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externalLinks/externalLink8.xml" ContentType="application/vnd.openxmlformats-officedocument.spreadsheetml.externalLink+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24915" windowHeight="11565"/>
  </bookViews>
  <sheets>
    <sheet name="LDC Info" sheetId="1" r:id="rId1"/>
    <sheet name="Index" sheetId="2" r:id="rId2"/>
    <sheet name="App.2-A_Cap Projects" sheetId="3" r:id="rId3"/>
    <sheet name="App.2-B_Fixed Asset Con'ty 2007" sheetId="4" r:id="rId4"/>
    <sheet name="App.2-B_Fixed Asset Con'ty 2008" sheetId="5" r:id="rId5"/>
    <sheet name="App.2-B_Fixed Asset Con'ty 2009" sheetId="6" r:id="rId6"/>
    <sheet name="App.2-B_Fixed Asset Con'ty 2010" sheetId="7" r:id="rId7"/>
    <sheet name="App.2-B_Fixed Asset Con'ty 2011" sheetId="8" r:id="rId8"/>
    <sheet name="App.2-B_Fixed Asset Con'ty 2012" sheetId="9" r:id="rId9"/>
    <sheet name="App.2-B_Fixed Asset Con'ty 2013" sheetId="10" r:id="rId10"/>
    <sheet name="App.2-CE_CGAAP_DepExp_2011" sheetId="11" r:id="rId11"/>
    <sheet name="App.2-CF_CGAAP_DepExp_2012" sheetId="12" r:id="rId12"/>
    <sheet name="App.2-CG_CGAAP_DepExp_2013" sheetId="13" r:id="rId13"/>
    <sheet name="App.2-D_Overhead" sheetId="14" r:id="rId14"/>
    <sheet name="App.2-F_Other_Oper_Rev" sheetId="15" r:id="rId15"/>
    <sheet name="App.2-G_Detailed_OM&amp;A" sheetId="16" r:id="rId16"/>
    <sheet name="App.2-H_OM&amp;A_Analysis" sheetId="17" r:id="rId17"/>
    <sheet name="App.2-I_OM&amp;A_Summary" sheetId="18" r:id="rId18"/>
    <sheet name="App.2-J_OM&amp;A_Cost _Drivers" sheetId="19" r:id="rId19"/>
    <sheet name="App.2-K_Employee Costs" sheetId="20" r:id="rId20"/>
    <sheet name="App.2-L_OM&amp;A_per_Cust" sheetId="21" r:id="rId21"/>
    <sheet name="App.2-M_Regulatory_Costs" sheetId="22" r:id="rId22"/>
    <sheet name="App.2-N_Corp_Cost_Allocation" sheetId="23" r:id="rId23"/>
    <sheet name="App.2-OA Cap Structure" sheetId="24" r:id="rId24"/>
    <sheet name="App.2-OB_Debt Inst" sheetId="25" r:id="rId25"/>
    <sheet name="App.2-P_Cost_Allocation" sheetId="36" r:id="rId26"/>
    <sheet name="App.2-R_Loss Factors" sheetId="27" r:id="rId27"/>
    <sheet name="App.2-S_Stranded Meters" sheetId="28" r:id="rId28"/>
    <sheet name="App.2-T_1592_Tax_Variance" sheetId="29" r:id="rId29"/>
    <sheet name="App.2-U_IFRS Trans Costs" sheetId="30" r:id="rId30"/>
    <sheet name="App.2-V_Rev_Reconciliation" sheetId="35" r:id="rId31"/>
    <sheet name="App.2-W Bill Impacts" sheetId="34" r:id="rId32"/>
    <sheet name="App.2-X_CoS_Flowchart" sheetId="33" r:id="rId33"/>
  </sheets>
  <externalReferences>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_xlnm._FilterDatabase" localSheetId="2" hidden="1">'App.2-A_Cap Projects'!$A$13:$H$409</definedName>
    <definedName name="ApprovedYr" localSheetId="31">[1]Z1.ModelVariables!$C$12</definedName>
    <definedName name="ApprovedYr">[2]Z1.ModelVariables!$C$12</definedName>
    <definedName name="compound_period" localSheetId="2">INDEX({1;2;4;6;12;24;26;52},MATCH([3]Schedule!$D$10,[0]!period_names,0))</definedName>
    <definedName name="compound_period" localSheetId="25">INDEX({1;2;4;6;12;24;26;52},MATCH([3]Schedule!$D$10,period_names,0))</definedName>
    <definedName name="compound_period" localSheetId="30">INDEX({1;2;4;6;12;24;26;52},MATCH([3]Schedule!$D$10,period_names,0))</definedName>
    <definedName name="compound_period" localSheetId="31">INDEX({1;2;4;6;12;24;26;52},MATCH([3]Schedule!$D$10,period_names,0))</definedName>
    <definedName name="compound_period">INDEX({1;2;4;6;12;24;26;52},MATCH([3]Schedule!$D$10,period_names,0))</definedName>
    <definedName name="CRLF" localSheetId="31">[1]Z1.ModelVariables!$C$10</definedName>
    <definedName name="CRLF">[2]Z1.ModelVariables!$C$10</definedName>
    <definedName name="CRLF2" localSheetId="31">[1]Z1.ModelVariables!$C$11</definedName>
    <definedName name="CRLF2">[2]Z1.ModelVariables!$C$11</definedName>
    <definedName name="data">[4]LBRPLAN!$A$32:$P$37</definedName>
    <definedName name="DeferralApprov" localSheetId="31">[1]A1.Admin!$C$23</definedName>
    <definedName name="DeferralApprov">[2]A1.Admin!$C$23</definedName>
    <definedName name="DIST" localSheetId="2">[4]LBRPLAN!#REF!</definedName>
    <definedName name="DIST" localSheetId="8">[4]LBRPLAN!#REF!</definedName>
    <definedName name="DIST" localSheetId="9">[4]LBRPLAN!#REF!</definedName>
    <definedName name="DIST" localSheetId="11">[4]LBRPLAN!#REF!</definedName>
    <definedName name="DIST" localSheetId="12">[4]LBRPLAN!#REF!</definedName>
    <definedName name="DIST" localSheetId="14">[4]LBRPLAN!#REF!</definedName>
    <definedName name="DIST" localSheetId="15">[4]LBRPLAN!#REF!</definedName>
    <definedName name="DIST" localSheetId="16">[4]LBRPLAN!#REF!</definedName>
    <definedName name="DIST" localSheetId="17">[4]LBRPLAN!#REF!</definedName>
    <definedName name="DIST" localSheetId="18">[4]LBRPLAN!#REF!</definedName>
    <definedName name="DIST" localSheetId="19">[4]LBRPLAN!#REF!</definedName>
    <definedName name="DIST" localSheetId="20">[4]LBRPLAN!#REF!</definedName>
    <definedName name="DIST" localSheetId="23">[4]LBRPLAN!#REF!</definedName>
    <definedName name="DIST" localSheetId="24">[4]LBRPLAN!#REF!</definedName>
    <definedName name="DIST" localSheetId="25">[4]LBRPLAN!#REF!</definedName>
    <definedName name="DIST" localSheetId="29">[4]LBRPLAN!#REF!</definedName>
    <definedName name="DIST" localSheetId="30">[4]LBRPLAN!#REF!</definedName>
    <definedName name="DIST" localSheetId="31">[4]LBRPLAN!#REF!</definedName>
    <definedName name="DIST">[4]LBRPLAN!#REF!</definedName>
    <definedName name="DOLLARS" localSheetId="2">[4]LBRPLAN!#REF!</definedName>
    <definedName name="DOLLARS" localSheetId="8">[4]LBRPLAN!#REF!</definedName>
    <definedName name="DOLLARS" localSheetId="9">[4]LBRPLAN!#REF!</definedName>
    <definedName name="DOLLARS" localSheetId="11">[4]LBRPLAN!#REF!</definedName>
    <definedName name="DOLLARS" localSheetId="12">[4]LBRPLAN!#REF!</definedName>
    <definedName name="DOLLARS" localSheetId="14">[4]LBRPLAN!#REF!</definedName>
    <definedName name="DOLLARS" localSheetId="15">[4]LBRPLAN!#REF!</definedName>
    <definedName name="DOLLARS" localSheetId="16">[4]LBRPLAN!#REF!</definedName>
    <definedName name="DOLLARS" localSheetId="17">[4]LBRPLAN!#REF!</definedName>
    <definedName name="DOLLARS" localSheetId="18">[4]LBRPLAN!#REF!</definedName>
    <definedName name="DOLLARS" localSheetId="19">[4]LBRPLAN!#REF!</definedName>
    <definedName name="DOLLARS" localSheetId="20">[4]LBRPLAN!#REF!</definedName>
    <definedName name="DOLLARS" localSheetId="23">[4]LBRPLAN!#REF!</definedName>
    <definedName name="DOLLARS" localSheetId="24">[4]LBRPLAN!#REF!</definedName>
    <definedName name="DOLLARS" localSheetId="25">[4]LBRPLAN!#REF!</definedName>
    <definedName name="DOLLARS" localSheetId="29">[4]LBRPLAN!#REF!</definedName>
    <definedName name="DOLLARS" localSheetId="30">[4]LBRPLAN!#REF!</definedName>
    <definedName name="DOLLARS" localSheetId="31">[4]LBRPLAN!#REF!</definedName>
    <definedName name="DOLLARS">[4]LBRPLAN!#REF!</definedName>
    <definedName name="DollarsOnly" localSheetId="2">[4]LBRPLAN!#REF!</definedName>
    <definedName name="DollarsOnly" localSheetId="8">[4]LBRPLAN!#REF!</definedName>
    <definedName name="DollarsOnly" localSheetId="9">[4]LBRPLAN!#REF!</definedName>
    <definedName name="DollarsOnly" localSheetId="11">[4]LBRPLAN!#REF!</definedName>
    <definedName name="DollarsOnly" localSheetId="12">[4]LBRPLAN!#REF!</definedName>
    <definedName name="DollarsOnly" localSheetId="14">[4]LBRPLAN!#REF!</definedName>
    <definedName name="DollarsOnly" localSheetId="15">[4]LBRPLAN!#REF!</definedName>
    <definedName name="DollarsOnly" localSheetId="16">[4]LBRPLAN!#REF!</definedName>
    <definedName name="DollarsOnly" localSheetId="17">[4]LBRPLAN!#REF!</definedName>
    <definedName name="DollarsOnly" localSheetId="18">[4]LBRPLAN!#REF!</definedName>
    <definedName name="DollarsOnly" localSheetId="19">[4]LBRPLAN!#REF!</definedName>
    <definedName name="DollarsOnly" localSheetId="20">[4]LBRPLAN!#REF!</definedName>
    <definedName name="DollarsOnly" localSheetId="23">[4]LBRPLAN!#REF!</definedName>
    <definedName name="DollarsOnly" localSheetId="24">[4]LBRPLAN!#REF!</definedName>
    <definedName name="DollarsOnly" localSheetId="25">[4]LBRPLAN!#REF!</definedName>
    <definedName name="DollarsOnly" localSheetId="29">[4]LBRPLAN!#REF!</definedName>
    <definedName name="DollarsOnly" localSheetId="30">[4]LBRPLAN!#REF!</definedName>
    <definedName name="DollarsOnly" localSheetId="31">[4]LBRPLAN!#REF!</definedName>
    <definedName name="DollarsOnly">[4]LBRPLAN!#REF!</definedName>
    <definedName name="FakeBlank" localSheetId="31">[1]Z1.ModelVariables!$C$14</definedName>
    <definedName name="FakeBlank">[2]Z1.ModelVariables!$C$14</definedName>
    <definedName name="FolderPath" localSheetId="31">[1]Z1.ModelVariables!$C$15</definedName>
    <definedName name="FolderPath">[2]Z1.ModelVariables!$C$15</definedName>
    <definedName name="fpdate">'[5]2.2M debenture'!$D$8</definedName>
    <definedName name="HistYrs" localSheetId="31">[1]A1.Admin!$C$21</definedName>
    <definedName name="HistYrs">[2]A1.Admin!$C$21</definedName>
    <definedName name="LDC_LIST">[6]lists!$AM$1:$AM$80</definedName>
    <definedName name="LDCLIST" localSheetId="23">'[7]LDC Info'!$AA$3:$AA$79</definedName>
    <definedName name="LDCLIST" localSheetId="25">'[8]LDC Info'!$AA$3:$AA$80</definedName>
    <definedName name="LDCLIST" localSheetId="29">'[9]LDC Info'!$AA$3:$AA$80</definedName>
    <definedName name="LDCLIST" localSheetId="30">'[8]LDC Info'!$AA$3:$AA$80</definedName>
    <definedName name="LDCLIST" localSheetId="31">'[8]LDC Info'!$AA$3:$AA$80</definedName>
    <definedName name="LDCLIST">'LDC Info'!$AA$3:$AA$80</definedName>
    <definedName name="loan_amount">'[5]2.2M debenture'!$D$5</definedName>
    <definedName name="MGTRT" localSheetId="2">[4]LBRPLAN!#REF!</definedName>
    <definedName name="MGTRT" localSheetId="8">[4]LBRPLAN!#REF!</definedName>
    <definedName name="MGTRT" localSheetId="9">[4]LBRPLAN!#REF!</definedName>
    <definedName name="MGTRT" localSheetId="11">[4]LBRPLAN!#REF!</definedName>
    <definedName name="MGTRT" localSheetId="12">[4]LBRPLAN!#REF!</definedName>
    <definedName name="MGTRT" localSheetId="14">[4]LBRPLAN!#REF!</definedName>
    <definedName name="MGTRT" localSheetId="15">[4]LBRPLAN!#REF!</definedName>
    <definedName name="MGTRT" localSheetId="16">[4]LBRPLAN!#REF!</definedName>
    <definedName name="MGTRT" localSheetId="17">[4]LBRPLAN!#REF!</definedName>
    <definedName name="MGTRT" localSheetId="18">[4]LBRPLAN!#REF!</definedName>
    <definedName name="MGTRT" localSheetId="19">[4]LBRPLAN!#REF!</definedName>
    <definedName name="MGTRT" localSheetId="20">[4]LBRPLAN!#REF!</definedName>
    <definedName name="MGTRT" localSheetId="23">[4]LBRPLAN!#REF!</definedName>
    <definedName name="MGTRT" localSheetId="24">[4]LBRPLAN!#REF!</definedName>
    <definedName name="MGTRT" localSheetId="25">[4]LBRPLAN!#REF!</definedName>
    <definedName name="MGTRT" localSheetId="29">[4]LBRPLAN!#REF!</definedName>
    <definedName name="MGTRT" localSheetId="30">[4]LBRPLAN!#REF!</definedName>
    <definedName name="MGTRT" localSheetId="31">[4]LBRPLAN!#REF!</definedName>
    <definedName name="MGTRT">[4]LBRPLAN!#REF!</definedName>
    <definedName name="Mon" localSheetId="2">#REF!</definedName>
    <definedName name="Mon" localSheetId="8">#REF!</definedName>
    <definedName name="Mon" localSheetId="9">#REF!</definedName>
    <definedName name="Mon" localSheetId="11">#REF!</definedName>
    <definedName name="Mon" localSheetId="12">#REF!</definedName>
    <definedName name="Mon" localSheetId="14">#REF!</definedName>
    <definedName name="Mon" localSheetId="15">#REF!</definedName>
    <definedName name="Mon" localSheetId="16">#REF!</definedName>
    <definedName name="Mon" localSheetId="17">#REF!</definedName>
    <definedName name="Mon" localSheetId="18">#REF!</definedName>
    <definedName name="Mon" localSheetId="19">#REF!</definedName>
    <definedName name="Mon" localSheetId="20">#REF!</definedName>
    <definedName name="Mon" localSheetId="23">#REF!</definedName>
    <definedName name="Mon" localSheetId="24">#REF!</definedName>
    <definedName name="Mon" localSheetId="25">#REF!</definedName>
    <definedName name="Mon" localSheetId="30">#REF!</definedName>
    <definedName name="Mon" localSheetId="31">#REF!</definedName>
    <definedName name="Mon">#REF!</definedName>
    <definedName name="Month" localSheetId="2">#REF!</definedName>
    <definedName name="Month" localSheetId="8">#REF!</definedName>
    <definedName name="Month" localSheetId="9">#REF!</definedName>
    <definedName name="Month" localSheetId="11">#REF!</definedName>
    <definedName name="Month" localSheetId="12">#REF!</definedName>
    <definedName name="Month" localSheetId="14">#REF!</definedName>
    <definedName name="Month" localSheetId="15">#REF!</definedName>
    <definedName name="Month" localSheetId="16">#REF!</definedName>
    <definedName name="Month" localSheetId="17">#REF!</definedName>
    <definedName name="Month" localSheetId="18">#REF!</definedName>
    <definedName name="Month" localSheetId="19">#REF!</definedName>
    <definedName name="Month" localSheetId="20">#REF!</definedName>
    <definedName name="Month" localSheetId="23">#REF!</definedName>
    <definedName name="Month" localSheetId="24">#REF!</definedName>
    <definedName name="Month" localSheetId="25">#REF!</definedName>
    <definedName name="Month" localSheetId="30">#REF!</definedName>
    <definedName name="Month" localSheetId="31">#REF!</definedName>
    <definedName name="Month">#REF!</definedName>
    <definedName name="MonthEND" localSheetId="2">#REF!</definedName>
    <definedName name="MonthEND" localSheetId="8">#REF!</definedName>
    <definedName name="MonthEND" localSheetId="9">#REF!</definedName>
    <definedName name="MonthEND" localSheetId="11">#REF!</definedName>
    <definedName name="MonthEND" localSheetId="12">#REF!</definedName>
    <definedName name="MonthEND" localSheetId="14">#REF!</definedName>
    <definedName name="MonthEND" localSheetId="15">#REF!</definedName>
    <definedName name="MonthEND" localSheetId="16">#REF!</definedName>
    <definedName name="MonthEND" localSheetId="17">#REF!</definedName>
    <definedName name="MonthEND" localSheetId="18">#REF!</definedName>
    <definedName name="MonthEND" localSheetId="19">#REF!</definedName>
    <definedName name="MonthEND" localSheetId="20">#REF!</definedName>
    <definedName name="MonthEND" localSheetId="23">#REF!</definedName>
    <definedName name="MonthEND" localSheetId="24">#REF!</definedName>
    <definedName name="MonthEND" localSheetId="25">#REF!</definedName>
    <definedName name="MonthEND" localSheetId="30">#REF!</definedName>
    <definedName name="MonthEND" localSheetId="31">#REF!</definedName>
    <definedName name="MonthEND">#REF!</definedName>
    <definedName name="months_per_period" localSheetId="2">#N/A</definedName>
    <definedName name="months_per_period" localSheetId="25">12/'App.2-P_Cost_Allocation'!periods_per_year</definedName>
    <definedName name="months_per_period" localSheetId="30">12/'App.2-V_Rev_Reconciliation'!periods_per_year</definedName>
    <definedName name="months_per_period" localSheetId="31">12/'App.2-W Bill Impacts'!periods_per_year</definedName>
    <definedName name="months_per_period">12/periods_per_year</definedName>
    <definedName name="nper" localSheetId="2">#N/A</definedName>
    <definedName name="nper" localSheetId="25">term*'App.2-P_Cost_Allocation'!periods_per_year</definedName>
    <definedName name="nper" localSheetId="30">term*'App.2-V_Rev_Reconciliation'!periods_per_year</definedName>
    <definedName name="nper" localSheetId="31">term*'App.2-W Bill Impacts'!periods_per_year</definedName>
    <definedName name="nper">term*periods_per_year</definedName>
    <definedName name="payment">'[5]2.2M debenture'!$D$13</definedName>
    <definedName name="period_names">[3]Schedule!$K$5:$K$12</definedName>
    <definedName name="periods_per_year" localSheetId="2">INDEX({1;2;4;6;12;24;26;52},MATCH([3]Schedule!$D$9,[0]!period_names,0))</definedName>
    <definedName name="periods_per_year" localSheetId="25">INDEX({1;2;4;6;12;24;26;52},MATCH([3]Schedule!$D$9,period_names,0))</definedName>
    <definedName name="periods_per_year" localSheetId="30">INDEX({1;2;4;6;12;24;26;52},MATCH([3]Schedule!$D$9,period_names,0))</definedName>
    <definedName name="periods_per_year" localSheetId="31">INDEX({1;2;4;6;12;24;26;52},MATCH([3]Schedule!$D$9,period_names,0))</definedName>
    <definedName name="periods_per_year">INDEX({1;2;4;6;12;24;26;52},MATCH([3]Schedule!$D$9,period_names,0))</definedName>
    <definedName name="PILsModel" localSheetId="31">[1]E4.PILsResults!$D$9</definedName>
    <definedName name="PILsModel">[2]E4.PILsResults!$D$9</definedName>
    <definedName name="pmtType">IF('[5]2.2M debenture'!$D$11="End of Period",0,1)</definedName>
    <definedName name="_xlnm.Print_Area" localSheetId="3">'App.2-B_Fixed Asset Con''ty 2007'!$A$1:$N$71</definedName>
    <definedName name="_xlnm.Print_Area" localSheetId="4">'App.2-B_Fixed Asset Con''ty 2008'!$A$1:$N$71</definedName>
    <definedName name="_xlnm.Print_Area" localSheetId="5">'App.2-B_Fixed Asset Con''ty 2009'!$A$1:$N$71</definedName>
    <definedName name="_xlnm.Print_Area" localSheetId="6">'App.2-B_Fixed Asset Con''ty 2010'!$A$1:$N$62</definedName>
    <definedName name="_xlnm.Print_Area" localSheetId="7">'App.2-B_Fixed Asset Con''ty 2011'!$A$1:$N$62</definedName>
    <definedName name="_xlnm.Print_Area" localSheetId="8">'App.2-B_Fixed Asset Con''ty 2012'!$A$1:$N$62</definedName>
    <definedName name="_xlnm.Print_Area" localSheetId="9">'App.2-B_Fixed Asset Con''ty 2013'!$A$1:$R$62</definedName>
    <definedName name="_xlnm.Print_Area" localSheetId="10">'App.2-CE_CGAAP_DepExp_2011'!$A$1:$L$57</definedName>
    <definedName name="_xlnm.Print_Area" localSheetId="11">'App.2-CF_CGAAP_DepExp_2012'!$A$1:$L$65</definedName>
    <definedName name="_xlnm.Print_Area" localSheetId="12">'App.2-CG_CGAAP_DepExp_2013'!$A$1:$R$62</definedName>
    <definedName name="_xlnm.Print_Area" localSheetId="13">'App.2-D_Overhead'!$A$1:$M$57</definedName>
    <definedName name="_xlnm.Print_Area" localSheetId="14">'App.2-F_Other_Oper_Rev'!$A$1:$I$135</definedName>
    <definedName name="_xlnm.Print_Area" localSheetId="15">'App.2-G_Detailed_OM&amp;A'!$A$1:$I$131</definedName>
    <definedName name="_xlnm.Print_Area" localSheetId="16">'App.2-H_OM&amp;A_Analysis'!$A$1:$I$128</definedName>
    <definedName name="_xlnm.Print_Area" localSheetId="17">'App.2-I_OM&amp;A_Summary'!$A$1:$L$59</definedName>
    <definedName name="_xlnm.Print_Area" localSheetId="18">'App.2-J_OM&amp;A_Cost _Drivers'!$A$1:$G$46</definedName>
    <definedName name="_xlnm.Print_Area" localSheetId="19">'App.2-K_Employee Costs'!$A$2:$I$94</definedName>
    <definedName name="_xlnm.Print_Area" localSheetId="20">'App.2-L_OM&amp;A_per_Cust'!$A$1:$H$30</definedName>
    <definedName name="_xlnm.Print_Area" localSheetId="21">'App.2-M_Regulatory_Costs'!$A$1:$K$48</definedName>
    <definedName name="_xlnm.Print_Area" localSheetId="22">'App.2-N_Corp_Cost_Allocation'!$A$1:$G$182</definedName>
    <definedName name="_xlnm.Print_Area" localSheetId="23">'App.2-OA Cap Structure'!$A$1:$O$119</definedName>
    <definedName name="_xlnm.Print_Area" localSheetId="24">'App.2-OB_Debt Inst'!$A$1:$L$154</definedName>
    <definedName name="_xlnm.Print_Area" localSheetId="25">'App.2-P_Cost_Allocation'!$A$1:$F$120</definedName>
    <definedName name="_xlnm.Print_Area" localSheetId="26">'App.2-R_Loss Factors'!$A$1:$H$73</definedName>
    <definedName name="_xlnm.Print_Area" localSheetId="27">'App.2-S_Stranded Meters'!$A$1:$H$99</definedName>
    <definedName name="_xlnm.Print_Area" localSheetId="28">'App.2-T_1592_Tax_Variance'!$A$1:$F$113</definedName>
    <definedName name="_xlnm.Print_Area" localSheetId="29">'App.2-U_IFRS Trans Costs'!$A$1:$O$36</definedName>
    <definedName name="_xlnm.Print_Area" localSheetId="30">'App.2-V_Rev_Reconciliation'!$A$1:$P$35</definedName>
    <definedName name="_xlnm.Print_Area" localSheetId="32">'App.2-X_CoS_Flowchart'!$A$1:$G$49</definedName>
    <definedName name="_xlnm.Print_Area" localSheetId="1">Index!$A$1:$L$42</definedName>
    <definedName name="_xlnm.Print_Titles" localSheetId="2">'App.2-A_Cap Projects'!$13:$14</definedName>
    <definedName name="_xlnm.Print_Titles" localSheetId="14">'App.2-F_Other_Oper_Rev'!$1:$10</definedName>
    <definedName name="_xlnm.Print_Titles" localSheetId="22">'App.2-N_Corp_Cost_Allocation'!$1:$10</definedName>
    <definedName name="rate">'[5]2.2M debenture'!$H$5</definedName>
    <definedName name="RatesOnly" localSheetId="2">[4]LBRPLAN!#REF!</definedName>
    <definedName name="RatesOnly" localSheetId="8">[4]LBRPLAN!#REF!</definedName>
    <definedName name="RatesOnly" localSheetId="9">[4]LBRPLAN!#REF!</definedName>
    <definedName name="RatesOnly" localSheetId="11">[4]LBRPLAN!#REF!</definedName>
    <definedName name="RatesOnly" localSheetId="12">[4]LBRPLAN!#REF!</definedName>
    <definedName name="RatesOnly" localSheetId="14">[4]LBRPLAN!#REF!</definedName>
    <definedName name="RatesOnly" localSheetId="15">[4]LBRPLAN!#REF!</definedName>
    <definedName name="RatesOnly" localSheetId="16">[4]LBRPLAN!#REF!</definedName>
    <definedName name="RatesOnly" localSheetId="17">[4]LBRPLAN!#REF!</definedName>
    <definedName name="RatesOnly" localSheetId="18">[4]LBRPLAN!#REF!</definedName>
    <definedName name="RatesOnly" localSheetId="19">[4]LBRPLAN!#REF!</definedName>
    <definedName name="RatesOnly" localSheetId="20">[4]LBRPLAN!#REF!</definedName>
    <definedName name="RatesOnly" localSheetId="23">[4]LBRPLAN!#REF!</definedName>
    <definedName name="RatesOnly" localSheetId="24">[4]LBRPLAN!#REF!</definedName>
    <definedName name="RatesOnly" localSheetId="25">[4]LBRPLAN!#REF!</definedName>
    <definedName name="RatesOnly" localSheetId="29">[4]LBRPLAN!#REF!</definedName>
    <definedName name="RatesOnly" localSheetId="30">[4]LBRPLAN!#REF!</definedName>
    <definedName name="RatesOnly" localSheetId="31">[4]LBRPLAN!#REF!</definedName>
    <definedName name="RatesOnly">[4]LBRPLAN!#REF!</definedName>
    <definedName name="RMrelease" localSheetId="31">[1]Z1.ModelVariables!$C$13</definedName>
    <definedName name="RMrelease">[2]Z1.ModelVariables!$C$13</definedName>
    <definedName name="roundOpt">'[5]2.2M debenture'!$H$15</definedName>
    <definedName name="term">'[5]2.2M debenture'!$D$7</definedName>
    <definedName name="TestYr" localSheetId="31">[1]A1.Admin!$C$13</definedName>
    <definedName name="TestYr">[2]A1.Admin!$C$13</definedName>
    <definedName name="UNRT" localSheetId="2">[4]LBRPLAN!#REF!</definedName>
    <definedName name="UNRT" localSheetId="8">[4]LBRPLAN!#REF!</definedName>
    <definedName name="UNRT" localSheetId="9">[4]LBRPLAN!#REF!</definedName>
    <definedName name="UNRT" localSheetId="11">[4]LBRPLAN!#REF!</definedName>
    <definedName name="UNRT" localSheetId="12">[4]LBRPLAN!#REF!</definedName>
    <definedName name="UNRT" localSheetId="14">[4]LBRPLAN!#REF!</definedName>
    <definedName name="UNRT" localSheetId="15">[4]LBRPLAN!#REF!</definedName>
    <definedName name="UNRT" localSheetId="16">[4]LBRPLAN!#REF!</definedName>
    <definedName name="UNRT" localSheetId="17">[4]LBRPLAN!#REF!</definedName>
    <definedName name="UNRT" localSheetId="18">[4]LBRPLAN!#REF!</definedName>
    <definedName name="UNRT" localSheetId="19">[4]LBRPLAN!#REF!</definedName>
    <definedName name="UNRT" localSheetId="20">[4]LBRPLAN!#REF!</definedName>
    <definedName name="UNRT" localSheetId="23">[4]LBRPLAN!#REF!</definedName>
    <definedName name="UNRT" localSheetId="24">[4]LBRPLAN!#REF!</definedName>
    <definedName name="UNRT" localSheetId="25">[4]LBRPLAN!#REF!</definedName>
    <definedName name="UNRT" localSheetId="29">[4]LBRPLAN!#REF!</definedName>
    <definedName name="UNRT" localSheetId="30">[4]LBRPLAN!#REF!</definedName>
    <definedName name="UNRT" localSheetId="31">[4]LBRPLAN!#REF!</definedName>
    <definedName name="UNRT">[4]LBRPLAN!#REF!</definedName>
  </definedNames>
  <calcPr calcId="125725"/>
</workbook>
</file>

<file path=xl/calcChain.xml><?xml version="1.0" encoding="utf-8"?>
<calcChain xmlns="http://schemas.openxmlformats.org/spreadsheetml/2006/main">
  <c r="C114" i="36"/>
  <c r="F113"/>
  <c r="F112"/>
  <c r="F111"/>
  <c r="C111"/>
  <c r="F110"/>
  <c r="F109"/>
  <c r="F108"/>
  <c r="F107"/>
  <c r="C107"/>
  <c r="F106"/>
  <c r="F105"/>
  <c r="C105"/>
  <c r="F104"/>
  <c r="C104"/>
  <c r="E90"/>
  <c r="D90"/>
  <c r="A90"/>
  <c r="A114" s="1"/>
  <c r="E89"/>
  <c r="C113" s="1"/>
  <c r="D89"/>
  <c r="E88"/>
  <c r="C112" s="1"/>
  <c r="D88"/>
  <c r="E87"/>
  <c r="D87"/>
  <c r="E86"/>
  <c r="C110" s="1"/>
  <c r="D86"/>
  <c r="A86"/>
  <c r="A110" s="1"/>
  <c r="E85"/>
  <c r="C109" s="1"/>
  <c r="D85"/>
  <c r="E84"/>
  <c r="C108" s="1"/>
  <c r="D84"/>
  <c r="E83"/>
  <c r="D83"/>
  <c r="E82"/>
  <c r="C106" s="1"/>
  <c r="D82"/>
  <c r="A82"/>
  <c r="A106" s="1"/>
  <c r="D81"/>
  <c r="A81"/>
  <c r="A105" s="1"/>
  <c r="E80"/>
  <c r="D80"/>
  <c r="F59"/>
  <c r="E59"/>
  <c r="D59"/>
  <c r="C59"/>
  <c r="A59"/>
  <c r="A58"/>
  <c r="A56"/>
  <c r="A88" s="1"/>
  <c r="A112" s="1"/>
  <c r="A55"/>
  <c r="A87" s="1"/>
  <c r="A111" s="1"/>
  <c r="A54"/>
  <c r="A53"/>
  <c r="A85" s="1"/>
  <c r="A109" s="1"/>
  <c r="A52"/>
  <c r="A84" s="1"/>
  <c r="A108" s="1"/>
  <c r="A51"/>
  <c r="A83" s="1"/>
  <c r="A107" s="1"/>
  <c r="A50"/>
  <c r="A49"/>
  <c r="A48"/>
  <c r="A80" s="1"/>
  <c r="A104" s="1"/>
  <c r="D28"/>
  <c r="E26" s="1"/>
  <c r="B28"/>
  <c r="C27" s="1"/>
  <c r="E27"/>
  <c r="C26"/>
  <c r="E25"/>
  <c r="C24"/>
  <c r="E23"/>
  <c r="C22"/>
  <c r="E21"/>
  <c r="C20"/>
  <c r="E19"/>
  <c r="C18"/>
  <c r="E17"/>
  <c r="N30" i="35"/>
  <c r="O28"/>
  <c r="E28"/>
  <c r="K28" s="1"/>
  <c r="P28" s="1"/>
  <c r="O27"/>
  <c r="E27"/>
  <c r="K27" s="1"/>
  <c r="P27" s="1"/>
  <c r="O26"/>
  <c r="E26"/>
  <c r="K26" s="1"/>
  <c r="P26" s="1"/>
  <c r="O25"/>
  <c r="E25"/>
  <c r="K25" s="1"/>
  <c r="P25" s="1"/>
  <c r="O24"/>
  <c r="E24"/>
  <c r="K24" s="1"/>
  <c r="P24" s="1"/>
  <c r="O23"/>
  <c r="E23"/>
  <c r="K23" s="1"/>
  <c r="P23" s="1"/>
  <c r="O22"/>
  <c r="K22"/>
  <c r="E22"/>
  <c r="O21"/>
  <c r="K21"/>
  <c r="P21" s="1"/>
  <c r="E21"/>
  <c r="O20"/>
  <c r="E20"/>
  <c r="O19"/>
  <c r="K19"/>
  <c r="P19" s="1"/>
  <c r="E19"/>
  <c r="O18"/>
  <c r="E18"/>
  <c r="O17"/>
  <c r="K17"/>
  <c r="P17" s="1"/>
  <c r="E17"/>
  <c r="O16"/>
  <c r="E16"/>
  <c r="M30" l="1"/>
  <c r="O30" s="1"/>
  <c r="K18"/>
  <c r="K20"/>
  <c r="P22"/>
  <c r="P18"/>
  <c r="P20"/>
  <c r="K16"/>
  <c r="C17" i="36"/>
  <c r="C19"/>
  <c r="C21"/>
  <c r="C23"/>
  <c r="C25"/>
  <c r="E18"/>
  <c r="E20"/>
  <c r="E22"/>
  <c r="E28" s="1"/>
  <c r="E24"/>
  <c r="K30" i="35"/>
  <c r="P30" s="1"/>
  <c r="P16"/>
  <c r="C28" i="36" l="1"/>
  <c r="L569" i="34"/>
  <c r="K569"/>
  <c r="G569"/>
  <c r="H569" s="1"/>
  <c r="K568"/>
  <c r="L568" s="1"/>
  <c r="N568" s="1"/>
  <c r="H568"/>
  <c r="O568" s="1"/>
  <c r="G568"/>
  <c r="L567"/>
  <c r="K567"/>
  <c r="G567"/>
  <c r="H567" s="1"/>
  <c r="K566"/>
  <c r="L566" s="1"/>
  <c r="N566" s="1"/>
  <c r="H566"/>
  <c r="O566" s="1"/>
  <c r="G566"/>
  <c r="N565"/>
  <c r="L565"/>
  <c r="K565"/>
  <c r="G565"/>
  <c r="H565" s="1"/>
  <c r="K564"/>
  <c r="L564" s="1"/>
  <c r="N564" s="1"/>
  <c r="H564"/>
  <c r="G564"/>
  <c r="N563"/>
  <c r="L563"/>
  <c r="H563"/>
  <c r="O563" s="1"/>
  <c r="L562"/>
  <c r="K562"/>
  <c r="G562"/>
  <c r="H562" s="1"/>
  <c r="K561"/>
  <c r="L561" s="1"/>
  <c r="N561" s="1"/>
  <c r="H561"/>
  <c r="O561" s="1"/>
  <c r="G561"/>
  <c r="G559"/>
  <c r="H559" s="1"/>
  <c r="K558"/>
  <c r="H558"/>
  <c r="G558"/>
  <c r="L556"/>
  <c r="N556" s="1"/>
  <c r="K556"/>
  <c r="L555"/>
  <c r="N555" s="1"/>
  <c r="H555"/>
  <c r="O555" s="1"/>
  <c r="L554"/>
  <c r="N554" s="1"/>
  <c r="H554"/>
  <c r="L552"/>
  <c r="N552" s="1"/>
  <c r="H552"/>
  <c r="O552" s="1"/>
  <c r="L551"/>
  <c r="N551" s="1"/>
  <c r="H551"/>
  <c r="L550"/>
  <c r="N550" s="1"/>
  <c r="H550"/>
  <c r="O550" s="1"/>
  <c r="L549"/>
  <c r="N549" s="1"/>
  <c r="H549"/>
  <c r="O549" s="1"/>
  <c r="L548"/>
  <c r="N548" s="1"/>
  <c r="H548"/>
  <c r="O548" s="1"/>
  <c r="L547"/>
  <c r="N547" s="1"/>
  <c r="H547"/>
  <c r="O547" s="1"/>
  <c r="L546"/>
  <c r="N546" s="1"/>
  <c r="H546"/>
  <c r="O546" s="1"/>
  <c r="L545"/>
  <c r="N545" s="1"/>
  <c r="H545"/>
  <c r="L494"/>
  <c r="N494" s="1"/>
  <c r="K494"/>
  <c r="H494"/>
  <c r="G494"/>
  <c r="L493"/>
  <c r="K493"/>
  <c r="H493"/>
  <c r="N493" s="1"/>
  <c r="G493"/>
  <c r="L492"/>
  <c r="N492" s="1"/>
  <c r="K492"/>
  <c r="H492"/>
  <c r="O492" s="1"/>
  <c r="G492"/>
  <c r="L491"/>
  <c r="K491"/>
  <c r="H491"/>
  <c r="N491" s="1"/>
  <c r="G491"/>
  <c r="L490"/>
  <c r="N490" s="1"/>
  <c r="K490"/>
  <c r="H490"/>
  <c r="O490" s="1"/>
  <c r="G490"/>
  <c r="O489"/>
  <c r="L489"/>
  <c r="K489"/>
  <c r="H489"/>
  <c r="N489" s="1"/>
  <c r="G489"/>
  <c r="L488"/>
  <c r="N488" s="1"/>
  <c r="H488"/>
  <c r="L487"/>
  <c r="N487" s="1"/>
  <c r="K487"/>
  <c r="H487"/>
  <c r="O487" s="1"/>
  <c r="G487"/>
  <c r="L486"/>
  <c r="K486"/>
  <c r="H486"/>
  <c r="N486" s="1"/>
  <c r="G486"/>
  <c r="L484"/>
  <c r="N484" s="1"/>
  <c r="K484"/>
  <c r="L483"/>
  <c r="K483"/>
  <c r="H483"/>
  <c r="N483" s="1"/>
  <c r="G483"/>
  <c r="G484" s="1"/>
  <c r="H484" s="1"/>
  <c r="K481"/>
  <c r="L481" s="1"/>
  <c r="N481" s="1"/>
  <c r="L480"/>
  <c r="H480"/>
  <c r="L479"/>
  <c r="H479"/>
  <c r="L477"/>
  <c r="H477"/>
  <c r="L476"/>
  <c r="H476"/>
  <c r="L475"/>
  <c r="H475"/>
  <c r="O474"/>
  <c r="L474"/>
  <c r="H474"/>
  <c r="N474" s="1"/>
  <c r="L473"/>
  <c r="H473"/>
  <c r="O472"/>
  <c r="L472"/>
  <c r="H472"/>
  <c r="N472" s="1"/>
  <c r="O471"/>
  <c r="L471"/>
  <c r="H471"/>
  <c r="N471" s="1"/>
  <c r="L470"/>
  <c r="L478" s="1"/>
  <c r="H470"/>
  <c r="N470" s="1"/>
  <c r="K419"/>
  <c r="L419" s="1"/>
  <c r="H419"/>
  <c r="G419"/>
  <c r="L418"/>
  <c r="N418" s="1"/>
  <c r="K418"/>
  <c r="G418"/>
  <c r="H418" s="1"/>
  <c r="K417"/>
  <c r="L417" s="1"/>
  <c r="H417"/>
  <c r="G417"/>
  <c r="L416"/>
  <c r="N416" s="1"/>
  <c r="K416"/>
  <c r="G416"/>
  <c r="H416" s="1"/>
  <c r="O416" s="1"/>
  <c r="K415"/>
  <c r="L415" s="1"/>
  <c r="H415"/>
  <c r="G415"/>
  <c r="L414"/>
  <c r="N414" s="1"/>
  <c r="K414"/>
  <c r="G414"/>
  <c r="H414" s="1"/>
  <c r="L413"/>
  <c r="H413"/>
  <c r="N413" s="1"/>
  <c r="K412"/>
  <c r="L412" s="1"/>
  <c r="H412"/>
  <c r="G412"/>
  <c r="L411"/>
  <c r="K411"/>
  <c r="G411"/>
  <c r="H411" s="1"/>
  <c r="N411" s="1"/>
  <c r="K409"/>
  <c r="L409" s="1"/>
  <c r="L408"/>
  <c r="K408"/>
  <c r="G408"/>
  <c r="N406"/>
  <c r="L406"/>
  <c r="K406"/>
  <c r="L405"/>
  <c r="K405"/>
  <c r="G405"/>
  <c r="H405" s="1"/>
  <c r="L404"/>
  <c r="N404" s="1"/>
  <c r="K404"/>
  <c r="H404"/>
  <c r="G404"/>
  <c r="O402"/>
  <c r="N402"/>
  <c r="L402"/>
  <c r="H402"/>
  <c r="L401"/>
  <c r="K401"/>
  <c r="G401"/>
  <c r="H401" s="1"/>
  <c r="L400"/>
  <c r="N400" s="1"/>
  <c r="K400"/>
  <c r="H400"/>
  <c r="O400" s="1"/>
  <c r="G400"/>
  <c r="O399"/>
  <c r="N399"/>
  <c r="L399"/>
  <c r="H399"/>
  <c r="L398"/>
  <c r="K398"/>
  <c r="H398"/>
  <c r="N398" s="1"/>
  <c r="G398"/>
  <c r="L397"/>
  <c r="H397"/>
  <c r="O397" s="1"/>
  <c r="L396"/>
  <c r="N396" s="1"/>
  <c r="H396"/>
  <c r="O396" s="1"/>
  <c r="L395"/>
  <c r="H395"/>
  <c r="L344"/>
  <c r="N344" s="1"/>
  <c r="K344"/>
  <c r="H344"/>
  <c r="G344"/>
  <c r="L343"/>
  <c r="K343"/>
  <c r="H343"/>
  <c r="N343" s="1"/>
  <c r="G343"/>
  <c r="K342"/>
  <c r="L342" s="1"/>
  <c r="N342" s="1"/>
  <c r="H342"/>
  <c r="G342"/>
  <c r="L341"/>
  <c r="K341"/>
  <c r="G341"/>
  <c r="H341" s="1"/>
  <c r="L340"/>
  <c r="N340" s="1"/>
  <c r="K340"/>
  <c r="H340"/>
  <c r="G340"/>
  <c r="L339"/>
  <c r="K339"/>
  <c r="H339"/>
  <c r="N339" s="1"/>
  <c r="G339"/>
  <c r="L338"/>
  <c r="H338"/>
  <c r="L337"/>
  <c r="N337" s="1"/>
  <c r="K337"/>
  <c r="H337"/>
  <c r="G337"/>
  <c r="L336"/>
  <c r="K336"/>
  <c r="H336"/>
  <c r="N336" s="1"/>
  <c r="G336"/>
  <c r="L334"/>
  <c r="K334"/>
  <c r="L333"/>
  <c r="K333"/>
  <c r="G333"/>
  <c r="G334" s="1"/>
  <c r="H334" s="1"/>
  <c r="L332"/>
  <c r="K331"/>
  <c r="L331" s="1"/>
  <c r="N331" s="1"/>
  <c r="O330"/>
  <c r="L330"/>
  <c r="H330"/>
  <c r="N330" s="1"/>
  <c r="L329"/>
  <c r="H329"/>
  <c r="N329" s="1"/>
  <c r="O327"/>
  <c r="L327"/>
  <c r="H327"/>
  <c r="N327" s="1"/>
  <c r="L326"/>
  <c r="H326"/>
  <c r="N326" s="1"/>
  <c r="L325"/>
  <c r="H325"/>
  <c r="N325" s="1"/>
  <c r="O324"/>
  <c r="L324"/>
  <c r="H324"/>
  <c r="N324" s="1"/>
  <c r="O323"/>
  <c r="L323"/>
  <c r="H323"/>
  <c r="N323" s="1"/>
  <c r="L322"/>
  <c r="H322"/>
  <c r="N322" s="1"/>
  <c r="L321"/>
  <c r="L328" s="1"/>
  <c r="H321"/>
  <c r="N321" s="1"/>
  <c r="K270"/>
  <c r="L270" s="1"/>
  <c r="H270"/>
  <c r="G270"/>
  <c r="L269"/>
  <c r="K269"/>
  <c r="G269"/>
  <c r="H269" s="1"/>
  <c r="K268"/>
  <c r="L268" s="1"/>
  <c r="H268"/>
  <c r="G268"/>
  <c r="L267"/>
  <c r="K267"/>
  <c r="G267"/>
  <c r="H267" s="1"/>
  <c r="N267" s="1"/>
  <c r="N265"/>
  <c r="L265"/>
  <c r="K265"/>
  <c r="G265"/>
  <c r="H265" s="1"/>
  <c r="O264"/>
  <c r="L264"/>
  <c r="H264"/>
  <c r="N264" s="1"/>
  <c r="K263"/>
  <c r="L263" s="1"/>
  <c r="N263" s="1"/>
  <c r="H263"/>
  <c r="O263" s="1"/>
  <c r="G263"/>
  <c r="L262"/>
  <c r="N262" s="1"/>
  <c r="K262"/>
  <c r="G262"/>
  <c r="H262" s="1"/>
  <c r="K260"/>
  <c r="L260" s="1"/>
  <c r="L259"/>
  <c r="K259"/>
  <c r="G259"/>
  <c r="N257"/>
  <c r="L257"/>
  <c r="K257"/>
  <c r="L256"/>
  <c r="K256"/>
  <c r="H256"/>
  <c r="N256" s="1"/>
  <c r="G256"/>
  <c r="K255"/>
  <c r="L255" s="1"/>
  <c r="N255" s="1"/>
  <c r="H255"/>
  <c r="G255"/>
  <c r="O253"/>
  <c r="N253"/>
  <c r="L253"/>
  <c r="H253"/>
  <c r="L252"/>
  <c r="K252"/>
  <c r="H252"/>
  <c r="N252" s="1"/>
  <c r="G252"/>
  <c r="K251"/>
  <c r="L251" s="1"/>
  <c r="N251" s="1"/>
  <c r="H251"/>
  <c r="G251"/>
  <c r="O250"/>
  <c r="N250"/>
  <c r="L250"/>
  <c r="H250"/>
  <c r="L249"/>
  <c r="K249"/>
  <c r="G249"/>
  <c r="H249" s="1"/>
  <c r="L248"/>
  <c r="N248" s="1"/>
  <c r="H248"/>
  <c r="O248" s="1"/>
  <c r="L247"/>
  <c r="H247"/>
  <c r="L246"/>
  <c r="H246"/>
  <c r="K195"/>
  <c r="L195" s="1"/>
  <c r="N195" s="1"/>
  <c r="H195"/>
  <c r="G195"/>
  <c r="L194"/>
  <c r="K194"/>
  <c r="G194"/>
  <c r="H194" s="1"/>
  <c r="L193"/>
  <c r="N193" s="1"/>
  <c r="K193"/>
  <c r="H193"/>
  <c r="G193"/>
  <c r="L192"/>
  <c r="K192"/>
  <c r="H192"/>
  <c r="N192" s="1"/>
  <c r="G192"/>
  <c r="K191"/>
  <c r="L191" s="1"/>
  <c r="N191" s="1"/>
  <c r="H191"/>
  <c r="G191"/>
  <c r="L190"/>
  <c r="K190"/>
  <c r="G190"/>
  <c r="H190" s="1"/>
  <c r="L189"/>
  <c r="N189" s="1"/>
  <c r="H189"/>
  <c r="K188"/>
  <c r="L188" s="1"/>
  <c r="N188" s="1"/>
  <c r="H188"/>
  <c r="G188"/>
  <c r="L187"/>
  <c r="K187"/>
  <c r="G187"/>
  <c r="G266" s="1"/>
  <c r="H266" s="1"/>
  <c r="K185"/>
  <c r="L185" s="1"/>
  <c r="N185" s="1"/>
  <c r="L184"/>
  <c r="K184"/>
  <c r="H184"/>
  <c r="N184" s="1"/>
  <c r="G184"/>
  <c r="G185" s="1"/>
  <c r="H185" s="1"/>
  <c r="K182"/>
  <c r="L182" s="1"/>
  <c r="N182" s="1"/>
  <c r="K181"/>
  <c r="L181" s="1"/>
  <c r="H181"/>
  <c r="G181"/>
  <c r="L180"/>
  <c r="N180" s="1"/>
  <c r="K180"/>
  <c r="G180"/>
  <c r="H180" s="1"/>
  <c r="O178"/>
  <c r="L178"/>
  <c r="H178"/>
  <c r="N178" s="1"/>
  <c r="K177"/>
  <c r="L177" s="1"/>
  <c r="N177" s="1"/>
  <c r="H177"/>
  <c r="O177" s="1"/>
  <c r="G177"/>
  <c r="L176"/>
  <c r="N176" s="1"/>
  <c r="K176"/>
  <c r="G176"/>
  <c r="H176" s="1"/>
  <c r="L175"/>
  <c r="H175"/>
  <c r="N175" s="1"/>
  <c r="K174"/>
  <c r="L174" s="1"/>
  <c r="H174"/>
  <c r="H179" s="1"/>
  <c r="G174"/>
  <c r="L173"/>
  <c r="N173" s="1"/>
  <c r="H173"/>
  <c r="O173" s="1"/>
  <c r="N172"/>
  <c r="L172"/>
  <c r="H172"/>
  <c r="N171"/>
  <c r="L171"/>
  <c r="H171"/>
  <c r="L120"/>
  <c r="N120" s="1"/>
  <c r="K120"/>
  <c r="G120"/>
  <c r="H120" s="1"/>
  <c r="K119"/>
  <c r="L119" s="1"/>
  <c r="N119" s="1"/>
  <c r="H119"/>
  <c r="O119" s="1"/>
  <c r="G119"/>
  <c r="L118"/>
  <c r="N118" s="1"/>
  <c r="K118"/>
  <c r="G118"/>
  <c r="H118" s="1"/>
  <c r="K117"/>
  <c r="L117" s="1"/>
  <c r="N117" s="1"/>
  <c r="H117"/>
  <c r="O117" s="1"/>
  <c r="G117"/>
  <c r="L116"/>
  <c r="N116" s="1"/>
  <c r="K116"/>
  <c r="G116"/>
  <c r="H116" s="1"/>
  <c r="K115"/>
  <c r="L115" s="1"/>
  <c r="N115" s="1"/>
  <c r="H115"/>
  <c r="O115" s="1"/>
  <c r="G115"/>
  <c r="L114"/>
  <c r="N114" s="1"/>
  <c r="H114"/>
  <c r="L113"/>
  <c r="N113" s="1"/>
  <c r="K113"/>
  <c r="G113"/>
  <c r="H113" s="1"/>
  <c r="K112"/>
  <c r="L112" s="1"/>
  <c r="H112"/>
  <c r="G112"/>
  <c r="G110"/>
  <c r="H110" s="1"/>
  <c r="K109"/>
  <c r="H109"/>
  <c r="G109"/>
  <c r="L107"/>
  <c r="N107" s="1"/>
  <c r="K107"/>
  <c r="K106"/>
  <c r="L106" s="1"/>
  <c r="N106" s="1"/>
  <c r="H106"/>
  <c r="G106"/>
  <c r="L105"/>
  <c r="K105"/>
  <c r="G105"/>
  <c r="H105" s="1"/>
  <c r="L103"/>
  <c r="H103"/>
  <c r="O103" s="1"/>
  <c r="L102"/>
  <c r="N102" s="1"/>
  <c r="K102"/>
  <c r="H102"/>
  <c r="G102"/>
  <c r="L101"/>
  <c r="K101"/>
  <c r="H101"/>
  <c r="N101" s="1"/>
  <c r="G101"/>
  <c r="L100"/>
  <c r="H100"/>
  <c r="O100" s="1"/>
  <c r="L99"/>
  <c r="N99" s="1"/>
  <c r="K99"/>
  <c r="H99"/>
  <c r="G99"/>
  <c r="O98"/>
  <c r="N98"/>
  <c r="L98"/>
  <c r="H98"/>
  <c r="O97"/>
  <c r="N97"/>
  <c r="L97"/>
  <c r="H97"/>
  <c r="O96"/>
  <c r="N96"/>
  <c r="L96"/>
  <c r="H96"/>
  <c r="K45"/>
  <c r="L45" s="1"/>
  <c r="N45" s="1"/>
  <c r="H45"/>
  <c r="G45"/>
  <c r="K44"/>
  <c r="L44" s="1"/>
  <c r="N44" s="1"/>
  <c r="G44"/>
  <c r="H44" s="1"/>
  <c r="K43"/>
  <c r="L43" s="1"/>
  <c r="N43" s="1"/>
  <c r="H43"/>
  <c r="G43"/>
  <c r="K42"/>
  <c r="L42" s="1"/>
  <c r="N42" s="1"/>
  <c r="G42"/>
  <c r="H42" s="1"/>
  <c r="O42" s="1"/>
  <c r="K41"/>
  <c r="L41" s="1"/>
  <c r="N41" s="1"/>
  <c r="H41"/>
  <c r="O41" s="1"/>
  <c r="G41"/>
  <c r="K40"/>
  <c r="L40" s="1"/>
  <c r="N40" s="1"/>
  <c r="G40"/>
  <c r="H40" s="1"/>
  <c r="O39"/>
  <c r="N39"/>
  <c r="L39"/>
  <c r="H39"/>
  <c r="K38"/>
  <c r="L38" s="1"/>
  <c r="N38" s="1"/>
  <c r="H38"/>
  <c r="O38" s="1"/>
  <c r="G38"/>
  <c r="K37"/>
  <c r="L37" s="1"/>
  <c r="N37" s="1"/>
  <c r="G37"/>
  <c r="H37" s="1"/>
  <c r="H35"/>
  <c r="O35" s="1"/>
  <c r="G35"/>
  <c r="K34"/>
  <c r="K35" s="1"/>
  <c r="L35" s="1"/>
  <c r="N35" s="1"/>
  <c r="G34"/>
  <c r="H34" s="1"/>
  <c r="N32"/>
  <c r="L32"/>
  <c r="K32"/>
  <c r="L31"/>
  <c r="N31" s="1"/>
  <c r="K31"/>
  <c r="G31"/>
  <c r="H31" s="1"/>
  <c r="K30"/>
  <c r="L30" s="1"/>
  <c r="N30" s="1"/>
  <c r="H30"/>
  <c r="O30" s="1"/>
  <c r="G30"/>
  <c r="N28"/>
  <c r="L28"/>
  <c r="H28"/>
  <c r="O28" s="1"/>
  <c r="N27"/>
  <c r="L27"/>
  <c r="K27"/>
  <c r="G27"/>
  <c r="H27" s="1"/>
  <c r="O26"/>
  <c r="K26"/>
  <c r="L26" s="1"/>
  <c r="N26" s="1"/>
  <c r="H26"/>
  <c r="G26"/>
  <c r="N25"/>
  <c r="L25"/>
  <c r="H25"/>
  <c r="O25" s="1"/>
  <c r="L24"/>
  <c r="N24" s="1"/>
  <c r="K24"/>
  <c r="G24"/>
  <c r="H24" s="1"/>
  <c r="L23"/>
  <c r="N23" s="1"/>
  <c r="H23"/>
  <c r="O23" s="1"/>
  <c r="L22"/>
  <c r="H22"/>
  <c r="L21"/>
  <c r="H21"/>
  <c r="G1" i="33"/>
  <c r="L30" i="30"/>
  <c r="F30"/>
  <c r="E30"/>
  <c r="I29"/>
  <c r="I28"/>
  <c r="I27"/>
  <c r="I26"/>
  <c r="I25"/>
  <c r="I24"/>
  <c r="I23"/>
  <c r="I22"/>
  <c r="I21"/>
  <c r="L20"/>
  <c r="N20" s="1"/>
  <c r="H20"/>
  <c r="H30" s="1"/>
  <c r="F20"/>
  <c r="I20" s="1"/>
  <c r="N19"/>
  <c r="L19"/>
  <c r="I19"/>
  <c r="I18"/>
  <c r="M17"/>
  <c r="M30" s="1"/>
  <c r="L17"/>
  <c r="G17"/>
  <c r="G30" s="1"/>
  <c r="F17"/>
  <c r="E110" i="29"/>
  <c r="F109"/>
  <c r="F110" s="1"/>
  <c r="F111" s="1"/>
  <c r="F113" s="1"/>
  <c r="F99"/>
  <c r="E99"/>
  <c r="F100" s="1"/>
  <c r="F102" s="1"/>
  <c r="F92"/>
  <c r="F89"/>
  <c r="F91" s="1"/>
  <c r="E89"/>
  <c r="E91" s="1"/>
  <c r="F82"/>
  <c r="F79"/>
  <c r="F81" s="1"/>
  <c r="E79"/>
  <c r="E81" s="1"/>
  <c r="E71"/>
  <c r="F69"/>
  <c r="F71" s="1"/>
  <c r="F72" s="1"/>
  <c r="E69"/>
  <c r="E32"/>
  <c r="E1"/>
  <c r="H20" i="28"/>
  <c r="F20"/>
  <c r="H19"/>
  <c r="F19"/>
  <c r="H18"/>
  <c r="F18"/>
  <c r="H17"/>
  <c r="F17"/>
  <c r="H16"/>
  <c r="F16"/>
  <c r="H15"/>
  <c r="F15"/>
  <c r="H14"/>
  <c r="F14"/>
  <c r="H1"/>
  <c r="G23" i="27"/>
  <c r="D23"/>
  <c r="C23"/>
  <c r="H22"/>
  <c r="F23"/>
  <c r="E23"/>
  <c r="E24" s="1"/>
  <c r="E28" s="1"/>
  <c r="H19"/>
  <c r="G20"/>
  <c r="F20"/>
  <c r="E20"/>
  <c r="D20"/>
  <c r="D24" s="1"/>
  <c r="D28" s="1"/>
  <c r="C20"/>
  <c r="G15"/>
  <c r="F15"/>
  <c r="E15"/>
  <c r="D15"/>
  <c r="C15"/>
  <c r="H1"/>
  <c r="H148" i="25"/>
  <c r="J146"/>
  <c r="J145"/>
  <c r="J144"/>
  <c r="J143"/>
  <c r="J142"/>
  <c r="J141"/>
  <c r="J140"/>
  <c r="J139"/>
  <c r="J138"/>
  <c r="J137"/>
  <c r="J148" s="1"/>
  <c r="J136"/>
  <c r="J135"/>
  <c r="H120"/>
  <c r="J118"/>
  <c r="J117"/>
  <c r="J116"/>
  <c r="J115"/>
  <c r="J114"/>
  <c r="J113"/>
  <c r="J112"/>
  <c r="J111"/>
  <c r="J110"/>
  <c r="J109"/>
  <c r="J108"/>
  <c r="J107"/>
  <c r="J120" s="1"/>
  <c r="J89"/>
  <c r="J88"/>
  <c r="J87"/>
  <c r="J86"/>
  <c r="J85"/>
  <c r="J84"/>
  <c r="J83"/>
  <c r="J82"/>
  <c r="J81"/>
  <c r="J80"/>
  <c r="J79"/>
  <c r="J60"/>
  <c r="J59"/>
  <c r="J58"/>
  <c r="J57"/>
  <c r="J56"/>
  <c r="J55"/>
  <c r="J54"/>
  <c r="J53"/>
  <c r="J52"/>
  <c r="J51"/>
  <c r="J50"/>
  <c r="I19"/>
  <c r="H62"/>
  <c r="J30"/>
  <c r="J29"/>
  <c r="J28"/>
  <c r="J27"/>
  <c r="J26"/>
  <c r="J25"/>
  <c r="J24"/>
  <c r="J23"/>
  <c r="J22"/>
  <c r="J21"/>
  <c r="J20"/>
  <c r="K1"/>
  <c r="K113" i="24"/>
  <c r="E113"/>
  <c r="I112"/>
  <c r="O111"/>
  <c r="I111"/>
  <c r="K108"/>
  <c r="I108"/>
  <c r="E108"/>
  <c r="I107"/>
  <c r="O107" s="1"/>
  <c r="O106"/>
  <c r="O108" s="1"/>
  <c r="I106"/>
  <c r="K94"/>
  <c r="I92"/>
  <c r="E92"/>
  <c r="K92" s="1"/>
  <c r="O91"/>
  <c r="I91"/>
  <c r="O90"/>
  <c r="I90"/>
  <c r="E87"/>
  <c r="K87" s="1"/>
  <c r="O86"/>
  <c r="I86"/>
  <c r="I85"/>
  <c r="I87" s="1"/>
  <c r="K71"/>
  <c r="E71"/>
  <c r="O70"/>
  <c r="O71" s="1"/>
  <c r="I70"/>
  <c r="I71" s="1"/>
  <c r="O69"/>
  <c r="I69"/>
  <c r="K66"/>
  <c r="K73" s="1"/>
  <c r="E66"/>
  <c r="I65"/>
  <c r="O64"/>
  <c r="I64"/>
  <c r="K52"/>
  <c r="E50"/>
  <c r="K50" s="1"/>
  <c r="O49"/>
  <c r="I49"/>
  <c r="I48"/>
  <c r="I45"/>
  <c r="E45"/>
  <c r="K45" s="1"/>
  <c r="O44"/>
  <c r="I44"/>
  <c r="O43"/>
  <c r="O45" s="1"/>
  <c r="I43"/>
  <c r="K29"/>
  <c r="E29"/>
  <c r="I28"/>
  <c r="I29" s="1"/>
  <c r="O27"/>
  <c r="I27"/>
  <c r="K24"/>
  <c r="E24"/>
  <c r="O23"/>
  <c r="O24" s="1"/>
  <c r="I23"/>
  <c r="I24" s="1"/>
  <c r="O22"/>
  <c r="I22"/>
  <c r="O1"/>
  <c r="E175" i="23"/>
  <c r="F174"/>
  <c r="E174" s="1"/>
  <c r="E173"/>
  <c r="E172"/>
  <c r="E171"/>
  <c r="E169"/>
  <c r="E167"/>
  <c r="E166"/>
  <c r="E165"/>
  <c r="E139"/>
  <c r="F138"/>
  <c r="E138"/>
  <c r="E136"/>
  <c r="E135"/>
  <c r="E134"/>
  <c r="E133"/>
  <c r="E131"/>
  <c r="E130"/>
  <c r="E129"/>
  <c r="E103"/>
  <c r="F102"/>
  <c r="E100"/>
  <c r="E99"/>
  <c r="E98"/>
  <c r="E97"/>
  <c r="E94"/>
  <c r="E93"/>
  <c r="E68"/>
  <c r="E67"/>
  <c r="F66"/>
  <c r="E66" s="1"/>
  <c r="E65"/>
  <c r="E64"/>
  <c r="E63"/>
  <c r="E62"/>
  <c r="E61"/>
  <c r="E60"/>
  <c r="E59"/>
  <c r="E58"/>
  <c r="E57"/>
  <c r="G31"/>
  <c r="E30"/>
  <c r="E29"/>
  <c r="F28"/>
  <c r="E28" s="1"/>
  <c r="E27"/>
  <c r="E25"/>
  <c r="G24"/>
  <c r="F24"/>
  <c r="E24"/>
  <c r="E23"/>
  <c r="E22"/>
  <c r="E21"/>
  <c r="G20"/>
  <c r="F20"/>
  <c r="G19"/>
  <c r="F19"/>
  <c r="E19"/>
  <c r="G1"/>
  <c r="F46" i="22"/>
  <c r="F47" s="1"/>
  <c r="D45"/>
  <c r="E45" s="1"/>
  <c r="D44"/>
  <c r="C44"/>
  <c r="B44"/>
  <c r="D43"/>
  <c r="C43"/>
  <c r="E43" s="1"/>
  <c r="E42"/>
  <c r="D41"/>
  <c r="C41"/>
  <c r="E41" s="1"/>
  <c r="E40"/>
  <c r="D40"/>
  <c r="C40"/>
  <c r="B40"/>
  <c r="E39"/>
  <c r="D39"/>
  <c r="C39"/>
  <c r="F29"/>
  <c r="K28"/>
  <c r="J28"/>
  <c r="H28"/>
  <c r="G28"/>
  <c r="I28" s="1"/>
  <c r="F28"/>
  <c r="D28"/>
  <c r="D29" s="1"/>
  <c r="J27"/>
  <c r="J29" s="1"/>
  <c r="H27"/>
  <c r="G27"/>
  <c r="F27"/>
  <c r="D27"/>
  <c r="K26"/>
  <c r="I26"/>
  <c r="K25"/>
  <c r="I25"/>
  <c r="K24"/>
  <c r="I24"/>
  <c r="K22"/>
  <c r="I22"/>
  <c r="K21"/>
  <c r="I21"/>
  <c r="K20"/>
  <c r="I20"/>
  <c r="K19"/>
  <c r="I19"/>
  <c r="K18"/>
  <c r="I18"/>
  <c r="K17"/>
  <c r="I17"/>
  <c r="K16"/>
  <c r="I16"/>
  <c r="K15"/>
  <c r="I15"/>
  <c r="J13"/>
  <c r="D38" s="1"/>
  <c r="H13"/>
  <c r="C38" s="1"/>
  <c r="F13"/>
  <c r="K1"/>
  <c r="F16" i="21"/>
  <c r="D16"/>
  <c r="C16"/>
  <c r="H12"/>
  <c r="G12"/>
  <c r="F12"/>
  <c r="E12"/>
  <c r="D12"/>
  <c r="C12"/>
  <c r="H1"/>
  <c r="I52" i="20"/>
  <c r="H45"/>
  <c r="H51" s="1"/>
  <c r="H43"/>
  <c r="I48"/>
  <c r="E48"/>
  <c r="E54" s="1"/>
  <c r="I47"/>
  <c r="E47"/>
  <c r="I46"/>
  <c r="G43"/>
  <c r="G48"/>
  <c r="C48"/>
  <c r="C54" s="1"/>
  <c r="G47"/>
  <c r="D47"/>
  <c r="D53" s="1"/>
  <c r="C47"/>
  <c r="C53" s="1"/>
  <c r="H37"/>
  <c r="G46"/>
  <c r="C46"/>
  <c r="C52" s="1"/>
  <c r="I37"/>
  <c r="G37"/>
  <c r="F45"/>
  <c r="E37"/>
  <c r="B45"/>
  <c r="I53"/>
  <c r="G53"/>
  <c r="H31"/>
  <c r="I31"/>
  <c r="G31"/>
  <c r="E31"/>
  <c r="D31"/>
  <c r="I25"/>
  <c r="H25"/>
  <c r="G25"/>
  <c r="F25"/>
  <c r="E25"/>
  <c r="D25"/>
  <c r="C25"/>
  <c r="B25"/>
  <c r="H19"/>
  <c r="I19"/>
  <c r="H17" i="21" s="1"/>
  <c r="F19" i="20"/>
  <c r="E19"/>
  <c r="D19"/>
  <c r="I12"/>
  <c r="G12"/>
  <c r="F12"/>
  <c r="E12"/>
  <c r="D12"/>
  <c r="B12"/>
  <c r="I1"/>
  <c r="F26" i="19"/>
  <c r="G18"/>
  <c r="G15"/>
  <c r="F15"/>
  <c r="D15"/>
  <c r="C33"/>
  <c r="G13"/>
  <c r="F13"/>
  <c r="E13"/>
  <c r="D13"/>
  <c r="C13"/>
  <c r="G1"/>
  <c r="B45" i="18"/>
  <c r="B44"/>
  <c r="B43"/>
  <c r="B42"/>
  <c r="B41"/>
  <c r="L40"/>
  <c r="J40"/>
  <c r="I40"/>
  <c r="H40"/>
  <c r="F40"/>
  <c r="D40"/>
  <c r="B35"/>
  <c r="B34"/>
  <c r="B36" s="1"/>
  <c r="B33"/>
  <c r="B32"/>
  <c r="B31"/>
  <c r="F30"/>
  <c r="B23"/>
  <c r="B26" s="1"/>
  <c r="E35"/>
  <c r="D35"/>
  <c r="C45"/>
  <c r="D45" s="1"/>
  <c r="G44"/>
  <c r="E44"/>
  <c r="C34"/>
  <c r="E33"/>
  <c r="B17"/>
  <c r="E32"/>
  <c r="E42"/>
  <c r="E31"/>
  <c r="D31"/>
  <c r="C17"/>
  <c r="G13"/>
  <c r="G30" s="1"/>
  <c r="E13"/>
  <c r="E30" s="1"/>
  <c r="D13"/>
  <c r="E40" s="1"/>
  <c r="C13"/>
  <c r="C30" s="1"/>
  <c r="B13"/>
  <c r="B30" s="1"/>
  <c r="L1"/>
  <c r="I119" i="17"/>
  <c r="H119"/>
  <c r="G119"/>
  <c r="F119"/>
  <c r="I118"/>
  <c r="H118"/>
  <c r="G118"/>
  <c r="F118"/>
  <c r="I117"/>
  <c r="H117"/>
  <c r="G117"/>
  <c r="F117"/>
  <c r="I116"/>
  <c r="H116"/>
  <c r="F116"/>
  <c r="E115"/>
  <c r="G115"/>
  <c r="G111"/>
  <c r="E110"/>
  <c r="I110"/>
  <c r="E109"/>
  <c r="I109"/>
  <c r="G109"/>
  <c r="E108"/>
  <c r="I108"/>
  <c r="G108"/>
  <c r="E107"/>
  <c r="H107" s="1"/>
  <c r="G107"/>
  <c r="E106"/>
  <c r="G106"/>
  <c r="E104"/>
  <c r="G104"/>
  <c r="E103"/>
  <c r="E99"/>
  <c r="I99"/>
  <c r="G99"/>
  <c r="E98"/>
  <c r="G98"/>
  <c r="E97"/>
  <c r="I97"/>
  <c r="G97"/>
  <c r="E96"/>
  <c r="G96"/>
  <c r="E95"/>
  <c r="E94"/>
  <c r="G94"/>
  <c r="E93"/>
  <c r="E92"/>
  <c r="I92"/>
  <c r="G92"/>
  <c r="E91"/>
  <c r="E88"/>
  <c r="E84"/>
  <c r="I84"/>
  <c r="E83"/>
  <c r="I83"/>
  <c r="G83"/>
  <c r="E82"/>
  <c r="G82"/>
  <c r="E81"/>
  <c r="I81"/>
  <c r="G81"/>
  <c r="E80"/>
  <c r="I80"/>
  <c r="E79"/>
  <c r="I79"/>
  <c r="G79"/>
  <c r="E78"/>
  <c r="I77"/>
  <c r="G77"/>
  <c r="E76"/>
  <c r="E70"/>
  <c r="I70"/>
  <c r="E69"/>
  <c r="I69"/>
  <c r="G69"/>
  <c r="E67"/>
  <c r="E65"/>
  <c r="I65"/>
  <c r="G65"/>
  <c r="E61"/>
  <c r="I61"/>
  <c r="G61"/>
  <c r="E60"/>
  <c r="G60"/>
  <c r="E59"/>
  <c r="E58"/>
  <c r="I58"/>
  <c r="G58"/>
  <c r="E57"/>
  <c r="I57"/>
  <c r="G57"/>
  <c r="E56"/>
  <c r="G56"/>
  <c r="E46"/>
  <c r="I46"/>
  <c r="G46"/>
  <c r="E44"/>
  <c r="I44"/>
  <c r="E40"/>
  <c r="I40"/>
  <c r="G40"/>
  <c r="E38"/>
  <c r="I38"/>
  <c r="G38"/>
  <c r="I37"/>
  <c r="G37"/>
  <c r="E36"/>
  <c r="I36"/>
  <c r="G36"/>
  <c r="E33"/>
  <c r="H33" s="1"/>
  <c r="I33"/>
  <c r="I31"/>
  <c r="E25"/>
  <c r="E22"/>
  <c r="I22"/>
  <c r="E21"/>
  <c r="I21"/>
  <c r="G21"/>
  <c r="E19"/>
  <c r="E14"/>
  <c r="C14"/>
  <c r="I1"/>
  <c r="I115" i="16"/>
  <c r="G115"/>
  <c r="F115"/>
  <c r="E115"/>
  <c r="D115"/>
  <c r="C115"/>
  <c r="I114"/>
  <c r="G114"/>
  <c r="F114"/>
  <c r="E114"/>
  <c r="D114"/>
  <c r="C114"/>
  <c r="D112"/>
  <c r="D119" s="1"/>
  <c r="F111"/>
  <c r="E111"/>
  <c r="D111"/>
  <c r="C111"/>
  <c r="E111" i="17"/>
  <c r="E105"/>
  <c r="E102"/>
  <c r="E101"/>
  <c r="F101" s="1"/>
  <c r="E100"/>
  <c r="E90"/>
  <c r="E89"/>
  <c r="H84" i="16"/>
  <c r="G84"/>
  <c r="F84"/>
  <c r="E84"/>
  <c r="D84"/>
  <c r="C84"/>
  <c r="H72"/>
  <c r="F72"/>
  <c r="E72"/>
  <c r="D72"/>
  <c r="C72"/>
  <c r="E72" i="17"/>
  <c r="E71"/>
  <c r="E68"/>
  <c r="H62" i="16"/>
  <c r="H73" s="1"/>
  <c r="H85" s="1"/>
  <c r="F61"/>
  <c r="E61"/>
  <c r="E112" s="1"/>
  <c r="E119" s="1"/>
  <c r="D61"/>
  <c r="C61"/>
  <c r="E55" i="17"/>
  <c r="E54"/>
  <c r="E53"/>
  <c r="F53" s="1"/>
  <c r="E52"/>
  <c r="E51"/>
  <c r="E50"/>
  <c r="E49"/>
  <c r="E48"/>
  <c r="E45"/>
  <c r="H61" i="16"/>
  <c r="H41"/>
  <c r="F40"/>
  <c r="E40"/>
  <c r="D40"/>
  <c r="C40"/>
  <c r="C112" s="1"/>
  <c r="E39" i="17"/>
  <c r="H39" s="1"/>
  <c r="E37"/>
  <c r="E35"/>
  <c r="E34"/>
  <c r="G34" s="1"/>
  <c r="E32"/>
  <c r="E31"/>
  <c r="E30"/>
  <c r="E29"/>
  <c r="F29" s="1"/>
  <c r="E28"/>
  <c r="H28" s="1"/>
  <c r="E27"/>
  <c r="E26"/>
  <c r="E24"/>
  <c r="E23"/>
  <c r="E20"/>
  <c r="F20" s="1"/>
  <c r="H40" i="16"/>
  <c r="I14"/>
  <c r="I41" s="1"/>
  <c r="I62" s="1"/>
  <c r="I73" s="1"/>
  <c r="I85" s="1"/>
  <c r="G14"/>
  <c r="G41" s="1"/>
  <c r="G62" s="1"/>
  <c r="G73" s="1"/>
  <c r="G85" s="1"/>
  <c r="F14"/>
  <c r="F41" s="1"/>
  <c r="F62" s="1"/>
  <c r="F73" s="1"/>
  <c r="F85" s="1"/>
  <c r="E14"/>
  <c r="E41" s="1"/>
  <c r="E62" s="1"/>
  <c r="E73" s="1"/>
  <c r="E85" s="1"/>
  <c r="D14"/>
  <c r="D41" s="1"/>
  <c r="D62" s="1"/>
  <c r="D73" s="1"/>
  <c r="D85" s="1"/>
  <c r="C14"/>
  <c r="C41" s="1"/>
  <c r="C62" s="1"/>
  <c r="C73" s="1"/>
  <c r="C85" s="1"/>
  <c r="I1"/>
  <c r="G132" i="15"/>
  <c r="F132"/>
  <c r="E132"/>
  <c r="D132"/>
  <c r="C132"/>
  <c r="I131"/>
  <c r="H132"/>
  <c r="H26" s="1"/>
  <c r="H32" s="1"/>
  <c r="I132"/>
  <c r="I26" s="1"/>
  <c r="I128"/>
  <c r="H128"/>
  <c r="G128"/>
  <c r="E128"/>
  <c r="D128"/>
  <c r="C128"/>
  <c r="I124"/>
  <c r="I25" s="1"/>
  <c r="H124"/>
  <c r="G124"/>
  <c r="F124"/>
  <c r="E124"/>
  <c r="D124"/>
  <c r="C124"/>
  <c r="I123"/>
  <c r="I122"/>
  <c r="H122"/>
  <c r="G122"/>
  <c r="E122"/>
  <c r="D122"/>
  <c r="C122"/>
  <c r="I118"/>
  <c r="G118"/>
  <c r="F118"/>
  <c r="E118"/>
  <c r="D118"/>
  <c r="C118"/>
  <c r="H117"/>
  <c r="H118" s="1"/>
  <c r="I116"/>
  <c r="H116"/>
  <c r="G116"/>
  <c r="E116"/>
  <c r="D116"/>
  <c r="C116"/>
  <c r="I112"/>
  <c r="F112"/>
  <c r="E112"/>
  <c r="D112"/>
  <c r="E111"/>
  <c r="H110"/>
  <c r="C109"/>
  <c r="C112" s="1"/>
  <c r="I108"/>
  <c r="H108"/>
  <c r="G108"/>
  <c r="E108"/>
  <c r="D108"/>
  <c r="C108"/>
  <c r="I104"/>
  <c r="H104"/>
  <c r="G104"/>
  <c r="F104"/>
  <c r="E104"/>
  <c r="D104"/>
  <c r="C104"/>
  <c r="I98"/>
  <c r="H98"/>
  <c r="G98"/>
  <c r="E98"/>
  <c r="D98"/>
  <c r="C98"/>
  <c r="H94"/>
  <c r="G94"/>
  <c r="F94"/>
  <c r="E94"/>
  <c r="D94"/>
  <c r="C94"/>
  <c r="I94"/>
  <c r="I21" s="1"/>
  <c r="I91"/>
  <c r="H91"/>
  <c r="G91"/>
  <c r="E91"/>
  <c r="D91"/>
  <c r="C91"/>
  <c r="I87"/>
  <c r="H87"/>
  <c r="F87"/>
  <c r="E87"/>
  <c r="D87"/>
  <c r="C87"/>
  <c r="I86"/>
  <c r="G86"/>
  <c r="G87" s="1"/>
  <c r="I85"/>
  <c r="H85"/>
  <c r="G85"/>
  <c r="E85"/>
  <c r="D85"/>
  <c r="C85"/>
  <c r="G81"/>
  <c r="H79" s="1"/>
  <c r="H81" s="1"/>
  <c r="F81"/>
  <c r="E81"/>
  <c r="D81"/>
  <c r="C81"/>
  <c r="H80"/>
  <c r="I79"/>
  <c r="I81" s="1"/>
  <c r="I78"/>
  <c r="H78"/>
  <c r="G78"/>
  <c r="E78"/>
  <c r="D78"/>
  <c r="C78"/>
  <c r="I74"/>
  <c r="H74"/>
  <c r="G74"/>
  <c r="F74"/>
  <c r="E74"/>
  <c r="D74"/>
  <c r="C74"/>
  <c r="I69"/>
  <c r="H69"/>
  <c r="G69"/>
  <c r="E69"/>
  <c r="D69"/>
  <c r="C69"/>
  <c r="I65"/>
  <c r="H65"/>
  <c r="G65"/>
  <c r="F65"/>
  <c r="E65"/>
  <c r="D65"/>
  <c r="C65"/>
  <c r="I58"/>
  <c r="H58"/>
  <c r="G58"/>
  <c r="E58"/>
  <c r="D58"/>
  <c r="C58"/>
  <c r="G32"/>
  <c r="F32"/>
  <c r="C32"/>
  <c r="I31"/>
  <c r="H31"/>
  <c r="G31"/>
  <c r="F31"/>
  <c r="E31"/>
  <c r="D31"/>
  <c r="D33" s="1"/>
  <c r="C31"/>
  <c r="I30"/>
  <c r="H30"/>
  <c r="G30"/>
  <c r="F30"/>
  <c r="E30"/>
  <c r="D30"/>
  <c r="C30"/>
  <c r="G29"/>
  <c r="F29"/>
  <c r="F33" s="1"/>
  <c r="E29"/>
  <c r="D29"/>
  <c r="C26"/>
  <c r="D23"/>
  <c r="D32" s="1"/>
  <c r="E21"/>
  <c r="E32" s="1"/>
  <c r="H18"/>
  <c r="D17"/>
  <c r="I29"/>
  <c r="H29"/>
  <c r="E15"/>
  <c r="C15"/>
  <c r="C29" s="1"/>
  <c r="I13"/>
  <c r="H13"/>
  <c r="G13"/>
  <c r="C12" s="1"/>
  <c r="H12"/>
  <c r="G12"/>
  <c r="E12"/>
  <c r="E97" s="1"/>
  <c r="I1"/>
  <c r="G53" i="14"/>
  <c r="F53"/>
  <c r="E53"/>
  <c r="I52"/>
  <c r="H52"/>
  <c r="I51"/>
  <c r="H51"/>
  <c r="I50"/>
  <c r="H50"/>
  <c r="I49"/>
  <c r="H49"/>
  <c r="I48"/>
  <c r="H48"/>
  <c r="I47"/>
  <c r="H47"/>
  <c r="I46"/>
  <c r="H46"/>
  <c r="I45"/>
  <c r="H45"/>
  <c r="I43"/>
  <c r="H43"/>
  <c r="I42"/>
  <c r="H42"/>
  <c r="I41"/>
  <c r="H41"/>
  <c r="I40"/>
  <c r="H40"/>
  <c r="I39"/>
  <c r="H39"/>
  <c r="H53" s="1"/>
  <c r="I31"/>
  <c r="G31"/>
  <c r="F31"/>
  <c r="E31"/>
  <c r="I30"/>
  <c r="H30"/>
  <c r="I29"/>
  <c r="H29"/>
  <c r="I28"/>
  <c r="H28"/>
  <c r="I27"/>
  <c r="H27"/>
  <c r="I26"/>
  <c r="H26"/>
  <c r="I25"/>
  <c r="H25"/>
  <c r="I24"/>
  <c r="H24"/>
  <c r="I23"/>
  <c r="H23"/>
  <c r="I22"/>
  <c r="H22"/>
  <c r="I21"/>
  <c r="H21"/>
  <c r="I20"/>
  <c r="H20"/>
  <c r="I19"/>
  <c r="H19"/>
  <c r="I18"/>
  <c r="H18"/>
  <c r="I17"/>
  <c r="H17"/>
  <c r="M1"/>
  <c r="P61" i="13"/>
  <c r="L61"/>
  <c r="K61"/>
  <c r="I61"/>
  <c r="P59"/>
  <c r="L59"/>
  <c r="K59"/>
  <c r="M59" s="1"/>
  <c r="O59" s="1"/>
  <c r="J59"/>
  <c r="I59"/>
  <c r="P58"/>
  <c r="M58"/>
  <c r="O58" s="1"/>
  <c r="L58"/>
  <c r="K58"/>
  <c r="J58"/>
  <c r="I58"/>
  <c r="K57"/>
  <c r="I57"/>
  <c r="P56"/>
  <c r="L56"/>
  <c r="K56"/>
  <c r="J56"/>
  <c r="I56"/>
  <c r="K55"/>
  <c r="I55"/>
  <c r="P54"/>
  <c r="L54"/>
  <c r="K54"/>
  <c r="J54"/>
  <c r="R54" s="1"/>
  <c r="I54"/>
  <c r="P53"/>
  <c r="L53"/>
  <c r="J53"/>
  <c r="I53"/>
  <c r="P52"/>
  <c r="L52"/>
  <c r="K52"/>
  <c r="M52" s="1"/>
  <c r="O52" s="1"/>
  <c r="J52"/>
  <c r="I52"/>
  <c r="K51"/>
  <c r="I51"/>
  <c r="P50"/>
  <c r="L50"/>
  <c r="K50"/>
  <c r="J50"/>
  <c r="I50"/>
  <c r="P49"/>
  <c r="L49"/>
  <c r="K49"/>
  <c r="J49"/>
  <c r="I49"/>
  <c r="Q60"/>
  <c r="Q62" s="1"/>
  <c r="K48"/>
  <c r="I48"/>
  <c r="P47"/>
  <c r="L47"/>
  <c r="K47"/>
  <c r="J47"/>
  <c r="I47"/>
  <c r="P46"/>
  <c r="R46" s="1"/>
  <c r="N46"/>
  <c r="K46"/>
  <c r="J46"/>
  <c r="I46"/>
  <c r="L46"/>
  <c r="K45"/>
  <c r="I45"/>
  <c r="P45"/>
  <c r="P44"/>
  <c r="L44"/>
  <c r="K44"/>
  <c r="J44"/>
  <c r="I44"/>
  <c r="P43"/>
  <c r="L43"/>
  <c r="K43"/>
  <c r="J43"/>
  <c r="R43" s="1"/>
  <c r="I43"/>
  <c r="I42"/>
  <c r="P41"/>
  <c r="L41"/>
  <c r="K41"/>
  <c r="J41"/>
  <c r="M41" s="1"/>
  <c r="O41" s="1"/>
  <c r="I41"/>
  <c r="P40"/>
  <c r="L40"/>
  <c r="K40"/>
  <c r="I40"/>
  <c r="P39"/>
  <c r="L39"/>
  <c r="K39"/>
  <c r="J39"/>
  <c r="R39" s="1"/>
  <c r="I39"/>
  <c r="P38"/>
  <c r="L38"/>
  <c r="K38"/>
  <c r="J38"/>
  <c r="R38" s="1"/>
  <c r="I38"/>
  <c r="P37"/>
  <c r="L37"/>
  <c r="K37"/>
  <c r="J37"/>
  <c r="I37"/>
  <c r="P36"/>
  <c r="L36"/>
  <c r="K36"/>
  <c r="I36"/>
  <c r="J36"/>
  <c r="P35"/>
  <c r="L35"/>
  <c r="K35"/>
  <c r="I35"/>
  <c r="J35"/>
  <c r="J34"/>
  <c r="I34"/>
  <c r="P33"/>
  <c r="L33"/>
  <c r="K33"/>
  <c r="J33"/>
  <c r="I33"/>
  <c r="D33"/>
  <c r="P32"/>
  <c r="L32"/>
  <c r="K32"/>
  <c r="I32"/>
  <c r="J32"/>
  <c r="M32" s="1"/>
  <c r="K31"/>
  <c r="I31"/>
  <c r="K30"/>
  <c r="I30"/>
  <c r="E30"/>
  <c r="P30" s="1"/>
  <c r="K29"/>
  <c r="I29"/>
  <c r="E29"/>
  <c r="P29" s="1"/>
  <c r="K28"/>
  <c r="I28"/>
  <c r="K27"/>
  <c r="I27"/>
  <c r="K26"/>
  <c r="I26"/>
  <c r="P25"/>
  <c r="L25"/>
  <c r="K25"/>
  <c r="J25"/>
  <c r="R25" s="1"/>
  <c r="I25"/>
  <c r="K24"/>
  <c r="J24"/>
  <c r="I24"/>
  <c r="P24"/>
  <c r="K23"/>
  <c r="J23"/>
  <c r="I23"/>
  <c r="P23"/>
  <c r="K22"/>
  <c r="I22"/>
  <c r="P21"/>
  <c r="L21"/>
  <c r="K21"/>
  <c r="J21"/>
  <c r="R21" s="1"/>
  <c r="I21"/>
  <c r="K20"/>
  <c r="I20"/>
  <c r="P19"/>
  <c r="L19"/>
  <c r="K19"/>
  <c r="I19"/>
  <c r="P18"/>
  <c r="L18"/>
  <c r="K18"/>
  <c r="J18"/>
  <c r="I18"/>
  <c r="P17"/>
  <c r="L17"/>
  <c r="K17"/>
  <c r="J17"/>
  <c r="I17"/>
  <c r="I16"/>
  <c r="R1"/>
  <c r="I56" i="12"/>
  <c r="F56"/>
  <c r="L54"/>
  <c r="J54"/>
  <c r="I54"/>
  <c r="K53"/>
  <c r="J53"/>
  <c r="I53"/>
  <c r="F53"/>
  <c r="K52"/>
  <c r="I52"/>
  <c r="F52"/>
  <c r="K51"/>
  <c r="J51"/>
  <c r="I51"/>
  <c r="F51"/>
  <c r="I50"/>
  <c r="K49"/>
  <c r="J49"/>
  <c r="I49"/>
  <c r="F49"/>
  <c r="K48"/>
  <c r="J48"/>
  <c r="I48"/>
  <c r="F48"/>
  <c r="L47"/>
  <c r="J47"/>
  <c r="I47"/>
  <c r="E47"/>
  <c r="G47" s="1"/>
  <c r="I46"/>
  <c r="K45"/>
  <c r="J45"/>
  <c r="I45"/>
  <c r="F45"/>
  <c r="K44"/>
  <c r="J44"/>
  <c r="I44"/>
  <c r="F44"/>
  <c r="I43"/>
  <c r="F43"/>
  <c r="K42"/>
  <c r="J42"/>
  <c r="I42"/>
  <c r="F42"/>
  <c r="I41"/>
  <c r="E41"/>
  <c r="G41" s="1"/>
  <c r="J41" s="1"/>
  <c r="L41" s="1"/>
  <c r="I40"/>
  <c r="E40"/>
  <c r="G40" s="1"/>
  <c r="J40" s="1"/>
  <c r="L40" s="1"/>
  <c r="J39"/>
  <c r="L39" s="1"/>
  <c r="I39"/>
  <c r="E39"/>
  <c r="G39" s="1"/>
  <c r="J38"/>
  <c r="L38" s="1"/>
  <c r="I38"/>
  <c r="E38"/>
  <c r="G38" s="1"/>
  <c r="I37"/>
  <c r="L36"/>
  <c r="J36"/>
  <c r="I36"/>
  <c r="F36"/>
  <c r="E36"/>
  <c r="I35"/>
  <c r="F35"/>
  <c r="K34"/>
  <c r="J34"/>
  <c r="I34"/>
  <c r="F34"/>
  <c r="K33"/>
  <c r="J33"/>
  <c r="I33"/>
  <c r="F33"/>
  <c r="K32"/>
  <c r="J32"/>
  <c r="I32"/>
  <c r="F32"/>
  <c r="J31"/>
  <c r="L31" s="1"/>
  <c r="I31"/>
  <c r="E31"/>
  <c r="G31" s="1"/>
  <c r="I30"/>
  <c r="F30"/>
  <c r="I29"/>
  <c r="I28"/>
  <c r="K27"/>
  <c r="I27"/>
  <c r="I26"/>
  <c r="I25"/>
  <c r="F25"/>
  <c r="I24"/>
  <c r="F24"/>
  <c r="K23"/>
  <c r="J23"/>
  <c r="I23"/>
  <c r="F23"/>
  <c r="K22"/>
  <c r="I22"/>
  <c r="K21"/>
  <c r="J21"/>
  <c r="I21"/>
  <c r="F21"/>
  <c r="I20"/>
  <c r="I19"/>
  <c r="F19"/>
  <c r="K18"/>
  <c r="J18"/>
  <c r="I18"/>
  <c r="K17"/>
  <c r="J17"/>
  <c r="I17"/>
  <c r="F17"/>
  <c r="I16"/>
  <c r="L1"/>
  <c r="K56" i="11"/>
  <c r="I56"/>
  <c r="F56"/>
  <c r="K54"/>
  <c r="J54"/>
  <c r="I54"/>
  <c r="F54"/>
  <c r="K53"/>
  <c r="J53"/>
  <c r="I53"/>
  <c r="F53"/>
  <c r="K52"/>
  <c r="I52"/>
  <c r="F52"/>
  <c r="K51"/>
  <c r="J51"/>
  <c r="I51"/>
  <c r="F51"/>
  <c r="D51" i="12"/>
  <c r="K50" i="11"/>
  <c r="I50"/>
  <c r="F50"/>
  <c r="K49"/>
  <c r="J49"/>
  <c r="I49"/>
  <c r="F49"/>
  <c r="K48"/>
  <c r="J48"/>
  <c r="I48"/>
  <c r="F48"/>
  <c r="K47"/>
  <c r="J47"/>
  <c r="I47"/>
  <c r="E47"/>
  <c r="G47" s="1"/>
  <c r="K46"/>
  <c r="I46"/>
  <c r="F46"/>
  <c r="K45"/>
  <c r="L45" s="1"/>
  <c r="J45"/>
  <c r="I45"/>
  <c r="F45"/>
  <c r="K44"/>
  <c r="J44"/>
  <c r="I44"/>
  <c r="F44"/>
  <c r="K43"/>
  <c r="I43"/>
  <c r="F43"/>
  <c r="J42"/>
  <c r="L42" s="1"/>
  <c r="I42"/>
  <c r="F42"/>
  <c r="I41"/>
  <c r="I40"/>
  <c r="K39"/>
  <c r="J39"/>
  <c r="I39"/>
  <c r="K38"/>
  <c r="J38"/>
  <c r="I38"/>
  <c r="K37"/>
  <c r="I37"/>
  <c r="K36"/>
  <c r="J36"/>
  <c r="I36"/>
  <c r="F36"/>
  <c r="E36"/>
  <c r="K35"/>
  <c r="I35"/>
  <c r="F35"/>
  <c r="K34"/>
  <c r="J34"/>
  <c r="I34"/>
  <c r="F34"/>
  <c r="K33"/>
  <c r="J33"/>
  <c r="I33"/>
  <c r="F33"/>
  <c r="K32"/>
  <c r="J32"/>
  <c r="I32"/>
  <c r="F32"/>
  <c r="K31"/>
  <c r="J31"/>
  <c r="I31"/>
  <c r="E31"/>
  <c r="G31" s="1"/>
  <c r="K30"/>
  <c r="I30"/>
  <c r="F30"/>
  <c r="I29"/>
  <c r="K28"/>
  <c r="I28"/>
  <c r="F28"/>
  <c r="K27"/>
  <c r="I27"/>
  <c r="F27"/>
  <c r="K26"/>
  <c r="I26"/>
  <c r="F26"/>
  <c r="K25"/>
  <c r="I25"/>
  <c r="F25"/>
  <c r="K24"/>
  <c r="I24"/>
  <c r="F24"/>
  <c r="K23"/>
  <c r="J23"/>
  <c r="L23" s="1"/>
  <c r="I23"/>
  <c r="F23"/>
  <c r="K22"/>
  <c r="I22"/>
  <c r="F22"/>
  <c r="K21"/>
  <c r="J21"/>
  <c r="I21"/>
  <c r="F21"/>
  <c r="K20"/>
  <c r="I20"/>
  <c r="F20"/>
  <c r="K19"/>
  <c r="I19"/>
  <c r="F19"/>
  <c r="K18"/>
  <c r="J18"/>
  <c r="L18" s="1"/>
  <c r="I18"/>
  <c r="F18"/>
  <c r="K17"/>
  <c r="J17"/>
  <c r="L17" s="1"/>
  <c r="I17"/>
  <c r="F17"/>
  <c r="I16"/>
  <c r="F16"/>
  <c r="L1"/>
  <c r="O56" i="10"/>
  <c r="N61" i="13" s="1"/>
  <c r="L54" i="10"/>
  <c r="E54"/>
  <c r="E57" i="13"/>
  <c r="P57" s="1"/>
  <c r="E55"/>
  <c r="E51"/>
  <c r="L51" s="1"/>
  <c r="E48"/>
  <c r="P48" s="1"/>
  <c r="P40" i="10"/>
  <c r="P55" s="1"/>
  <c r="P57" s="1"/>
  <c r="I40"/>
  <c r="E42" i="13"/>
  <c r="L42" s="1"/>
  <c r="E34"/>
  <c r="P34" s="1"/>
  <c r="E31"/>
  <c r="L31" s="1"/>
  <c r="E28"/>
  <c r="E27"/>
  <c r="L27" s="1"/>
  <c r="E26"/>
  <c r="L26" s="1"/>
  <c r="E22"/>
  <c r="L22" s="1"/>
  <c r="E20"/>
  <c r="P20" s="1"/>
  <c r="E18"/>
  <c r="E16"/>
  <c r="P16" s="1"/>
  <c r="R1" i="10"/>
  <c r="L61" i="9"/>
  <c r="L60"/>
  <c r="K56"/>
  <c r="K56" i="12" s="1"/>
  <c r="J54" i="9"/>
  <c r="E54"/>
  <c r="F54" i="12"/>
  <c r="K50"/>
  <c r="F50"/>
  <c r="K46"/>
  <c r="F46"/>
  <c r="K43"/>
  <c r="L55" i="9"/>
  <c r="L57" s="1"/>
  <c r="G55"/>
  <c r="G57" s="1"/>
  <c r="K37" i="12"/>
  <c r="F37"/>
  <c r="K35"/>
  <c r="K30"/>
  <c r="K29"/>
  <c r="F29"/>
  <c r="K28"/>
  <c r="F28"/>
  <c r="F27"/>
  <c r="K26"/>
  <c r="K25"/>
  <c r="K24"/>
  <c r="F22"/>
  <c r="K20"/>
  <c r="F20"/>
  <c r="K19"/>
  <c r="F18"/>
  <c r="K16"/>
  <c r="F16"/>
  <c r="N1" i="9"/>
  <c r="G57" i="8"/>
  <c r="F56"/>
  <c r="L55"/>
  <c r="L57" s="1"/>
  <c r="G55"/>
  <c r="K37"/>
  <c r="F37"/>
  <c r="F37" i="11" s="1"/>
  <c r="K29" i="8"/>
  <c r="K29" i="11" s="1"/>
  <c r="F29" i="8"/>
  <c r="F29" i="11" s="1"/>
  <c r="K16" i="8"/>
  <c r="N1"/>
  <c r="L57" i="7"/>
  <c r="J56"/>
  <c r="M56" s="1"/>
  <c r="J56" i="8" s="1"/>
  <c r="M56" s="1"/>
  <c r="J56" i="9" s="1"/>
  <c r="M56" s="1"/>
  <c r="L56" i="10" s="1"/>
  <c r="N56" s="1"/>
  <c r="Q56" s="1"/>
  <c r="F56" i="7"/>
  <c r="E56"/>
  <c r="H56" s="1"/>
  <c r="L55"/>
  <c r="K55"/>
  <c r="K57" s="1"/>
  <c r="F55"/>
  <c r="F57" s="1"/>
  <c r="J54"/>
  <c r="M54" s="1"/>
  <c r="J54" i="8" s="1"/>
  <c r="E54" i="7"/>
  <c r="H54" s="1"/>
  <c r="E54" i="8" s="1"/>
  <c r="H52" i="7"/>
  <c r="E52" i="8" s="1"/>
  <c r="K29" i="7"/>
  <c r="F29"/>
  <c r="N1"/>
  <c r="L57" i="6"/>
  <c r="L54"/>
  <c r="G54"/>
  <c r="K29"/>
  <c r="K54" s="1"/>
  <c r="L59" s="1"/>
  <c r="F29"/>
  <c r="F54" s="1"/>
  <c r="D406" i="3" s="1"/>
  <c r="N1" i="6"/>
  <c r="L54" i="5"/>
  <c r="K54"/>
  <c r="L59" s="1"/>
  <c r="G54"/>
  <c r="F54"/>
  <c r="C406" i="3" s="1"/>
  <c r="J52" i="5"/>
  <c r="M52" s="1"/>
  <c r="J52" i="6" s="1"/>
  <c r="M52" s="1"/>
  <c r="F52" i="5"/>
  <c r="E51"/>
  <c r="H51" s="1"/>
  <c r="E51" i="6" s="1"/>
  <c r="H51" s="1"/>
  <c r="E50" i="5"/>
  <c r="H50" s="1"/>
  <c r="J49"/>
  <c r="M49" s="1"/>
  <c r="J49" i="6" s="1"/>
  <c r="M49" s="1"/>
  <c r="J49" i="7" s="1"/>
  <c r="M49" s="1"/>
  <c r="J49" i="8" s="1"/>
  <c r="M49" s="1"/>
  <c r="J49" i="9" s="1"/>
  <c r="M49" s="1"/>
  <c r="L49" i="10" s="1"/>
  <c r="N49" s="1"/>
  <c r="J48" i="5"/>
  <c r="M48" s="1"/>
  <c r="J48" i="6" s="1"/>
  <c r="M48" s="1"/>
  <c r="J48" i="7" s="1"/>
  <c r="M48" s="1"/>
  <c r="J48" i="8" s="1"/>
  <c r="M48" s="1"/>
  <c r="J48" i="9" s="1"/>
  <c r="M48" s="1"/>
  <c r="L48" i="10" s="1"/>
  <c r="N48" s="1"/>
  <c r="Q48" s="1"/>
  <c r="E47" i="5"/>
  <c r="H47" s="1"/>
  <c r="E47" i="6" s="1"/>
  <c r="H47" s="1"/>
  <c r="J45" i="5"/>
  <c r="M45" s="1"/>
  <c r="J45" i="6" s="1"/>
  <c r="M45" s="1"/>
  <c r="J45" i="7" s="1"/>
  <c r="M45" s="1"/>
  <c r="J45" i="8" s="1"/>
  <c r="M45" s="1"/>
  <c r="J45" i="9" s="1"/>
  <c r="M45" s="1"/>
  <c r="L45" i="10" s="1"/>
  <c r="N45" s="1"/>
  <c r="J44" i="5"/>
  <c r="M44" s="1"/>
  <c r="J44" i="6" s="1"/>
  <c r="M44" s="1"/>
  <c r="J44" i="7" s="1"/>
  <c r="M44" s="1"/>
  <c r="J44" i="8" s="1"/>
  <c r="M44" s="1"/>
  <c r="J44" i="9" s="1"/>
  <c r="M44" s="1"/>
  <c r="L44" i="10" s="1"/>
  <c r="N44" s="1"/>
  <c r="Q44" s="1"/>
  <c r="E43" i="5"/>
  <c r="H43" s="1"/>
  <c r="E43" i="6" s="1"/>
  <c r="H43" s="1"/>
  <c r="E42" i="5"/>
  <c r="H42" s="1"/>
  <c r="J41"/>
  <c r="M41" s="1"/>
  <c r="J41" i="6" s="1"/>
  <c r="M41" s="1"/>
  <c r="J41" i="7" s="1"/>
  <c r="M41" s="1"/>
  <c r="J41" i="8" s="1"/>
  <c r="M41" s="1"/>
  <c r="J41" i="9" s="1"/>
  <c r="M41" s="1"/>
  <c r="L41" i="10" s="1"/>
  <c r="N41" s="1"/>
  <c r="Q41" s="1"/>
  <c r="J40" i="5"/>
  <c r="M40" s="1"/>
  <c r="J40" i="6" s="1"/>
  <c r="M40" s="1"/>
  <c r="J40" i="7" s="1"/>
  <c r="M40" s="1"/>
  <c r="J40" i="8" s="1"/>
  <c r="M40" s="1"/>
  <c r="J40" i="9" s="1"/>
  <c r="E39" i="5"/>
  <c r="H39" s="1"/>
  <c r="E39" i="6" s="1"/>
  <c r="H39" s="1"/>
  <c r="J37" i="5"/>
  <c r="M37" s="1"/>
  <c r="J37" i="6" s="1"/>
  <c r="M37" s="1"/>
  <c r="J37" i="7" s="1"/>
  <c r="M37" s="1"/>
  <c r="J37" i="8" s="1"/>
  <c r="M37" s="1"/>
  <c r="J37" i="9" s="1"/>
  <c r="M37" s="1"/>
  <c r="L37" i="10" s="1"/>
  <c r="N37" s="1"/>
  <c r="J36" i="5"/>
  <c r="M36" s="1"/>
  <c r="J36" i="6" s="1"/>
  <c r="M36" s="1"/>
  <c r="J36" i="7" s="1"/>
  <c r="M36" s="1"/>
  <c r="J36" i="8" s="1"/>
  <c r="M36" s="1"/>
  <c r="J36" i="9" s="1"/>
  <c r="M36" s="1"/>
  <c r="L36" i="10" s="1"/>
  <c r="N36" s="1"/>
  <c r="Q36" s="1"/>
  <c r="E35" i="5"/>
  <c r="H35" s="1"/>
  <c r="E35" i="6" s="1"/>
  <c r="H35" s="1"/>
  <c r="E34" i="5"/>
  <c r="H34" s="1"/>
  <c r="J33"/>
  <c r="M33" s="1"/>
  <c r="J33" i="6" s="1"/>
  <c r="M33" s="1"/>
  <c r="J33" i="7" s="1"/>
  <c r="M33" s="1"/>
  <c r="J33" i="8" s="1"/>
  <c r="M33" s="1"/>
  <c r="J33" i="9" s="1"/>
  <c r="M33" s="1"/>
  <c r="L33" i="10" s="1"/>
  <c r="N33" s="1"/>
  <c r="Q33" s="1"/>
  <c r="J32" i="5"/>
  <c r="M32" s="1"/>
  <c r="J32" i="6" s="1"/>
  <c r="M32" s="1"/>
  <c r="J32" i="7" s="1"/>
  <c r="M32" s="1"/>
  <c r="J32" i="8" s="1"/>
  <c r="M32" s="1"/>
  <c r="J32" i="9" s="1"/>
  <c r="M32" s="1"/>
  <c r="L32" i="10" s="1"/>
  <c r="N32" s="1"/>
  <c r="Q32" s="1"/>
  <c r="E31" i="5"/>
  <c r="H31" s="1"/>
  <c r="E31" i="6" s="1"/>
  <c r="H31" s="1"/>
  <c r="K29" i="5"/>
  <c r="F29"/>
  <c r="H28"/>
  <c r="E28" i="6" s="1"/>
  <c r="H28" s="1"/>
  <c r="E28" i="7" s="1"/>
  <c r="H28" s="1"/>
  <c r="E28" i="5"/>
  <c r="J23"/>
  <c r="M23" s="1"/>
  <c r="J23" i="6" s="1"/>
  <c r="M23" s="1"/>
  <c r="J23" i="7" s="1"/>
  <c r="M23" s="1"/>
  <c r="J23" i="8" s="1"/>
  <c r="M23" s="1"/>
  <c r="J23" i="9" s="1"/>
  <c r="M23" s="1"/>
  <c r="L23" i="10" s="1"/>
  <c r="N23" s="1"/>
  <c r="Q23" s="1"/>
  <c r="J19" i="5"/>
  <c r="M19" s="1"/>
  <c r="J19" i="6" s="1"/>
  <c r="M19" s="1"/>
  <c r="J19" i="7" s="1"/>
  <c r="M19" s="1"/>
  <c r="J19" i="8" s="1"/>
  <c r="M19" s="1"/>
  <c r="J19" i="9" s="1"/>
  <c r="M19" s="1"/>
  <c r="L19" i="10" s="1"/>
  <c r="N19" s="1"/>
  <c r="N1" i="5"/>
  <c r="L54" i="4"/>
  <c r="J54"/>
  <c r="G54"/>
  <c r="N52"/>
  <c r="M52"/>
  <c r="H52"/>
  <c r="E52" i="5" s="1"/>
  <c r="H52" s="1"/>
  <c r="M51" i="4"/>
  <c r="J51" i="5" s="1"/>
  <c r="M51" s="1"/>
  <c r="J51" i="6" s="1"/>
  <c r="M51" s="1"/>
  <c r="J51" i="7" s="1"/>
  <c r="M51" s="1"/>
  <c r="J51" i="8" s="1"/>
  <c r="M51" s="1"/>
  <c r="J51" i="9" s="1"/>
  <c r="M51" s="1"/>
  <c r="L51" i="10" s="1"/>
  <c r="N51" s="1"/>
  <c r="H51" i="4"/>
  <c r="M50"/>
  <c r="J50" i="5" s="1"/>
  <c r="M50" s="1"/>
  <c r="J50" i="6" s="1"/>
  <c r="M50" s="1"/>
  <c r="J50" i="7" s="1"/>
  <c r="M50" s="1"/>
  <c r="J50" i="8" s="1"/>
  <c r="M50" s="1"/>
  <c r="J50" i="9" s="1"/>
  <c r="M50" s="1"/>
  <c r="L50" i="10" s="1"/>
  <c r="N50" s="1"/>
  <c r="H50" i="4"/>
  <c r="N50" s="1"/>
  <c r="M49"/>
  <c r="H49"/>
  <c r="N48"/>
  <c r="M48"/>
  <c r="H48"/>
  <c r="E48" i="5" s="1"/>
  <c r="H48" s="1"/>
  <c r="E48" i="6" s="1"/>
  <c r="H48" s="1"/>
  <c r="N47" i="4"/>
  <c r="M47"/>
  <c r="J47" i="5" s="1"/>
  <c r="M47" s="1"/>
  <c r="H47" i="4"/>
  <c r="M46"/>
  <c r="J46" i="5" s="1"/>
  <c r="M46" s="1"/>
  <c r="J46" i="6" s="1"/>
  <c r="M46" s="1"/>
  <c r="J46" i="7" s="1"/>
  <c r="M46" s="1"/>
  <c r="J46" i="8" s="1"/>
  <c r="M46" s="1"/>
  <c r="J46" i="9" s="1"/>
  <c r="M46" s="1"/>
  <c r="L46" i="10" s="1"/>
  <c r="N46" s="1"/>
  <c r="Q46" s="1"/>
  <c r="H46" i="4"/>
  <c r="M45"/>
  <c r="H45"/>
  <c r="N44"/>
  <c r="M44"/>
  <c r="H44"/>
  <c r="E44" i="5" s="1"/>
  <c r="H44" s="1"/>
  <c r="E44" i="6" s="1"/>
  <c r="H44" s="1"/>
  <c r="E44" i="7" s="1"/>
  <c r="H44" s="1"/>
  <c r="M43" i="4"/>
  <c r="J43" i="5" s="1"/>
  <c r="M43" s="1"/>
  <c r="J43" i="6" s="1"/>
  <c r="M43" s="1"/>
  <c r="J43" i="7" s="1"/>
  <c r="M43" s="1"/>
  <c r="J43" i="8" s="1"/>
  <c r="M43" s="1"/>
  <c r="J43" i="9" s="1"/>
  <c r="M43" s="1"/>
  <c r="L43" i="10" s="1"/>
  <c r="N43" s="1"/>
  <c r="Q43" s="1"/>
  <c r="H43" i="4"/>
  <c r="M42"/>
  <c r="J42" i="5" s="1"/>
  <c r="M42" s="1"/>
  <c r="J42" i="6" s="1"/>
  <c r="M42" s="1"/>
  <c r="J42" i="7" s="1"/>
  <c r="M42" s="1"/>
  <c r="J42" i="8" s="1"/>
  <c r="M42" s="1"/>
  <c r="J42" i="9" s="1"/>
  <c r="M42" s="1"/>
  <c r="L42" i="10" s="1"/>
  <c r="N42" s="1"/>
  <c r="H42" i="4"/>
  <c r="M41"/>
  <c r="H41"/>
  <c r="N40"/>
  <c r="M40"/>
  <c r="H40"/>
  <c r="E40" i="5" s="1"/>
  <c r="H40" s="1"/>
  <c r="N39" i="4"/>
  <c r="M39"/>
  <c r="J39" i="5" s="1"/>
  <c r="M39" s="1"/>
  <c r="H39" i="4"/>
  <c r="M38"/>
  <c r="J38" i="5" s="1"/>
  <c r="M38" s="1"/>
  <c r="J38" i="6" s="1"/>
  <c r="M38" s="1"/>
  <c r="J38" i="7" s="1"/>
  <c r="M38" s="1"/>
  <c r="J38" i="8" s="1"/>
  <c r="M38" s="1"/>
  <c r="J38" i="9" s="1"/>
  <c r="M38" s="1"/>
  <c r="L38" i="10" s="1"/>
  <c r="N38" s="1"/>
  <c r="Q38" s="1"/>
  <c r="H38" i="4"/>
  <c r="M37"/>
  <c r="H37"/>
  <c r="N36"/>
  <c r="M36"/>
  <c r="H36"/>
  <c r="E36" i="5" s="1"/>
  <c r="H36" s="1"/>
  <c r="E36" i="6" s="1"/>
  <c r="H36" s="1"/>
  <c r="E36" i="7" s="1"/>
  <c r="H36" s="1"/>
  <c r="M35" i="4"/>
  <c r="J35" i="5" s="1"/>
  <c r="M35" s="1"/>
  <c r="J35" i="6" s="1"/>
  <c r="M35" s="1"/>
  <c r="J35" i="7" s="1"/>
  <c r="M35" s="1"/>
  <c r="J35" i="8" s="1"/>
  <c r="M35" s="1"/>
  <c r="J35" i="9" s="1"/>
  <c r="M35" s="1"/>
  <c r="L35" i="10" s="1"/>
  <c r="N35" s="1"/>
  <c r="H35" i="4"/>
  <c r="M34"/>
  <c r="J34" i="5" s="1"/>
  <c r="M34" s="1"/>
  <c r="J34" i="6" s="1"/>
  <c r="M34" s="1"/>
  <c r="J34" i="7" s="1"/>
  <c r="M34" s="1"/>
  <c r="J34" i="8" s="1"/>
  <c r="M34" s="1"/>
  <c r="J34" i="9" s="1"/>
  <c r="M34" s="1"/>
  <c r="L34" i="10" s="1"/>
  <c r="N34" s="1"/>
  <c r="Q34" s="1"/>
  <c r="H34" i="4"/>
  <c r="M33"/>
  <c r="H33"/>
  <c r="N32"/>
  <c r="M32"/>
  <c r="H32"/>
  <c r="E32" i="5" s="1"/>
  <c r="H32" s="1"/>
  <c r="N31" i="4"/>
  <c r="M31"/>
  <c r="J31" i="5" s="1"/>
  <c r="M31" s="1"/>
  <c r="H31" i="4"/>
  <c r="M30"/>
  <c r="J30" i="5" s="1"/>
  <c r="M30" s="1"/>
  <c r="J30" i="6" s="1"/>
  <c r="M30" s="1"/>
  <c r="J30" i="7" s="1"/>
  <c r="M30" s="1"/>
  <c r="J30" i="8" s="1"/>
  <c r="M30" s="1"/>
  <c r="J30" i="9" s="1"/>
  <c r="H30" i="4"/>
  <c r="K29"/>
  <c r="K54" s="1"/>
  <c r="L59" s="1"/>
  <c r="J29"/>
  <c r="F29"/>
  <c r="F54" s="1"/>
  <c r="B406" i="3" s="1"/>
  <c r="E29" i="4"/>
  <c r="H29" s="1"/>
  <c r="N28"/>
  <c r="M28"/>
  <c r="J28" i="5" s="1"/>
  <c r="M28" s="1"/>
  <c r="J28" i="6" s="1"/>
  <c r="M28" s="1"/>
  <c r="J28" i="7" s="1"/>
  <c r="M28" s="1"/>
  <c r="J28" i="8" s="1"/>
  <c r="M28" s="1"/>
  <c r="J28" i="9" s="1"/>
  <c r="M28" s="1"/>
  <c r="L28" i="10" s="1"/>
  <c r="N28" s="1"/>
  <c r="H28" i="4"/>
  <c r="N27"/>
  <c r="M27"/>
  <c r="J27" i="5" s="1"/>
  <c r="M27" s="1"/>
  <c r="J27" i="6" s="1"/>
  <c r="M27" s="1"/>
  <c r="J27" i="7" s="1"/>
  <c r="M27" s="1"/>
  <c r="J27" i="8" s="1"/>
  <c r="M27" s="1"/>
  <c r="J27" i="9" s="1"/>
  <c r="M27" s="1"/>
  <c r="L27" i="10" s="1"/>
  <c r="N27" s="1"/>
  <c r="E27" i="4"/>
  <c r="H27" s="1"/>
  <c r="E27" i="5" s="1"/>
  <c r="H27" s="1"/>
  <c r="N26" i="4"/>
  <c r="M26"/>
  <c r="J26" i="5" s="1"/>
  <c r="M26" s="1"/>
  <c r="J26" i="6" s="1"/>
  <c r="M26" s="1"/>
  <c r="J26" i="7" s="1"/>
  <c r="M26" s="1"/>
  <c r="J26" i="8" s="1"/>
  <c r="M26" s="1"/>
  <c r="J26" i="9" s="1"/>
  <c r="M26" s="1"/>
  <c r="L26" i="10" s="1"/>
  <c r="N26" s="1"/>
  <c r="H26" i="4"/>
  <c r="E26" i="5" s="1"/>
  <c r="H26" s="1"/>
  <c r="E26" i="6" s="1"/>
  <c r="H26" s="1"/>
  <c r="M25" i="4"/>
  <c r="J25" i="5" s="1"/>
  <c r="M25" s="1"/>
  <c r="J25" i="6" s="1"/>
  <c r="M25" s="1"/>
  <c r="J25" i="7" s="1"/>
  <c r="M25" s="1"/>
  <c r="J25" i="8" s="1"/>
  <c r="M25" s="1"/>
  <c r="J25" i="9" s="1"/>
  <c r="M25" s="1"/>
  <c r="L25" i="10" s="1"/>
  <c r="N25" s="1"/>
  <c r="H25" i="4"/>
  <c r="N25" s="1"/>
  <c r="M24"/>
  <c r="J24" i="5" s="1"/>
  <c r="M24" s="1"/>
  <c r="J24" i="6" s="1"/>
  <c r="M24" s="1"/>
  <c r="J24" i="7" s="1"/>
  <c r="M24" s="1"/>
  <c r="J24" i="8" s="1"/>
  <c r="M24" s="1"/>
  <c r="J24" i="9" s="1"/>
  <c r="M24" s="1"/>
  <c r="L24" i="10" s="1"/>
  <c r="N24" s="1"/>
  <c r="H24" i="4"/>
  <c r="N24" s="1"/>
  <c r="N23"/>
  <c r="M23"/>
  <c r="H23"/>
  <c r="E23" i="5" s="1"/>
  <c r="H23" s="1"/>
  <c r="N22" i="4"/>
  <c r="M22"/>
  <c r="J22" i="5" s="1"/>
  <c r="M22" s="1"/>
  <c r="J22" i="6" s="1"/>
  <c r="M22" s="1"/>
  <c r="J22" i="7" s="1"/>
  <c r="M22" s="1"/>
  <c r="J22" i="8" s="1"/>
  <c r="M22" s="1"/>
  <c r="J22" i="9" s="1"/>
  <c r="M22" s="1"/>
  <c r="L22" i="10" s="1"/>
  <c r="N22" s="1"/>
  <c r="H22" i="4"/>
  <c r="E22" i="5" s="1"/>
  <c r="H22" s="1"/>
  <c r="M21" i="4"/>
  <c r="J21" i="5" s="1"/>
  <c r="M21" s="1"/>
  <c r="J21" i="6" s="1"/>
  <c r="M21" s="1"/>
  <c r="J21" i="7" s="1"/>
  <c r="M21" s="1"/>
  <c r="J21" i="8" s="1"/>
  <c r="M21" s="1"/>
  <c r="J21" i="9" s="1"/>
  <c r="M21" s="1"/>
  <c r="L21" i="10" s="1"/>
  <c r="N21" s="1"/>
  <c r="Q21" s="1"/>
  <c r="H21" i="4"/>
  <c r="M20"/>
  <c r="J20" i="5" s="1"/>
  <c r="M20" s="1"/>
  <c r="J20" i="6" s="1"/>
  <c r="M20" s="1"/>
  <c r="J20" i="7" s="1"/>
  <c r="M20" s="1"/>
  <c r="J20" i="8" s="1"/>
  <c r="M20" s="1"/>
  <c r="J20" i="9" s="1"/>
  <c r="M20" s="1"/>
  <c r="L20" i="10" s="1"/>
  <c r="N20" s="1"/>
  <c r="H20" i="4"/>
  <c r="N20" s="1"/>
  <c r="N19"/>
  <c r="M19"/>
  <c r="H19"/>
  <c r="E19" i="5" s="1"/>
  <c r="H19" s="1"/>
  <c r="N18" i="4"/>
  <c r="M18"/>
  <c r="J18" i="5" s="1"/>
  <c r="M18" s="1"/>
  <c r="J18" i="6" s="1"/>
  <c r="M18" s="1"/>
  <c r="J18" i="7" s="1"/>
  <c r="M18" s="1"/>
  <c r="J18" i="8" s="1"/>
  <c r="M18" s="1"/>
  <c r="J18" i="9" s="1"/>
  <c r="M18" s="1"/>
  <c r="L18" i="10" s="1"/>
  <c r="N18" s="1"/>
  <c r="Q18" s="1"/>
  <c r="H18" i="4"/>
  <c r="E18" i="5" s="1"/>
  <c r="H18" s="1"/>
  <c r="E18" i="6" s="1"/>
  <c r="H18" s="1"/>
  <c r="M17" i="4"/>
  <c r="J17" i="5" s="1"/>
  <c r="M17" s="1"/>
  <c r="J17" i="6" s="1"/>
  <c r="M17" s="1"/>
  <c r="J17" i="7" s="1"/>
  <c r="M17" s="1"/>
  <c r="J17" i="8" s="1"/>
  <c r="M17" s="1"/>
  <c r="J17" i="9" s="1"/>
  <c r="M17" s="1"/>
  <c r="L17" i="10" s="1"/>
  <c r="N17" s="1"/>
  <c r="Q17" s="1"/>
  <c r="H17" i="4"/>
  <c r="N17" s="1"/>
  <c r="M16"/>
  <c r="J16" i="5" s="1"/>
  <c r="M16" s="1"/>
  <c r="J16" i="6" s="1"/>
  <c r="H16" i="4"/>
  <c r="N16" s="1"/>
  <c r="N1"/>
  <c r="E406" i="3"/>
  <c r="H403"/>
  <c r="G402"/>
  <c r="F402"/>
  <c r="E402"/>
  <c r="D402"/>
  <c r="C402"/>
  <c r="B401"/>
  <c r="H395"/>
  <c r="H402" s="1"/>
  <c r="B394"/>
  <c r="B402" s="1"/>
  <c r="C391"/>
  <c r="H376"/>
  <c r="G376"/>
  <c r="F376"/>
  <c r="E376"/>
  <c r="D376"/>
  <c r="C376"/>
  <c r="B376"/>
  <c r="H373"/>
  <c r="G373"/>
  <c r="F373"/>
  <c r="E373"/>
  <c r="D373"/>
  <c r="C373"/>
  <c r="B373"/>
  <c r="H368"/>
  <c r="G368"/>
  <c r="F368"/>
  <c r="E368"/>
  <c r="D368"/>
  <c r="C368"/>
  <c r="B368"/>
  <c r="H362"/>
  <c r="G362"/>
  <c r="F362"/>
  <c r="E362"/>
  <c r="D362"/>
  <c r="C362"/>
  <c r="B362"/>
  <c r="G356"/>
  <c r="F356"/>
  <c r="E356"/>
  <c r="D356"/>
  <c r="C356"/>
  <c r="B356"/>
  <c r="H353"/>
  <c r="H356" s="1"/>
  <c r="H349"/>
  <c r="G349"/>
  <c r="F349"/>
  <c r="E349"/>
  <c r="D349"/>
  <c r="C349"/>
  <c r="B349"/>
  <c r="H343"/>
  <c r="G343"/>
  <c r="F343"/>
  <c r="E343"/>
  <c r="D343"/>
  <c r="C343"/>
  <c r="B343"/>
  <c r="H337"/>
  <c r="G337"/>
  <c r="F337"/>
  <c r="E337"/>
  <c r="D337"/>
  <c r="C337"/>
  <c r="B337"/>
  <c r="G331"/>
  <c r="F331"/>
  <c r="E331"/>
  <c r="D331"/>
  <c r="C331"/>
  <c r="B331"/>
  <c r="H330"/>
  <c r="H328"/>
  <c r="H331" s="1"/>
  <c r="H325"/>
  <c r="G325"/>
  <c r="F325"/>
  <c r="E325"/>
  <c r="D325"/>
  <c r="C325"/>
  <c r="B325"/>
  <c r="H319"/>
  <c r="G319"/>
  <c r="F319"/>
  <c r="E319"/>
  <c r="D319"/>
  <c r="C319"/>
  <c r="B319"/>
  <c r="G313"/>
  <c r="F313"/>
  <c r="E313"/>
  <c r="D313"/>
  <c r="C313"/>
  <c r="B313"/>
  <c r="H310"/>
  <c r="H313" s="1"/>
  <c r="H306"/>
  <c r="G306"/>
  <c r="F306"/>
  <c r="E306"/>
  <c r="D306"/>
  <c r="C306"/>
  <c r="B306"/>
  <c r="H299"/>
  <c r="G299"/>
  <c r="F299"/>
  <c r="D299"/>
  <c r="C299"/>
  <c r="B299"/>
  <c r="F298"/>
  <c r="E298"/>
  <c r="E299" s="1"/>
  <c r="D298"/>
  <c r="H296"/>
  <c r="G296"/>
  <c r="F296"/>
  <c r="E296"/>
  <c r="D296"/>
  <c r="C296"/>
  <c r="B296"/>
  <c r="H293"/>
  <c r="G293"/>
  <c r="F293"/>
  <c r="E293"/>
  <c r="D293"/>
  <c r="C293"/>
  <c r="B293"/>
  <c r="H290"/>
  <c r="G290"/>
  <c r="F290"/>
  <c r="E290"/>
  <c r="D290"/>
  <c r="C290"/>
  <c r="B290"/>
  <c r="H284"/>
  <c r="F284"/>
  <c r="E284"/>
  <c r="D284"/>
  <c r="C284"/>
  <c r="B284"/>
  <c r="G281"/>
  <c r="G284" s="1"/>
  <c r="H277"/>
  <c r="F277"/>
  <c r="E277"/>
  <c r="D277"/>
  <c r="C277"/>
  <c r="B277"/>
  <c r="G274"/>
  <c r="G277" s="1"/>
  <c r="H270"/>
  <c r="F270"/>
  <c r="E270"/>
  <c r="D270"/>
  <c r="C270"/>
  <c r="B270"/>
  <c r="G267"/>
  <c r="G270" s="1"/>
  <c r="H263"/>
  <c r="G263"/>
  <c r="F263"/>
  <c r="E263"/>
  <c r="D263"/>
  <c r="C263"/>
  <c r="B263"/>
  <c r="H256"/>
  <c r="G256"/>
  <c r="F256"/>
  <c r="E256"/>
  <c r="D256"/>
  <c r="C256"/>
  <c r="B256"/>
  <c r="H248"/>
  <c r="G248"/>
  <c r="F248"/>
  <c r="E248"/>
  <c r="D248"/>
  <c r="C248"/>
  <c r="B248"/>
  <c r="G245"/>
  <c r="H241"/>
  <c r="G241"/>
  <c r="F241"/>
  <c r="E241"/>
  <c r="D241"/>
  <c r="C241"/>
  <c r="B241"/>
  <c r="H234"/>
  <c r="G234"/>
  <c r="F234"/>
  <c r="E234"/>
  <c r="D234"/>
  <c r="C234"/>
  <c r="B234"/>
  <c r="H229"/>
  <c r="G229"/>
  <c r="F229"/>
  <c r="E229"/>
  <c r="D229"/>
  <c r="C229"/>
  <c r="B229"/>
  <c r="H223"/>
  <c r="G223"/>
  <c r="F223"/>
  <c r="E223"/>
  <c r="D223"/>
  <c r="C223"/>
  <c r="B223"/>
  <c r="H216"/>
  <c r="G216"/>
  <c r="F216"/>
  <c r="E216"/>
  <c r="D216"/>
  <c r="C216"/>
  <c r="B216"/>
  <c r="H212"/>
  <c r="G212"/>
  <c r="F212"/>
  <c r="E212"/>
  <c r="D212"/>
  <c r="C212"/>
  <c r="B212"/>
  <c r="H205"/>
  <c r="G205"/>
  <c r="F205"/>
  <c r="E205"/>
  <c r="D205"/>
  <c r="C205"/>
  <c r="B205"/>
  <c r="H201"/>
  <c r="G201"/>
  <c r="F201"/>
  <c r="E201"/>
  <c r="D201"/>
  <c r="C201"/>
  <c r="B201"/>
  <c r="H198"/>
  <c r="G198"/>
  <c r="F198"/>
  <c r="E198"/>
  <c r="D198"/>
  <c r="C198"/>
  <c r="B198"/>
  <c r="H191"/>
  <c r="G191"/>
  <c r="F191"/>
  <c r="E191"/>
  <c r="D191"/>
  <c r="C191"/>
  <c r="B191"/>
  <c r="H185"/>
  <c r="G185"/>
  <c r="F185"/>
  <c r="E185"/>
  <c r="D185"/>
  <c r="C185"/>
  <c r="B185"/>
  <c r="H179"/>
  <c r="G179"/>
  <c r="F179"/>
  <c r="E179"/>
  <c r="D179"/>
  <c r="C179"/>
  <c r="B179"/>
  <c r="H173"/>
  <c r="G173"/>
  <c r="E173"/>
  <c r="D173"/>
  <c r="C173"/>
  <c r="B173"/>
  <c r="F172"/>
  <c r="F173" s="1"/>
  <c r="H170"/>
  <c r="G170"/>
  <c r="F170"/>
  <c r="E170"/>
  <c r="D170"/>
  <c r="C170"/>
  <c r="B170"/>
  <c r="H164"/>
  <c r="G164"/>
  <c r="F164"/>
  <c r="E164"/>
  <c r="D164"/>
  <c r="C164"/>
  <c r="B164"/>
  <c r="H160"/>
  <c r="G160"/>
  <c r="F160"/>
  <c r="E160"/>
  <c r="D160"/>
  <c r="C160"/>
  <c r="B160"/>
  <c r="H155"/>
  <c r="G155"/>
  <c r="F155"/>
  <c r="E155"/>
  <c r="D155"/>
  <c r="C155"/>
  <c r="B155"/>
  <c r="H152"/>
  <c r="G152"/>
  <c r="F152"/>
  <c r="E152"/>
  <c r="D152"/>
  <c r="C152"/>
  <c r="B152"/>
  <c r="H149"/>
  <c r="G149"/>
  <c r="F149"/>
  <c r="E149"/>
  <c r="D149"/>
  <c r="C149"/>
  <c r="B149"/>
  <c r="H145"/>
  <c r="G145"/>
  <c r="F145"/>
  <c r="D145"/>
  <c r="C145"/>
  <c r="B145"/>
  <c r="E143"/>
  <c r="E145" s="1"/>
  <c r="H139"/>
  <c r="G139"/>
  <c r="F139"/>
  <c r="E139"/>
  <c r="D139"/>
  <c r="C139"/>
  <c r="B139"/>
  <c r="H133"/>
  <c r="G133"/>
  <c r="F133"/>
  <c r="E133"/>
  <c r="D133"/>
  <c r="C133"/>
  <c r="B133"/>
  <c r="H128"/>
  <c r="G128"/>
  <c r="F128"/>
  <c r="E128"/>
  <c r="D128"/>
  <c r="C128"/>
  <c r="B128"/>
  <c r="H123"/>
  <c r="G123"/>
  <c r="F123"/>
  <c r="E123"/>
  <c r="D123"/>
  <c r="C123"/>
  <c r="B123"/>
  <c r="F121"/>
  <c r="F118"/>
  <c r="B118"/>
  <c r="H117"/>
  <c r="H118" s="1"/>
  <c r="F117"/>
  <c r="E117"/>
  <c r="C117"/>
  <c r="E116"/>
  <c r="E118" s="1"/>
  <c r="C116"/>
  <c r="G115"/>
  <c r="G118" s="1"/>
  <c r="E115"/>
  <c r="D115"/>
  <c r="D118" s="1"/>
  <c r="C115"/>
  <c r="C118" s="1"/>
  <c r="H113"/>
  <c r="G113"/>
  <c r="F113"/>
  <c r="E113"/>
  <c r="D113"/>
  <c r="C113"/>
  <c r="B113"/>
  <c r="B112"/>
  <c r="H110"/>
  <c r="G110"/>
  <c r="F110"/>
  <c r="E110"/>
  <c r="D110"/>
  <c r="B110"/>
  <c r="C107"/>
  <c r="C110" s="1"/>
  <c r="B107"/>
  <c r="H104"/>
  <c r="G104"/>
  <c r="F104"/>
  <c r="E104"/>
  <c r="D104"/>
  <c r="C104"/>
  <c r="B104"/>
  <c r="B103"/>
  <c r="G100"/>
  <c r="F100"/>
  <c r="B100"/>
  <c r="G99"/>
  <c r="E99"/>
  <c r="H97"/>
  <c r="H96"/>
  <c r="G95"/>
  <c r="G94"/>
  <c r="H93"/>
  <c r="H100" s="1"/>
  <c r="E92"/>
  <c r="D92"/>
  <c r="E90"/>
  <c r="D90"/>
  <c r="D100" s="1"/>
  <c r="C89"/>
  <c r="C100" s="1"/>
  <c r="G87"/>
  <c r="F87"/>
  <c r="E87"/>
  <c r="D87"/>
  <c r="C87"/>
  <c r="B86"/>
  <c r="B83"/>
  <c r="H82"/>
  <c r="H87" s="1"/>
  <c r="G82"/>
  <c r="B81"/>
  <c r="B80"/>
  <c r="B87" s="1"/>
  <c r="F78"/>
  <c r="E78"/>
  <c r="B77"/>
  <c r="D75"/>
  <c r="D78" s="1"/>
  <c r="C75"/>
  <c r="C78" s="1"/>
  <c r="B75"/>
  <c r="H74"/>
  <c r="H78" s="1"/>
  <c r="G74"/>
  <c r="G78" s="1"/>
  <c r="B74"/>
  <c r="B78" s="1"/>
  <c r="G70"/>
  <c r="F70"/>
  <c r="E70"/>
  <c r="C70"/>
  <c r="B70"/>
  <c r="H66"/>
  <c r="H70" s="1"/>
  <c r="D66"/>
  <c r="D70" s="1"/>
  <c r="D405" s="1"/>
  <c r="H62"/>
  <c r="G62"/>
  <c r="F62"/>
  <c r="D62"/>
  <c r="C62"/>
  <c r="B61"/>
  <c r="E60"/>
  <c r="E62" s="1"/>
  <c r="D60"/>
  <c r="C60"/>
  <c r="B60"/>
  <c r="B62" s="1"/>
  <c r="H58"/>
  <c r="F58"/>
  <c r="D58"/>
  <c r="C58"/>
  <c r="G57"/>
  <c r="B57"/>
  <c r="G56"/>
  <c r="G58" s="1"/>
  <c r="E56"/>
  <c r="E58" s="1"/>
  <c r="C56"/>
  <c r="B56"/>
  <c r="B58" s="1"/>
  <c r="E54"/>
  <c r="D54"/>
  <c r="B53"/>
  <c r="G52"/>
  <c r="G51"/>
  <c r="F51"/>
  <c r="F54" s="1"/>
  <c r="C51"/>
  <c r="H50"/>
  <c r="H54" s="1"/>
  <c r="E49"/>
  <c r="C49"/>
  <c r="C54" s="1"/>
  <c r="B49"/>
  <c r="G48"/>
  <c r="G54" s="1"/>
  <c r="E48"/>
  <c r="B48"/>
  <c r="B54" s="1"/>
  <c r="H46"/>
  <c r="D46"/>
  <c r="C46"/>
  <c r="G45"/>
  <c r="E44"/>
  <c r="B44"/>
  <c r="B46" s="1"/>
  <c r="G42"/>
  <c r="E42"/>
  <c r="G41"/>
  <c r="G46" s="1"/>
  <c r="F41"/>
  <c r="F46" s="1"/>
  <c r="E41"/>
  <c r="G40"/>
  <c r="E38"/>
  <c r="E46" s="1"/>
  <c r="H36"/>
  <c r="G36"/>
  <c r="F36"/>
  <c r="E36"/>
  <c r="D36"/>
  <c r="C36"/>
  <c r="B36"/>
  <c r="H33"/>
  <c r="G33"/>
  <c r="F33"/>
  <c r="E33"/>
  <c r="D33"/>
  <c r="C33"/>
  <c r="C32"/>
  <c r="B32"/>
  <c r="B33" s="1"/>
  <c r="F30"/>
  <c r="E30"/>
  <c r="D30"/>
  <c r="C30"/>
  <c r="H26"/>
  <c r="H30" s="1"/>
  <c r="G26"/>
  <c r="G30" s="1"/>
  <c r="B26"/>
  <c r="B30" s="1"/>
  <c r="H21"/>
  <c r="G21"/>
  <c r="F21"/>
  <c r="E21"/>
  <c r="D21"/>
  <c r="C21"/>
  <c r="B21"/>
  <c r="B18"/>
  <c r="H13"/>
  <c r="G13"/>
  <c r="F13"/>
  <c r="E13"/>
  <c r="D13"/>
  <c r="C13"/>
  <c r="B13"/>
  <c r="H1"/>
  <c r="H46" i="17" l="1"/>
  <c r="H57"/>
  <c r="H91"/>
  <c r="I96"/>
  <c r="F24"/>
  <c r="F72"/>
  <c r="F88"/>
  <c r="C84" i="15"/>
  <c r="C121"/>
  <c r="L36" i="11"/>
  <c r="L51"/>
  <c r="M18" i="13"/>
  <c r="O18" s="1"/>
  <c r="D407" i="3"/>
  <c r="G36" i="12"/>
  <c r="R32" i="13"/>
  <c r="M43"/>
  <c r="O43" s="1"/>
  <c r="F12" i="15"/>
  <c r="F107" s="1"/>
  <c r="F80" i="17"/>
  <c r="F84"/>
  <c r="L39" i="11"/>
  <c r="M37" i="13"/>
  <c r="O37" s="1"/>
  <c r="M50"/>
  <c r="O50" s="1"/>
  <c r="D12" i="15"/>
  <c r="D77" s="1"/>
  <c r="E127"/>
  <c r="E40" i="11"/>
  <c r="G40" s="1"/>
  <c r="J40" s="1"/>
  <c r="L40" s="1"/>
  <c r="L44"/>
  <c r="L53"/>
  <c r="M47" i="13"/>
  <c r="O47" s="1"/>
  <c r="M49"/>
  <c r="O49" s="1"/>
  <c r="M56"/>
  <c r="O56" s="1"/>
  <c r="E90" i="15"/>
  <c r="E115"/>
  <c r="E55" i="20"/>
  <c r="I32" i="17"/>
  <c r="F24" i="27"/>
  <c r="F28" s="1"/>
  <c r="C24"/>
  <c r="C28" s="1"/>
  <c r="E41" i="11"/>
  <c r="G41" s="1"/>
  <c r="J41" s="1"/>
  <c r="L41" s="1"/>
  <c r="G111" i="16"/>
  <c r="I19" i="17"/>
  <c r="I25"/>
  <c r="G48"/>
  <c r="I59"/>
  <c r="B19" i="20"/>
  <c r="E43"/>
  <c r="E53"/>
  <c r="I54"/>
  <c r="G24" i="27"/>
  <c r="G28" s="1"/>
  <c r="M40" i="9"/>
  <c r="L40" i="10" s="1"/>
  <c r="N40" s="1"/>
  <c r="L45" i="13"/>
  <c r="H33" i="15"/>
  <c r="I32"/>
  <c r="I33" s="1"/>
  <c r="H30" i="17"/>
  <c r="F35"/>
  <c r="G59"/>
  <c r="G110"/>
  <c r="E49" i="20"/>
  <c r="B46"/>
  <c r="B52" s="1"/>
  <c r="F46"/>
  <c r="F52" s="1"/>
  <c r="B47"/>
  <c r="B53" s="1"/>
  <c r="F47"/>
  <c r="F53" s="1"/>
  <c r="B48"/>
  <c r="B54" s="1"/>
  <c r="F48"/>
  <c r="F54" s="1"/>
  <c r="F37"/>
  <c r="F49" s="1"/>
  <c r="H46"/>
  <c r="H52" s="1"/>
  <c r="H81" s="1"/>
  <c r="H83" s="1"/>
  <c r="H47"/>
  <c r="H53" s="1"/>
  <c r="H48"/>
  <c r="H54" s="1"/>
  <c r="H21" i="27"/>
  <c r="H23" s="1"/>
  <c r="M30" i="9"/>
  <c r="L30" i="10" s="1"/>
  <c r="N30" s="1"/>
  <c r="G40" i="16"/>
  <c r="F38" i="17"/>
  <c r="C19" i="20"/>
  <c r="G19"/>
  <c r="B51"/>
  <c r="C31"/>
  <c r="B43"/>
  <c r="F43"/>
  <c r="E45"/>
  <c r="E95" i="23"/>
  <c r="J49" i="25"/>
  <c r="J62" s="1"/>
  <c r="I62" s="1"/>
  <c r="F105" i="17"/>
  <c r="I28"/>
  <c r="I111"/>
  <c r="G28"/>
  <c r="G78"/>
  <c r="I115"/>
  <c r="L48" i="12"/>
  <c r="R56" i="13"/>
  <c r="M54"/>
  <c r="O54" s="1"/>
  <c r="R18"/>
  <c r="L33" i="12"/>
  <c r="L34"/>
  <c r="L42"/>
  <c r="R44" i="13"/>
  <c r="R53"/>
  <c r="E34" i="18"/>
  <c r="E36" s="1"/>
  <c r="G27" i="17"/>
  <c r="F78"/>
  <c r="G116"/>
  <c r="C23" i="18"/>
  <c r="G45"/>
  <c r="E41"/>
  <c r="F56" i="17"/>
  <c r="H79"/>
  <c r="H83"/>
  <c r="E23" i="18"/>
  <c r="E24" s="1"/>
  <c r="G41"/>
  <c r="H41" s="1"/>
  <c r="I54" i="17"/>
  <c r="H103"/>
  <c r="H35"/>
  <c r="G53"/>
  <c r="G72"/>
  <c r="G89"/>
  <c r="H106"/>
  <c r="G20"/>
  <c r="F79"/>
  <c r="G88"/>
  <c r="G103"/>
  <c r="H26"/>
  <c r="F30"/>
  <c r="F46"/>
  <c r="D17" i="18"/>
  <c r="D18" s="1"/>
  <c r="D32"/>
  <c r="R34" i="13"/>
  <c r="F28" i="17"/>
  <c r="G49"/>
  <c r="B46" i="18"/>
  <c r="F68" i="17"/>
  <c r="H61"/>
  <c r="G80"/>
  <c r="H84"/>
  <c r="H95"/>
  <c r="I100"/>
  <c r="D23" i="18"/>
  <c r="D26" s="1"/>
  <c r="H183" i="34"/>
  <c r="N194"/>
  <c r="O194" s="1"/>
  <c r="O249"/>
  <c r="N249"/>
  <c r="N341"/>
  <c r="O341" s="1"/>
  <c r="O401"/>
  <c r="N401"/>
  <c r="N405"/>
  <c r="O405" s="1"/>
  <c r="O415"/>
  <c r="O419"/>
  <c r="O45"/>
  <c r="O43"/>
  <c r="N408"/>
  <c r="O417"/>
  <c r="O105"/>
  <c r="N105"/>
  <c r="N190"/>
  <c r="O190" s="1"/>
  <c r="O181"/>
  <c r="H403"/>
  <c r="N479"/>
  <c r="O479" s="1"/>
  <c r="L254"/>
  <c r="N246"/>
  <c r="O246" s="1"/>
  <c r="G409"/>
  <c r="H409" s="1"/>
  <c r="H408"/>
  <c r="N476"/>
  <c r="O476"/>
  <c r="H254"/>
  <c r="N480"/>
  <c r="O480"/>
  <c r="O37"/>
  <c r="O40"/>
  <c r="O44"/>
  <c r="O269"/>
  <c r="O567"/>
  <c r="O101"/>
  <c r="L104"/>
  <c r="O106"/>
  <c r="O113"/>
  <c r="O114"/>
  <c r="L179"/>
  <c r="O180"/>
  <c r="O184"/>
  <c r="O188"/>
  <c r="O191"/>
  <c r="O192"/>
  <c r="O195"/>
  <c r="O251"/>
  <c r="O252"/>
  <c r="O255"/>
  <c r="O256"/>
  <c r="N269"/>
  <c r="N334"/>
  <c r="O336"/>
  <c r="O339"/>
  <c r="O342"/>
  <c r="O343"/>
  <c r="O398"/>
  <c r="O414"/>
  <c r="O418"/>
  <c r="H478"/>
  <c r="O488"/>
  <c r="O493"/>
  <c r="O554"/>
  <c r="O562"/>
  <c r="O564"/>
  <c r="N567"/>
  <c r="O569"/>
  <c r="N21"/>
  <c r="O21" s="1"/>
  <c r="O24"/>
  <c r="O31"/>
  <c r="H104"/>
  <c r="O110"/>
  <c r="O116"/>
  <c r="O118"/>
  <c r="O120"/>
  <c r="O171"/>
  <c r="O176"/>
  <c r="O185"/>
  <c r="O189"/>
  <c r="O262"/>
  <c r="K266"/>
  <c r="L266" s="1"/>
  <c r="N266" s="1"/>
  <c r="O266" s="1"/>
  <c r="N268"/>
  <c r="O268" s="1"/>
  <c r="N270"/>
  <c r="O270" s="1"/>
  <c r="O321"/>
  <c r="O325"/>
  <c r="N412"/>
  <c r="O412" s="1"/>
  <c r="O413"/>
  <c r="O484"/>
  <c r="O483"/>
  <c r="O486"/>
  <c r="O491"/>
  <c r="O545"/>
  <c r="O551"/>
  <c r="L553"/>
  <c r="N562"/>
  <c r="N569"/>
  <c r="K110"/>
  <c r="L110" s="1"/>
  <c r="N110" s="1"/>
  <c r="L109"/>
  <c r="N109" s="1"/>
  <c r="O109" s="1"/>
  <c r="N473"/>
  <c r="O473" s="1"/>
  <c r="K559"/>
  <c r="L559" s="1"/>
  <c r="N559" s="1"/>
  <c r="L558"/>
  <c r="N558" s="1"/>
  <c r="O558" s="1"/>
  <c r="G260"/>
  <c r="H260" s="1"/>
  <c r="H259"/>
  <c r="L403"/>
  <c r="N395"/>
  <c r="O395" s="1"/>
  <c r="N475"/>
  <c r="O475"/>
  <c r="N477"/>
  <c r="O477"/>
  <c r="L29"/>
  <c r="O267"/>
  <c r="O334"/>
  <c r="O411"/>
  <c r="H29"/>
  <c r="N22"/>
  <c r="O22" s="1"/>
  <c r="O27"/>
  <c r="L34"/>
  <c r="N34" s="1"/>
  <c r="O34" s="1"/>
  <c r="O99"/>
  <c r="N100"/>
  <c r="O102"/>
  <c r="N103"/>
  <c r="N112"/>
  <c r="O112" s="1"/>
  <c r="O172"/>
  <c r="N174"/>
  <c r="O174" s="1"/>
  <c r="O175"/>
  <c r="N181"/>
  <c r="H187"/>
  <c r="O193"/>
  <c r="N247"/>
  <c r="O247" s="1"/>
  <c r="O265"/>
  <c r="N328"/>
  <c r="O322"/>
  <c r="O326"/>
  <c r="H328"/>
  <c r="O329"/>
  <c r="H333"/>
  <c r="L335"/>
  <c r="O337"/>
  <c r="N338"/>
  <c r="O338" s="1"/>
  <c r="O340"/>
  <c r="O344"/>
  <c r="N397"/>
  <c r="O404"/>
  <c r="N415"/>
  <c r="N417"/>
  <c r="N419"/>
  <c r="O470"/>
  <c r="L482"/>
  <c r="O494"/>
  <c r="O559"/>
  <c r="O565"/>
  <c r="H553"/>
  <c r="F60" i="17"/>
  <c r="H90"/>
  <c r="H36"/>
  <c r="F44"/>
  <c r="I71"/>
  <c r="F82"/>
  <c r="F94"/>
  <c r="H99"/>
  <c r="H110"/>
  <c r="H44" i="18"/>
  <c r="C35"/>
  <c r="C43"/>
  <c r="D43" s="1"/>
  <c r="C44"/>
  <c r="D44" s="1"/>
  <c r="C26"/>
  <c r="D33"/>
  <c r="G105" i="17"/>
  <c r="H59"/>
  <c r="H65"/>
  <c r="H80"/>
  <c r="F89"/>
  <c r="H93"/>
  <c r="H97"/>
  <c r="F98"/>
  <c r="H104"/>
  <c r="H108"/>
  <c r="F109"/>
  <c r="C33" i="18"/>
  <c r="D34"/>
  <c r="D36" s="1"/>
  <c r="E43"/>
  <c r="F55" i="11"/>
  <c r="F57" s="1"/>
  <c r="R49" i="13"/>
  <c r="K55" i="12"/>
  <c r="K57" s="1"/>
  <c r="L31" i="11"/>
  <c r="L33"/>
  <c r="L54"/>
  <c r="L21" i="12"/>
  <c r="L23"/>
  <c r="L44"/>
  <c r="L45"/>
  <c r="L49"/>
  <c r="R23" i="13"/>
  <c r="R24"/>
  <c r="M38"/>
  <c r="O38" s="1"/>
  <c r="M46"/>
  <c r="O46" s="1"/>
  <c r="L57"/>
  <c r="R59"/>
  <c r="E57" i="15"/>
  <c r="E77"/>
  <c r="E84"/>
  <c r="C115"/>
  <c r="E121"/>
  <c r="I20" i="17"/>
  <c r="G25"/>
  <c r="G26"/>
  <c r="F33"/>
  <c r="I49"/>
  <c r="I50"/>
  <c r="I52"/>
  <c r="F59"/>
  <c r="G68"/>
  <c r="I88"/>
  <c r="I91"/>
  <c r="I95"/>
  <c r="I105"/>
  <c r="F107"/>
  <c r="I34"/>
  <c r="G101"/>
  <c r="G40" i="18"/>
  <c r="N54" i="7"/>
  <c r="L21" i="11"/>
  <c r="P22" i="13"/>
  <c r="L34"/>
  <c r="M36"/>
  <c r="O36" s="1"/>
  <c r="M39"/>
  <c r="O39" s="1"/>
  <c r="R41"/>
  <c r="D84" i="15"/>
  <c r="D97"/>
  <c r="G39" i="17"/>
  <c r="I39"/>
  <c r="G52"/>
  <c r="G91"/>
  <c r="G93"/>
  <c r="G95"/>
  <c r="A52" i="18"/>
  <c r="I68" i="17"/>
  <c r="G36" i="11"/>
  <c r="L38"/>
  <c r="L32" i="12"/>
  <c r="L51"/>
  <c r="M21" i="13"/>
  <c r="O21" s="1"/>
  <c r="M44"/>
  <c r="O44" s="1"/>
  <c r="P51"/>
  <c r="R58"/>
  <c r="E68" i="15"/>
  <c r="E107"/>
  <c r="G24" i="17"/>
  <c r="G31"/>
  <c r="F34"/>
  <c r="I35"/>
  <c r="F36"/>
  <c r="I53"/>
  <c r="I67"/>
  <c r="F70"/>
  <c r="H78"/>
  <c r="I93"/>
  <c r="F104"/>
  <c r="J47" i="6"/>
  <c r="M47" s="1"/>
  <c r="J47" i="7" s="1"/>
  <c r="M47" s="1"/>
  <c r="J47" i="8" s="1"/>
  <c r="M47" s="1"/>
  <c r="J47" i="9" s="1"/>
  <c r="M47" s="1"/>
  <c r="L47" i="10" s="1"/>
  <c r="N47" s="1"/>
  <c r="N47" i="5"/>
  <c r="E35" i="7"/>
  <c r="H35" s="1"/>
  <c r="N35" i="6"/>
  <c r="E43" i="7"/>
  <c r="H43" s="1"/>
  <c r="N43" i="6"/>
  <c r="E51" i="7"/>
  <c r="H51" s="1"/>
  <c r="N51" i="6"/>
  <c r="N36" i="7"/>
  <c r="E36" i="8"/>
  <c r="H36" s="1"/>
  <c r="H405" i="3"/>
  <c r="J31" i="6"/>
  <c r="M31" s="1"/>
  <c r="J31" i="7" s="1"/>
  <c r="M31" s="1"/>
  <c r="J31" i="8" s="1"/>
  <c r="M31" s="1"/>
  <c r="J31" i="9" s="1"/>
  <c r="M31" s="1"/>
  <c r="L31" i="10" s="1"/>
  <c r="N31" s="1"/>
  <c r="N31" i="5"/>
  <c r="E48" i="7"/>
  <c r="H48" s="1"/>
  <c r="N48" i="6"/>
  <c r="E18" i="7"/>
  <c r="H18" s="1"/>
  <c r="N18" i="6"/>
  <c r="N44" i="7"/>
  <c r="E44" i="8"/>
  <c r="N19" i="5"/>
  <c r="E19" i="6"/>
  <c r="H19" s="1"/>
  <c r="N27" i="5"/>
  <c r="E27" i="6"/>
  <c r="H27" s="1"/>
  <c r="N39" i="5"/>
  <c r="J39" i="6"/>
  <c r="M39" s="1"/>
  <c r="J39" i="7" s="1"/>
  <c r="M39" s="1"/>
  <c r="J39" i="8" s="1"/>
  <c r="M39" s="1"/>
  <c r="J39" i="9" s="1"/>
  <c r="M39" s="1"/>
  <c r="L39" i="10" s="1"/>
  <c r="N39" s="1"/>
  <c r="Q39" s="1"/>
  <c r="E28" i="8"/>
  <c r="N28" i="7"/>
  <c r="E26"/>
  <c r="H26" s="1"/>
  <c r="N26" i="6"/>
  <c r="N23" i="5"/>
  <c r="E23" i="6"/>
  <c r="H23" s="1"/>
  <c r="E34"/>
  <c r="H34" s="1"/>
  <c r="N34" i="5"/>
  <c r="E42" i="6"/>
  <c r="H42" s="1"/>
  <c r="N42" i="5"/>
  <c r="E50" i="6"/>
  <c r="H50" s="1"/>
  <c r="N50" i="5"/>
  <c r="O32" i="13"/>
  <c r="C405" i="3"/>
  <c r="C407" s="1"/>
  <c r="G405"/>
  <c r="F26" i="12"/>
  <c r="F55" s="1"/>
  <c r="F57" s="1"/>
  <c r="F55" i="9"/>
  <c r="F57" s="1"/>
  <c r="G406" i="3" s="1"/>
  <c r="E47" i="17"/>
  <c r="G47" s="1"/>
  <c r="I61" i="16"/>
  <c r="G16" i="18" s="1"/>
  <c r="H51" i="17"/>
  <c r="I51"/>
  <c r="F51"/>
  <c r="H55"/>
  <c r="I55"/>
  <c r="C41"/>
  <c r="F22"/>
  <c r="F45"/>
  <c r="G45"/>
  <c r="H45"/>
  <c r="G90"/>
  <c r="C112"/>
  <c r="O112" i="24"/>
  <c r="I113"/>
  <c r="E41" i="5"/>
  <c r="H41" s="1"/>
  <c r="N41" i="4"/>
  <c r="E49" i="5"/>
  <c r="H49" s="1"/>
  <c r="N49" i="4"/>
  <c r="E31" i="7"/>
  <c r="H31" s="1"/>
  <c r="N31" i="6"/>
  <c r="E47" i="7"/>
  <c r="H47" s="1"/>
  <c r="M35" i="13"/>
  <c r="O35" s="1"/>
  <c r="R35"/>
  <c r="E66" i="17"/>
  <c r="I72" i="16"/>
  <c r="G20" i="18" s="1"/>
  <c r="H29" i="17"/>
  <c r="I29"/>
  <c r="H40"/>
  <c r="F40"/>
  <c r="E37" i="5"/>
  <c r="H37" s="1"/>
  <c r="N37" i="4"/>
  <c r="E45" i="5"/>
  <c r="H45" s="1"/>
  <c r="N45" i="4"/>
  <c r="L28" i="13"/>
  <c r="P28"/>
  <c r="P55"/>
  <c r="L55"/>
  <c r="F50" i="17"/>
  <c r="H50"/>
  <c r="I84" i="16"/>
  <c r="G21" i="18" s="1"/>
  <c r="E77" i="17"/>
  <c r="G102"/>
  <c r="H102"/>
  <c r="F102"/>
  <c r="F54"/>
  <c r="H54"/>
  <c r="I76"/>
  <c r="D85"/>
  <c r="H76"/>
  <c r="H82"/>
  <c r="I82"/>
  <c r="D112"/>
  <c r="H88"/>
  <c r="I94"/>
  <c r="H94"/>
  <c r="H111"/>
  <c r="F111"/>
  <c r="I44" i="18"/>
  <c r="J44" s="1"/>
  <c r="F34"/>
  <c r="G29" i="22"/>
  <c r="I29" s="1"/>
  <c r="I27"/>
  <c r="I66" i="24"/>
  <c r="O65"/>
  <c r="O66" s="1"/>
  <c r="O73" s="1"/>
  <c r="N32" i="5"/>
  <c r="N40"/>
  <c r="E25"/>
  <c r="H25" s="1"/>
  <c r="F55" i="17"/>
  <c r="F405" i="3"/>
  <c r="N30" i="4"/>
  <c r="N38"/>
  <c r="H54"/>
  <c r="E20" i="5"/>
  <c r="H20" s="1"/>
  <c r="N52"/>
  <c r="E52" i="6"/>
  <c r="H52" s="1"/>
  <c r="P26" i="13"/>
  <c r="L29"/>
  <c r="P31"/>
  <c r="I45" i="17"/>
  <c r="G70"/>
  <c r="F97"/>
  <c r="H18" i="27"/>
  <c r="H20" s="1"/>
  <c r="H24" s="1"/>
  <c r="H28" s="1"/>
  <c r="B405" i="3"/>
  <c r="B407" s="1"/>
  <c r="M29" i="4"/>
  <c r="J29" i="5" s="1"/>
  <c r="M29" s="1"/>
  <c r="J29" i="6" s="1"/>
  <c r="M29" s="1"/>
  <c r="J29" i="7" s="1"/>
  <c r="M29" s="1"/>
  <c r="J29" i="8" s="1"/>
  <c r="M29" s="1"/>
  <c r="J29" i="9" s="1"/>
  <c r="M29" s="1"/>
  <c r="L29" i="10" s="1"/>
  <c r="N29" s="1"/>
  <c r="N34" i="4"/>
  <c r="N35"/>
  <c r="N42"/>
  <c r="N43"/>
  <c r="N51"/>
  <c r="E54"/>
  <c r="E16" i="5"/>
  <c r="E24"/>
  <c r="H24" s="1"/>
  <c r="N28"/>
  <c r="N35"/>
  <c r="N43"/>
  <c r="N51"/>
  <c r="M16" i="6"/>
  <c r="E32"/>
  <c r="H32" s="1"/>
  <c r="N36"/>
  <c r="E40"/>
  <c r="H40" s="1"/>
  <c r="N44"/>
  <c r="F55" i="8"/>
  <c r="F57" s="1"/>
  <c r="F406" i="3" s="1"/>
  <c r="L48" i="11"/>
  <c r="L18" i="12"/>
  <c r="L23" i="13"/>
  <c r="M23" s="1"/>
  <c r="O23" s="1"/>
  <c r="L30"/>
  <c r="P42"/>
  <c r="R50"/>
  <c r="H24" i="17"/>
  <c r="D73"/>
  <c r="I78"/>
  <c r="F93"/>
  <c r="I106"/>
  <c r="O52" i="24"/>
  <c r="J52" i="7"/>
  <c r="M52" s="1"/>
  <c r="J53"/>
  <c r="M53" s="1"/>
  <c r="J53" i="8" s="1"/>
  <c r="M53" s="1"/>
  <c r="J53" i="9" s="1"/>
  <c r="M53" s="1"/>
  <c r="L53" i="10" s="1"/>
  <c r="N53" s="1"/>
  <c r="Q53" s="1"/>
  <c r="I60" i="17"/>
  <c r="H60"/>
  <c r="E33" i="5"/>
  <c r="H33" s="1"/>
  <c r="N33" i="4"/>
  <c r="E39" i="7"/>
  <c r="H39" s="1"/>
  <c r="N56"/>
  <c r="E56" i="8"/>
  <c r="I98" i="17"/>
  <c r="H98"/>
  <c r="H18" i="21"/>
  <c r="C53" i="11"/>
  <c r="E53" s="1"/>
  <c r="G53" s="1"/>
  <c r="H52" i="8"/>
  <c r="K16" i="11"/>
  <c r="K55" s="1"/>
  <c r="K57" s="1"/>
  <c r="K55" i="8"/>
  <c r="K57" s="1"/>
  <c r="L62" s="1"/>
  <c r="F23" i="17"/>
  <c r="G23"/>
  <c r="H23"/>
  <c r="F27"/>
  <c r="H27"/>
  <c r="H37"/>
  <c r="F37"/>
  <c r="I56"/>
  <c r="H56"/>
  <c r="F81"/>
  <c r="H81"/>
  <c r="C45" i="20"/>
  <c r="C51" s="1"/>
  <c r="C81" s="1"/>
  <c r="C83" s="1"/>
  <c r="C43"/>
  <c r="K27" i="22"/>
  <c r="H29"/>
  <c r="K29" s="1"/>
  <c r="N22" i="5"/>
  <c r="N48"/>
  <c r="E17"/>
  <c r="H17" s="1"/>
  <c r="N28" i="6"/>
  <c r="G51" i="17"/>
  <c r="N29" i="4"/>
  <c r="N46"/>
  <c r="L62" i="7"/>
  <c r="D55" i="12"/>
  <c r="D57" s="1"/>
  <c r="G22" i="17"/>
  <c r="G33"/>
  <c r="O113" i="24"/>
  <c r="O115" s="1"/>
  <c r="E405" i="3"/>
  <c r="E407" s="1"/>
  <c r="E100"/>
  <c r="N18" i="5"/>
  <c r="N21" i="4"/>
  <c r="N54" s="1"/>
  <c r="N26" i="5"/>
  <c r="N36"/>
  <c r="N44"/>
  <c r="M54" i="4"/>
  <c r="E21" i="5"/>
  <c r="H21" s="1"/>
  <c r="E29"/>
  <c r="H29" s="1"/>
  <c r="E30"/>
  <c r="H30" s="1"/>
  <c r="E38"/>
  <c r="H38" s="1"/>
  <c r="E46"/>
  <c r="H46" s="1"/>
  <c r="E22" i="6"/>
  <c r="H22" s="1"/>
  <c r="K55" i="9"/>
  <c r="K57" s="1"/>
  <c r="L62" s="1"/>
  <c r="F55" i="10"/>
  <c r="F57" s="1"/>
  <c r="M55"/>
  <c r="M57" s="1"/>
  <c r="D55" i="11"/>
  <c r="D57" s="1"/>
  <c r="L24" i="13"/>
  <c r="M24" s="1"/>
  <c r="O24" s="1"/>
  <c r="P27"/>
  <c r="M33"/>
  <c r="O33" s="1"/>
  <c r="R33"/>
  <c r="L48"/>
  <c r="F31" i="17"/>
  <c r="C119" i="16"/>
  <c r="I23" i="17"/>
  <c r="H31"/>
  <c r="G50"/>
  <c r="G55"/>
  <c r="H72"/>
  <c r="G84"/>
  <c r="I103"/>
  <c r="E112"/>
  <c r="I120" i="25"/>
  <c r="C90" i="15"/>
  <c r="C68"/>
  <c r="C127"/>
  <c r="C77"/>
  <c r="C57"/>
  <c r="C107"/>
  <c r="C97"/>
  <c r="G112"/>
  <c r="H112"/>
  <c r="H25" i="17"/>
  <c r="F25"/>
  <c r="F32"/>
  <c r="H32"/>
  <c r="F58"/>
  <c r="H58"/>
  <c r="F71"/>
  <c r="G71"/>
  <c r="H71"/>
  <c r="C85"/>
  <c r="F76"/>
  <c r="H89"/>
  <c r="I89"/>
  <c r="F92"/>
  <c r="H92"/>
  <c r="F96"/>
  <c r="H96"/>
  <c r="F100"/>
  <c r="H100"/>
  <c r="F115"/>
  <c r="H115"/>
  <c r="C41" i="18"/>
  <c r="C31"/>
  <c r="H91" i="25"/>
  <c r="J78"/>
  <c r="J91" s="1"/>
  <c r="L32" i="11"/>
  <c r="L34"/>
  <c r="L53" i="12"/>
  <c r="M17" i="13"/>
  <c r="O17" s="1"/>
  <c r="R17"/>
  <c r="R36"/>
  <c r="R47"/>
  <c r="R52"/>
  <c r="G33" i="15"/>
  <c r="F48" i="17"/>
  <c r="F52"/>
  <c r="H111" i="16"/>
  <c r="H112" s="1"/>
  <c r="H119" s="1"/>
  <c r="H20" i="17"/>
  <c r="I30"/>
  <c r="H48"/>
  <c r="C73"/>
  <c r="H68"/>
  <c r="F83"/>
  <c r="C40" i="18"/>
  <c r="F33" i="19"/>
  <c r="E51" i="20"/>
  <c r="E81" s="1"/>
  <c r="E83" s="1"/>
  <c r="G45"/>
  <c r="G51" s="1"/>
  <c r="D46"/>
  <c r="D52" s="1"/>
  <c r="D48"/>
  <c r="D54" s="1"/>
  <c r="H49"/>
  <c r="H55" s="1"/>
  <c r="E46"/>
  <c r="E52" s="1"/>
  <c r="O31" i="24"/>
  <c r="O92"/>
  <c r="E60" i="13"/>
  <c r="E62" s="1"/>
  <c r="L16"/>
  <c r="F115" i="15"/>
  <c r="H101" i="17"/>
  <c r="I101"/>
  <c r="F19"/>
  <c r="G19"/>
  <c r="H19"/>
  <c r="H21"/>
  <c r="F21"/>
  <c r="F49"/>
  <c r="H49"/>
  <c r="F67"/>
  <c r="G67"/>
  <c r="H67"/>
  <c r="H69"/>
  <c r="F69"/>
  <c r="G42" i="18"/>
  <c r="H42" s="1"/>
  <c r="E17"/>
  <c r="D43" i="20"/>
  <c r="D45"/>
  <c r="D51" s="1"/>
  <c r="I43"/>
  <c r="I49" s="1"/>
  <c r="I55" s="1"/>
  <c r="I45"/>
  <c r="E16" i="21"/>
  <c r="L20" i="13"/>
  <c r="E33" i="15"/>
  <c r="F68"/>
  <c r="F26" i="17"/>
  <c r="G61" i="16"/>
  <c r="F90" i="17"/>
  <c r="I24"/>
  <c r="I27"/>
  <c r="G29"/>
  <c r="G30"/>
  <c r="G35"/>
  <c r="C62"/>
  <c r="G44"/>
  <c r="H52"/>
  <c r="H53"/>
  <c r="I72"/>
  <c r="G76"/>
  <c r="I90"/>
  <c r="I102"/>
  <c r="I107"/>
  <c r="B40" i="18"/>
  <c r="K40"/>
  <c r="I51" i="20"/>
  <c r="I81" s="1"/>
  <c r="G49"/>
  <c r="G55" s="1"/>
  <c r="I148" i="25"/>
  <c r="E18" i="17"/>
  <c r="I18" s="1"/>
  <c r="I40" i="16"/>
  <c r="D41" i="17"/>
  <c r="F51" i="20"/>
  <c r="F31"/>
  <c r="F55" s="1"/>
  <c r="I50" i="24"/>
  <c r="O48"/>
  <c r="O50" s="1"/>
  <c r="H32" i="25"/>
  <c r="J19"/>
  <c r="J32" s="1"/>
  <c r="H55" i="10"/>
  <c r="H57" s="1"/>
  <c r="H406" i="3" s="1"/>
  <c r="L47" i="11"/>
  <c r="L49"/>
  <c r="L17" i="12"/>
  <c r="M25" i="13"/>
  <c r="O25" s="1"/>
  <c r="R37"/>
  <c r="I53" i="14"/>
  <c r="F112" i="16"/>
  <c r="F119" s="1"/>
  <c r="I111"/>
  <c r="G22" i="18" s="1"/>
  <c r="G32" i="17"/>
  <c r="H34"/>
  <c r="H38"/>
  <c r="G54"/>
  <c r="F57"/>
  <c r="F61"/>
  <c r="D62"/>
  <c r="F65"/>
  <c r="F91"/>
  <c r="F95"/>
  <c r="F99"/>
  <c r="G100"/>
  <c r="H105"/>
  <c r="F108"/>
  <c r="H109"/>
  <c r="D30" i="18"/>
  <c r="G43"/>
  <c r="E45"/>
  <c r="G52" i="20"/>
  <c r="G54"/>
  <c r="C37"/>
  <c r="C46" i="22"/>
  <c r="E46" s="1"/>
  <c r="E47" s="1"/>
  <c r="E20" i="23"/>
  <c r="O28" i="24"/>
  <c r="O29" s="1"/>
  <c r="O85"/>
  <c r="O87" s="1"/>
  <c r="I17" i="30"/>
  <c r="D127" i="15"/>
  <c r="D115"/>
  <c r="D107"/>
  <c r="D57"/>
  <c r="C42" i="18"/>
  <c r="D42" s="1"/>
  <c r="C32"/>
  <c r="D33" i="19"/>
  <c r="E15"/>
  <c r="E33" s="1"/>
  <c r="H31" i="14"/>
  <c r="C33" i="15"/>
  <c r="D68"/>
  <c r="D90"/>
  <c r="D121"/>
  <c r="G72" i="16"/>
  <c r="G112" s="1"/>
  <c r="G119" s="1"/>
  <c r="H22" i="17"/>
  <c r="I26"/>
  <c r="F39"/>
  <c r="H44"/>
  <c r="I48"/>
  <c r="H70"/>
  <c r="F103"/>
  <c r="F106"/>
  <c r="F110"/>
  <c r="B31" i="20"/>
  <c r="B37"/>
  <c r="K31" i="24"/>
  <c r="K115"/>
  <c r="H26" i="27"/>
  <c r="D37" i="20"/>
  <c r="D46" i="22"/>
  <c r="E44"/>
  <c r="E102" i="23"/>
  <c r="E170"/>
  <c r="H17" i="27"/>
  <c r="E18" i="18" l="1"/>
  <c r="F121" i="15"/>
  <c r="F127"/>
  <c r="F90"/>
  <c r="F77"/>
  <c r="N39" i="6"/>
  <c r="O50" i="10"/>
  <c r="Q50" s="1"/>
  <c r="F84" i="15"/>
  <c r="F57"/>
  <c r="N47" i="6"/>
  <c r="F97" i="15"/>
  <c r="B55" i="20"/>
  <c r="B49"/>
  <c r="C49"/>
  <c r="C55" s="1"/>
  <c r="B81"/>
  <c r="B83" s="1"/>
  <c r="I32" i="25"/>
  <c r="F81" i="20"/>
  <c r="D81"/>
  <c r="D83" s="1"/>
  <c r="G407" i="3"/>
  <c r="E37" i="18"/>
  <c r="D24"/>
  <c r="F43"/>
  <c r="D27"/>
  <c r="F44"/>
  <c r="L557" i="34"/>
  <c r="N553"/>
  <c r="H407"/>
  <c r="O403"/>
  <c r="H186"/>
  <c r="H557"/>
  <c r="O553"/>
  <c r="L485"/>
  <c r="N333"/>
  <c r="O333" s="1"/>
  <c r="L33"/>
  <c r="N29"/>
  <c r="L346"/>
  <c r="L352"/>
  <c r="O259"/>
  <c r="N259"/>
  <c r="N179"/>
  <c r="O179" s="1"/>
  <c r="L183"/>
  <c r="N104"/>
  <c r="L108"/>
  <c r="H258"/>
  <c r="O260"/>
  <c r="N260"/>
  <c r="O409"/>
  <c r="N409"/>
  <c r="O408"/>
  <c r="N187"/>
  <c r="O187" s="1"/>
  <c r="H332"/>
  <c r="O328"/>
  <c r="H33"/>
  <c r="O29"/>
  <c r="L407"/>
  <c r="N403"/>
  <c r="H108"/>
  <c r="O104"/>
  <c r="H482"/>
  <c r="L258"/>
  <c r="N254"/>
  <c r="O254" s="1"/>
  <c r="N478"/>
  <c r="O478" s="1"/>
  <c r="H43" i="18"/>
  <c r="E46"/>
  <c r="F42"/>
  <c r="J54" i="6"/>
  <c r="F407" i="3"/>
  <c r="F86" i="20"/>
  <c r="F83"/>
  <c r="E52" i="9"/>
  <c r="H56" i="8"/>
  <c r="C56" i="11"/>
  <c r="E56" s="1"/>
  <c r="G56" s="1"/>
  <c r="J56" s="1"/>
  <c r="L56" s="1"/>
  <c r="H16" i="5"/>
  <c r="E54"/>
  <c r="D113" i="17"/>
  <c r="I112"/>
  <c r="G34" i="18"/>
  <c r="K44"/>
  <c r="L44" s="1"/>
  <c r="N45" i="5"/>
  <c r="E45" i="6"/>
  <c r="H45" s="1"/>
  <c r="H66" i="17"/>
  <c r="F66"/>
  <c r="G66"/>
  <c r="E73"/>
  <c r="I73" s="1"/>
  <c r="E47" i="8"/>
  <c r="N47" i="7"/>
  <c r="N49" i="5"/>
  <c r="E49" i="6"/>
  <c r="H49" s="1"/>
  <c r="I83" i="20"/>
  <c r="I86"/>
  <c r="E30" i="6"/>
  <c r="H30" s="1"/>
  <c r="N30" i="5"/>
  <c r="N33"/>
  <c r="E33" i="6"/>
  <c r="H33" s="1"/>
  <c r="E32" i="7"/>
  <c r="H32" s="1"/>
  <c r="N32" i="6"/>
  <c r="E20"/>
  <c r="H20" s="1"/>
  <c r="N20" i="5"/>
  <c r="F77" i="17"/>
  <c r="H77"/>
  <c r="E85"/>
  <c r="I85" s="1"/>
  <c r="K43" i="18"/>
  <c r="G23"/>
  <c r="G33"/>
  <c r="N23" i="6"/>
  <c r="E23" i="7"/>
  <c r="H23" s="1"/>
  <c r="E27"/>
  <c r="H27" s="1"/>
  <c r="N27" i="6"/>
  <c r="E43" i="8"/>
  <c r="N43" i="7"/>
  <c r="O94" i="24"/>
  <c r="I66" i="17"/>
  <c r="G81" i="20"/>
  <c r="I91" i="25"/>
  <c r="E26" i="18"/>
  <c r="E27" s="1"/>
  <c r="M54" i="5"/>
  <c r="H18" i="17"/>
  <c r="F18"/>
  <c r="G18"/>
  <c r="E41"/>
  <c r="E38" i="6"/>
  <c r="H38" s="1"/>
  <c r="N38" i="5"/>
  <c r="E17" i="6"/>
  <c r="H17" s="1"/>
  <c r="N17" i="5"/>
  <c r="E39" i="8"/>
  <c r="H39" s="1"/>
  <c r="N39" i="7"/>
  <c r="N52"/>
  <c r="J52" i="8"/>
  <c r="M52" s="1"/>
  <c r="J52" i="9" s="1"/>
  <c r="M52" s="1"/>
  <c r="L52" i="10" s="1"/>
  <c r="N52" s="1"/>
  <c r="Q52" s="1"/>
  <c r="E40" i="7"/>
  <c r="H40" s="1"/>
  <c r="N40" i="6"/>
  <c r="E24"/>
  <c r="H24" s="1"/>
  <c r="N24" i="5"/>
  <c r="N52" i="6"/>
  <c r="E53" i="7"/>
  <c r="E25" i="6"/>
  <c r="H25" s="1"/>
  <c r="N25" i="5"/>
  <c r="G112" i="17"/>
  <c r="C113"/>
  <c r="K42" i="18"/>
  <c r="G32"/>
  <c r="E19" i="7"/>
  <c r="H19" s="1"/>
  <c r="N19" i="6"/>
  <c r="C45" i="11"/>
  <c r="E45" s="1"/>
  <c r="G45" s="1"/>
  <c r="H44" i="8"/>
  <c r="E51"/>
  <c r="N51" i="7"/>
  <c r="N35"/>
  <c r="E35" i="8"/>
  <c r="N37" i="5"/>
  <c r="E37" i="6"/>
  <c r="H37" s="1"/>
  <c r="N31" i="7"/>
  <c r="E31" i="8"/>
  <c r="H31" s="1"/>
  <c r="N41" i="5"/>
  <c r="E41" i="6"/>
  <c r="H41" s="1"/>
  <c r="H47" i="17"/>
  <c r="F47"/>
  <c r="I47"/>
  <c r="E50" i="7"/>
  <c r="H50" s="1"/>
  <c r="N50" i="6"/>
  <c r="N34"/>
  <c r="E34" i="7"/>
  <c r="H34" s="1"/>
  <c r="N26"/>
  <c r="E26" i="8"/>
  <c r="N48" i="7"/>
  <c r="E48" i="8"/>
  <c r="E36" i="9"/>
  <c r="H36" s="1"/>
  <c r="N36" i="8"/>
  <c r="N17" i="30"/>
  <c r="N30" s="1"/>
  <c r="I30"/>
  <c r="K30" s="1"/>
  <c r="I112" i="16"/>
  <c r="I119" s="1"/>
  <c r="G34" i="19" s="1"/>
  <c r="G33" s="1"/>
  <c r="G15" i="18"/>
  <c r="C46"/>
  <c r="D41"/>
  <c r="D46" s="1"/>
  <c r="E46" i="6"/>
  <c r="H46" s="1"/>
  <c r="N46" i="5"/>
  <c r="E21" i="6"/>
  <c r="H21" s="1"/>
  <c r="N21" i="5"/>
  <c r="F45" i="18"/>
  <c r="H45"/>
  <c r="H46" s="1"/>
  <c r="K45"/>
  <c r="G35"/>
  <c r="H112" i="17"/>
  <c r="F112"/>
  <c r="E22" i="7"/>
  <c r="H22" s="1"/>
  <c r="N22" i="6"/>
  <c r="E29"/>
  <c r="H29" s="1"/>
  <c r="N29" i="5"/>
  <c r="J16" i="7"/>
  <c r="M54" i="6"/>
  <c r="N42"/>
  <c r="E42" i="7"/>
  <c r="H42" s="1"/>
  <c r="C28" i="11"/>
  <c r="E28" s="1"/>
  <c r="G28" s="1"/>
  <c r="J28" s="1"/>
  <c r="L28" s="1"/>
  <c r="H28" i="8"/>
  <c r="E18"/>
  <c r="N18" i="7"/>
  <c r="D49" i="20"/>
  <c r="D55" s="1"/>
  <c r="L60" i="13"/>
  <c r="L62" s="1"/>
  <c r="G46" i="18"/>
  <c r="F41"/>
  <c r="C36"/>
  <c r="D37" s="1"/>
  <c r="P60" i="13"/>
  <c r="P62" s="1"/>
  <c r="E62" i="17"/>
  <c r="I62" s="1"/>
  <c r="O30" i="10"/>
  <c r="Q30" s="1"/>
  <c r="H407" i="3"/>
  <c r="G85" i="17" l="1"/>
  <c r="G73"/>
  <c r="E47" i="18"/>
  <c r="E48" s="1"/>
  <c r="L348" i="34"/>
  <c r="L347"/>
  <c r="H485"/>
  <c r="N407"/>
  <c r="O407" s="1"/>
  <c r="L410"/>
  <c r="H335"/>
  <c r="N332"/>
  <c r="O332" s="1"/>
  <c r="H261"/>
  <c r="N183"/>
  <c r="O183" s="1"/>
  <c r="L186"/>
  <c r="L353"/>
  <c r="L354"/>
  <c r="L36"/>
  <c r="N33"/>
  <c r="L560"/>
  <c r="N557"/>
  <c r="L502"/>
  <c r="L496"/>
  <c r="H197"/>
  <c r="H203"/>
  <c r="N258"/>
  <c r="O258" s="1"/>
  <c r="L261"/>
  <c r="H111"/>
  <c r="H36"/>
  <c r="O33"/>
  <c r="L111"/>
  <c r="N108"/>
  <c r="O108" s="1"/>
  <c r="H560"/>
  <c r="O557"/>
  <c r="H410"/>
  <c r="N482"/>
  <c r="O482" s="1"/>
  <c r="F46" i="18"/>
  <c r="C35" i="11"/>
  <c r="E35" s="1"/>
  <c r="G35" s="1"/>
  <c r="J35" s="1"/>
  <c r="L35" s="1"/>
  <c r="H35" i="8"/>
  <c r="H41" i="17"/>
  <c r="F41"/>
  <c r="H18" i="8"/>
  <c r="C18" i="11"/>
  <c r="E18" s="1"/>
  <c r="G18" s="1"/>
  <c r="E29" i="7"/>
  <c r="H29" s="1"/>
  <c r="N29" i="6"/>
  <c r="N46"/>
  <c r="E46" i="7"/>
  <c r="H46" s="1"/>
  <c r="E31" i="9"/>
  <c r="H31" s="1"/>
  <c r="N31" i="8"/>
  <c r="E25" i="7"/>
  <c r="H25" s="1"/>
  <c r="N25" i="6"/>
  <c r="N24"/>
  <c r="E24" i="7"/>
  <c r="H24" s="1"/>
  <c r="E17"/>
  <c r="H17" s="1"/>
  <c r="N17" i="6"/>
  <c r="G83" i="20"/>
  <c r="G86"/>
  <c r="E23" i="8"/>
  <c r="N23" i="7"/>
  <c r="N34"/>
  <c r="E34" i="8"/>
  <c r="N44"/>
  <c r="E44" i="9"/>
  <c r="C44" i="11"/>
  <c r="E44" s="1"/>
  <c r="G44" s="1"/>
  <c r="H43" i="8"/>
  <c r="N32" i="7"/>
  <c r="E32" i="8"/>
  <c r="D120" i="17"/>
  <c r="E16" i="6"/>
  <c r="H54" i="5"/>
  <c r="N16"/>
  <c r="N54" s="1"/>
  <c r="H52" i="9"/>
  <c r="C53" i="12"/>
  <c r="E53" s="1"/>
  <c r="G53" s="1"/>
  <c r="H62" i="17"/>
  <c r="F62"/>
  <c r="G47" i="18"/>
  <c r="G48" s="1"/>
  <c r="G52"/>
  <c r="E36" i="10"/>
  <c r="G36" s="1"/>
  <c r="J36" s="1"/>
  <c r="R36" s="1"/>
  <c r="N36" i="9"/>
  <c r="C41" i="13" s="1"/>
  <c r="E50" i="8"/>
  <c r="N50" i="7"/>
  <c r="N41" i="6"/>
  <c r="E41" i="7"/>
  <c r="H41" s="1"/>
  <c r="E37"/>
  <c r="H37" s="1"/>
  <c r="N37" i="6"/>
  <c r="C52" i="11"/>
  <c r="E52" s="1"/>
  <c r="G52" s="1"/>
  <c r="J52" s="1"/>
  <c r="L52" s="1"/>
  <c r="H51" i="8"/>
  <c r="E19"/>
  <c r="N19" i="7"/>
  <c r="N40"/>
  <c r="E40" i="8"/>
  <c r="H40" s="1"/>
  <c r="N39"/>
  <c r="E39" i="9"/>
  <c r="H39" s="1"/>
  <c r="N38" i="6"/>
  <c r="E38" i="7"/>
  <c r="H38" s="1"/>
  <c r="N33" i="6"/>
  <c r="E33" i="7"/>
  <c r="H33" s="1"/>
  <c r="E49"/>
  <c r="H49" s="1"/>
  <c r="N49" i="6"/>
  <c r="H73" i="17"/>
  <c r="F73"/>
  <c r="E45" i="7"/>
  <c r="H45" s="1"/>
  <c r="N45" i="6"/>
  <c r="G62" i="17"/>
  <c r="G41"/>
  <c r="N52" i="8"/>
  <c r="E42"/>
  <c r="N42" i="7"/>
  <c r="C49" i="11"/>
  <c r="E49" s="1"/>
  <c r="G49" s="1"/>
  <c r="H48" i="8"/>
  <c r="E27"/>
  <c r="N27" i="7"/>
  <c r="G25" i="18"/>
  <c r="M16" i="7"/>
  <c r="J55"/>
  <c r="J57" s="1"/>
  <c r="E22" i="8"/>
  <c r="N22" i="7"/>
  <c r="E21"/>
  <c r="H21" s="1"/>
  <c r="N21" i="6"/>
  <c r="E28" i="9"/>
  <c r="N28" i="8"/>
  <c r="G31" i="18"/>
  <c r="G36" s="1"/>
  <c r="G17"/>
  <c r="G26" s="1"/>
  <c r="K41"/>
  <c r="H26" i="8"/>
  <c r="C26" i="11"/>
  <c r="E26" s="1"/>
  <c r="G26" s="1"/>
  <c r="J26" s="1"/>
  <c r="L26" s="1"/>
  <c r="C120" i="17"/>
  <c r="G53" i="7"/>
  <c r="G55" s="1"/>
  <c r="G57" s="1"/>
  <c r="F85" i="17"/>
  <c r="H85"/>
  <c r="N20" i="6"/>
  <c r="E20" i="7"/>
  <c r="H20" s="1"/>
  <c r="N30" i="6"/>
  <c r="E30" i="7"/>
  <c r="H30" s="1"/>
  <c r="C48" i="11"/>
  <c r="E48" s="1"/>
  <c r="G48" s="1"/>
  <c r="H47" i="8"/>
  <c r="N56"/>
  <c r="E56" i="9"/>
  <c r="I41" i="17"/>
  <c r="E113"/>
  <c r="G113" s="1"/>
  <c r="N261" i="34" l="1"/>
  <c r="L278"/>
  <c r="L272"/>
  <c r="L355"/>
  <c r="H352"/>
  <c r="H346"/>
  <c r="N335"/>
  <c r="O335" s="1"/>
  <c r="H496"/>
  <c r="N496" s="1"/>
  <c r="H502"/>
  <c r="H427"/>
  <c r="H421"/>
  <c r="L128"/>
  <c r="L122"/>
  <c r="N111"/>
  <c r="H128"/>
  <c r="H122"/>
  <c r="O111"/>
  <c r="H198"/>
  <c r="L53"/>
  <c r="L47"/>
  <c r="N36"/>
  <c r="O36" s="1"/>
  <c r="N186"/>
  <c r="O186" s="1"/>
  <c r="L203"/>
  <c r="L197"/>
  <c r="L350"/>
  <c r="L349"/>
  <c r="H204"/>
  <c r="H205"/>
  <c r="L503"/>
  <c r="L504"/>
  <c r="O261"/>
  <c r="H278"/>
  <c r="H272"/>
  <c r="N410"/>
  <c r="O410" s="1"/>
  <c r="L427"/>
  <c r="L421"/>
  <c r="N485"/>
  <c r="O485" s="1"/>
  <c r="H577"/>
  <c r="H571"/>
  <c r="H53"/>
  <c r="H47"/>
  <c r="L497"/>
  <c r="L498"/>
  <c r="L577"/>
  <c r="L571"/>
  <c r="N560"/>
  <c r="O560" s="1"/>
  <c r="H53" i="7"/>
  <c r="E53" i="8" s="1"/>
  <c r="E20"/>
  <c r="N20" i="7"/>
  <c r="N53"/>
  <c r="H15" i="21"/>
  <c r="M55" i="7"/>
  <c r="M57" s="1"/>
  <c r="J16" i="8"/>
  <c r="E48" i="9"/>
  <c r="N48" i="8"/>
  <c r="E45"/>
  <c r="N45" i="7"/>
  <c r="N49"/>
  <c r="E49" i="8"/>
  <c r="E33"/>
  <c r="N33" i="7"/>
  <c r="E39" i="10"/>
  <c r="G39" s="1"/>
  <c r="J39" s="1"/>
  <c r="R39" s="1"/>
  <c r="N39" i="9"/>
  <c r="C44" i="13" s="1"/>
  <c r="C23" i="11"/>
  <c r="E23" s="1"/>
  <c r="G23" s="1"/>
  <c r="H23" i="8"/>
  <c r="E24"/>
  <c r="N24" i="7"/>
  <c r="N18" i="8"/>
  <c r="E18" i="9"/>
  <c r="I113" i="17"/>
  <c r="E52" i="10"/>
  <c r="G52" s="1"/>
  <c r="J52" s="1"/>
  <c r="R52" s="1"/>
  <c r="N52" i="9"/>
  <c r="E43"/>
  <c r="N43" i="8"/>
  <c r="N17" i="7"/>
  <c r="E17" i="8"/>
  <c r="E35" i="9"/>
  <c r="N35" i="8"/>
  <c r="C56" i="12"/>
  <c r="E56" s="1"/>
  <c r="G56" s="1"/>
  <c r="J56" s="1"/>
  <c r="L56" s="1"/>
  <c r="E56" i="10"/>
  <c r="G56" s="1"/>
  <c r="J56" s="1"/>
  <c r="R56" s="1"/>
  <c r="H56" i="9"/>
  <c r="N56" s="1"/>
  <c r="C61" i="13" s="1"/>
  <c r="J61" s="1"/>
  <c r="K46" i="18"/>
  <c r="H22" i="8"/>
  <c r="C22" i="11"/>
  <c r="E22" s="1"/>
  <c r="G22" s="1"/>
  <c r="J22" s="1"/>
  <c r="L22" s="1"/>
  <c r="H42" i="8"/>
  <c r="C43" i="11"/>
  <c r="E43" s="1"/>
  <c r="G43" s="1"/>
  <c r="J43" s="1"/>
  <c r="L43" s="1"/>
  <c r="E38" i="8"/>
  <c r="H38" s="1"/>
  <c r="N38" i="7"/>
  <c r="N40" i="8"/>
  <c r="E40" i="9"/>
  <c r="H40" s="1"/>
  <c r="E51"/>
  <c r="N51" i="8"/>
  <c r="N41" i="7"/>
  <c r="E41" i="8"/>
  <c r="H16" i="6"/>
  <c r="E54"/>
  <c r="E46" i="8"/>
  <c r="H46" s="1"/>
  <c r="N46" i="7"/>
  <c r="N47" i="8"/>
  <c r="E47" i="9"/>
  <c r="G19" i="18"/>
  <c r="C28" i="12"/>
  <c r="E28" s="1"/>
  <c r="G28" s="1"/>
  <c r="J28" s="1"/>
  <c r="L28" s="1"/>
  <c r="H28" i="9"/>
  <c r="C27" i="11"/>
  <c r="E27" s="1"/>
  <c r="G27" s="1"/>
  <c r="J27" s="1"/>
  <c r="L27" s="1"/>
  <c r="H27" i="8"/>
  <c r="C34" i="11"/>
  <c r="E34" s="1"/>
  <c r="G34" s="1"/>
  <c r="H34" i="8"/>
  <c r="N25" i="7"/>
  <c r="E25" i="8"/>
  <c r="E29"/>
  <c r="N29" i="7"/>
  <c r="E120" i="17"/>
  <c r="G120" s="1"/>
  <c r="F113"/>
  <c r="F120" s="1"/>
  <c r="H113"/>
  <c r="H120" s="1"/>
  <c r="E30" i="8"/>
  <c r="N30" i="7"/>
  <c r="E26" i="9"/>
  <c r="N26" i="8"/>
  <c r="E21"/>
  <c r="N21" i="7"/>
  <c r="H19" i="8"/>
  <c r="C19" i="11"/>
  <c r="E19" s="1"/>
  <c r="G19" s="1"/>
  <c r="J19" s="1"/>
  <c r="L19" s="1"/>
  <c r="E37" i="8"/>
  <c r="N37" i="7"/>
  <c r="H50" i="8"/>
  <c r="C51" i="11"/>
  <c r="E51" s="1"/>
  <c r="G51" s="1"/>
  <c r="H32" i="8"/>
  <c r="C32" i="11"/>
  <c r="E32" s="1"/>
  <c r="G32" s="1"/>
  <c r="H44" i="9"/>
  <c r="C45" i="12"/>
  <c r="E45" s="1"/>
  <c r="G45" s="1"/>
  <c r="E31" i="10"/>
  <c r="G31" s="1"/>
  <c r="J31" s="1"/>
  <c r="N31" i="9"/>
  <c r="I120" i="17" l="1"/>
  <c r="L500" i="34"/>
  <c r="L499"/>
  <c r="H48"/>
  <c r="O47"/>
  <c r="H578"/>
  <c r="H579" s="1"/>
  <c r="O577"/>
  <c r="N427"/>
  <c r="O427" s="1"/>
  <c r="L428"/>
  <c r="L429" s="1"/>
  <c r="H206"/>
  <c r="H123"/>
  <c r="N128"/>
  <c r="L129"/>
  <c r="L130"/>
  <c r="H503"/>
  <c r="H504" s="1"/>
  <c r="O346"/>
  <c r="H347"/>
  <c r="N346"/>
  <c r="L579"/>
  <c r="L578"/>
  <c r="N578" s="1"/>
  <c r="N577"/>
  <c r="H572"/>
  <c r="N421"/>
  <c r="L422"/>
  <c r="N422" s="1"/>
  <c r="H279"/>
  <c r="H280" s="1"/>
  <c r="N203"/>
  <c r="O203" s="1"/>
  <c r="L205"/>
  <c r="L204"/>
  <c r="N204" s="1"/>
  <c r="L54"/>
  <c r="N54" s="1"/>
  <c r="N53"/>
  <c r="O53" s="1"/>
  <c r="L123"/>
  <c r="L124"/>
  <c r="N122"/>
  <c r="O122" s="1"/>
  <c r="H428"/>
  <c r="H429" s="1"/>
  <c r="N278"/>
  <c r="O278" s="1"/>
  <c r="L280"/>
  <c r="L279"/>
  <c r="L572"/>
  <c r="N572" s="1"/>
  <c r="N571"/>
  <c r="O571" s="1"/>
  <c r="H273"/>
  <c r="H274"/>
  <c r="N197"/>
  <c r="O197" s="1"/>
  <c r="L198"/>
  <c r="N198" s="1"/>
  <c r="L199"/>
  <c r="L49"/>
  <c r="L48"/>
  <c r="N47"/>
  <c r="H422"/>
  <c r="H423"/>
  <c r="O421"/>
  <c r="N272"/>
  <c r="O272" s="1"/>
  <c r="L273"/>
  <c r="N273" s="1"/>
  <c r="O198"/>
  <c r="N502"/>
  <c r="O502" s="1"/>
  <c r="L356"/>
  <c r="N503"/>
  <c r="H55"/>
  <c r="H54"/>
  <c r="L506"/>
  <c r="L505"/>
  <c r="H129"/>
  <c r="H130" s="1"/>
  <c r="O128"/>
  <c r="O496"/>
  <c r="H497"/>
  <c r="H498" s="1"/>
  <c r="O352"/>
  <c r="H354"/>
  <c r="H353"/>
  <c r="N352"/>
  <c r="N497"/>
  <c r="O204"/>
  <c r="H199"/>
  <c r="H21" i="8"/>
  <c r="C21" i="11"/>
  <c r="E21" s="1"/>
  <c r="G21" s="1"/>
  <c r="N23" i="8"/>
  <c r="E23" i="9"/>
  <c r="H33" i="8"/>
  <c r="C33" i="11"/>
  <c r="E33" s="1"/>
  <c r="G33" s="1"/>
  <c r="C46"/>
  <c r="E46" s="1"/>
  <c r="G46" s="1"/>
  <c r="J46" s="1"/>
  <c r="L46" s="1"/>
  <c r="H45" i="8"/>
  <c r="E32" i="9"/>
  <c r="N32" i="8"/>
  <c r="C39" i="11"/>
  <c r="E39" s="1"/>
  <c r="G39" s="1"/>
  <c r="C37"/>
  <c r="E37" s="1"/>
  <c r="G37" s="1"/>
  <c r="J37" s="1"/>
  <c r="L37" s="1"/>
  <c r="H37" i="8"/>
  <c r="C38" i="11"/>
  <c r="E38" s="1"/>
  <c r="G38" s="1"/>
  <c r="C26" i="12"/>
  <c r="E26" s="1"/>
  <c r="G26" s="1"/>
  <c r="J26" s="1"/>
  <c r="L26" s="1"/>
  <c r="H26" i="9"/>
  <c r="E34"/>
  <c r="N34" i="8"/>
  <c r="E22" i="9"/>
  <c r="N22" i="8"/>
  <c r="C50" i="11"/>
  <c r="E50" s="1"/>
  <c r="G50" s="1"/>
  <c r="J50" s="1"/>
  <c r="L50" s="1"/>
  <c r="H49" i="8"/>
  <c r="H19" i="21"/>
  <c r="H16"/>
  <c r="C20" i="11"/>
  <c r="E20" s="1"/>
  <c r="G20" s="1"/>
  <c r="J20" s="1"/>
  <c r="L20" s="1"/>
  <c r="H20" i="8"/>
  <c r="C17" i="11"/>
  <c r="E17" s="1"/>
  <c r="G17" s="1"/>
  <c r="H17" i="8"/>
  <c r="E44" i="10"/>
  <c r="G44" s="1"/>
  <c r="J44" s="1"/>
  <c r="R44" s="1"/>
  <c r="N44" i="9"/>
  <c r="C50" i="13" s="1"/>
  <c r="N50" i="8"/>
  <c r="E50" i="9"/>
  <c r="N19" i="8"/>
  <c r="E19" i="9"/>
  <c r="H29" i="8"/>
  <c r="C29" i="11"/>
  <c r="E29" s="1"/>
  <c r="G29" s="1"/>
  <c r="J29" s="1"/>
  <c r="L29" s="1"/>
  <c r="C25"/>
  <c r="E25" s="1"/>
  <c r="G25" s="1"/>
  <c r="J25" s="1"/>
  <c r="L25" s="1"/>
  <c r="H25" i="8"/>
  <c r="C42" i="11"/>
  <c r="E42" s="1"/>
  <c r="G42" s="1"/>
  <c r="H41" i="8"/>
  <c r="E40" i="10"/>
  <c r="G40" s="1"/>
  <c r="J40" s="1"/>
  <c r="N40" i="9"/>
  <c r="C45" i="13" s="1"/>
  <c r="J45" s="1"/>
  <c r="E42" i="9"/>
  <c r="N42" i="8"/>
  <c r="M61" i="13"/>
  <c r="O61" s="1"/>
  <c r="R61"/>
  <c r="H35" i="9"/>
  <c r="C35" i="12"/>
  <c r="E35" s="1"/>
  <c r="G35" s="1"/>
  <c r="J35" s="1"/>
  <c r="L35" s="1"/>
  <c r="H43" i="9"/>
  <c r="C44" i="12"/>
  <c r="E44" s="1"/>
  <c r="G44" s="1"/>
  <c r="C24" i="11"/>
  <c r="E24" s="1"/>
  <c r="G24" s="1"/>
  <c r="J24" s="1"/>
  <c r="L24" s="1"/>
  <c r="H24" i="8"/>
  <c r="M16"/>
  <c r="J55"/>
  <c r="J57" s="1"/>
  <c r="E28" i="10"/>
  <c r="G28" s="1"/>
  <c r="J28" s="1"/>
  <c r="N28" i="9"/>
  <c r="C30" i="13" s="1"/>
  <c r="J30" s="1"/>
  <c r="C48" i="12"/>
  <c r="E48" s="1"/>
  <c r="G48" s="1"/>
  <c r="H47" i="9"/>
  <c r="H18"/>
  <c r="C18" i="12"/>
  <c r="E18" s="1"/>
  <c r="G18" s="1"/>
  <c r="H30" i="8"/>
  <c r="C30" i="11"/>
  <c r="E30" s="1"/>
  <c r="G30" s="1"/>
  <c r="J30" s="1"/>
  <c r="L30" s="1"/>
  <c r="E27" i="9"/>
  <c r="N27" i="8"/>
  <c r="E46" i="9"/>
  <c r="H46" s="1"/>
  <c r="N46" i="8"/>
  <c r="N16" i="6"/>
  <c r="N54" s="1"/>
  <c r="E16" i="7"/>
  <c r="H54" i="6"/>
  <c r="C52" i="12"/>
  <c r="E52" s="1"/>
  <c r="G52" s="1"/>
  <c r="J52" s="1"/>
  <c r="L52" s="1"/>
  <c r="H51" i="9"/>
  <c r="E38"/>
  <c r="H38" s="1"/>
  <c r="N38" i="8"/>
  <c r="G49" i="18"/>
  <c r="G50"/>
  <c r="L51"/>
  <c r="H48" i="9"/>
  <c r="C49" i="12"/>
  <c r="E49" s="1"/>
  <c r="G49" s="1"/>
  <c r="C54" i="11"/>
  <c r="E54" s="1"/>
  <c r="G54" s="1"/>
  <c r="H53" i="8"/>
  <c r="H131" i="34" l="1"/>
  <c r="O130"/>
  <c r="H281"/>
  <c r="H282"/>
  <c r="O280"/>
  <c r="N429"/>
  <c r="L430"/>
  <c r="N430" s="1"/>
  <c r="H431"/>
  <c r="O429"/>
  <c r="H430"/>
  <c r="H580"/>
  <c r="H581" s="1"/>
  <c r="H505"/>
  <c r="N504"/>
  <c r="O504" s="1"/>
  <c r="H499"/>
  <c r="H500" s="1"/>
  <c r="N498"/>
  <c r="O498" s="1"/>
  <c r="H56"/>
  <c r="H424"/>
  <c r="H425" s="1"/>
  <c r="H276"/>
  <c r="H275"/>
  <c r="L580"/>
  <c r="N580" s="1"/>
  <c r="N579"/>
  <c r="O579" s="1"/>
  <c r="N130"/>
  <c r="L131"/>
  <c r="N131" s="1"/>
  <c r="H355"/>
  <c r="N354"/>
  <c r="O354" s="1"/>
  <c r="N280"/>
  <c r="L281"/>
  <c r="N281" s="1"/>
  <c r="N205"/>
  <c r="O205" s="1"/>
  <c r="L207"/>
  <c r="N207" s="1"/>
  <c r="L206"/>
  <c r="N206" s="1"/>
  <c r="N347"/>
  <c r="O347" s="1"/>
  <c r="O199"/>
  <c r="H200"/>
  <c r="H201"/>
  <c r="O353"/>
  <c r="N353"/>
  <c r="O572"/>
  <c r="O48"/>
  <c r="O54"/>
  <c r="N48"/>
  <c r="O206"/>
  <c r="N279"/>
  <c r="O279" s="1"/>
  <c r="N123"/>
  <c r="O123" s="1"/>
  <c r="H348"/>
  <c r="H207"/>
  <c r="L51"/>
  <c r="L50"/>
  <c r="N199"/>
  <c r="L200"/>
  <c r="N200" s="1"/>
  <c r="L125"/>
  <c r="O497"/>
  <c r="O129"/>
  <c r="L274"/>
  <c r="O422"/>
  <c r="O273"/>
  <c r="L573"/>
  <c r="L55"/>
  <c r="L423"/>
  <c r="H573"/>
  <c r="O503"/>
  <c r="N129"/>
  <c r="H124"/>
  <c r="N428"/>
  <c r="O428" s="1"/>
  <c r="O578"/>
  <c r="H49"/>
  <c r="E53" i="9"/>
  <c r="N53" i="8"/>
  <c r="E51" i="10"/>
  <c r="G51" s="1"/>
  <c r="J51" s="1"/>
  <c r="N51" i="9"/>
  <c r="C57" i="13" s="1"/>
  <c r="J57" s="1"/>
  <c r="C27" i="12"/>
  <c r="E27" s="1"/>
  <c r="G27" s="1"/>
  <c r="J27" s="1"/>
  <c r="L27" s="1"/>
  <c r="H27" i="9"/>
  <c r="M30" i="13"/>
  <c r="R30"/>
  <c r="M55" i="8"/>
  <c r="M57" s="1"/>
  <c r="J16" i="9"/>
  <c r="N43"/>
  <c r="C49" i="13" s="1"/>
  <c r="E43" i="10"/>
  <c r="G43" s="1"/>
  <c r="J43" s="1"/>
  <c r="R43" s="1"/>
  <c r="E41" i="9"/>
  <c r="N41" i="8"/>
  <c r="N38" i="9"/>
  <c r="C43" i="13" s="1"/>
  <c r="E38" i="10"/>
  <c r="G38" s="1"/>
  <c r="J38" s="1"/>
  <c r="R38" s="1"/>
  <c r="H16" i="7"/>
  <c r="E55"/>
  <c r="E57" s="1"/>
  <c r="N17" i="8"/>
  <c r="E17" i="9"/>
  <c r="E46" i="10"/>
  <c r="G46" s="1"/>
  <c r="J46" s="1"/>
  <c r="R46" s="1"/>
  <c r="N46" i="9"/>
  <c r="C52" i="13" s="1"/>
  <c r="N18" i="9"/>
  <c r="C18" i="13" s="1"/>
  <c r="E18" i="10"/>
  <c r="G18" s="1"/>
  <c r="J18" s="1"/>
  <c r="R18" s="1"/>
  <c r="E47"/>
  <c r="G47" s="1"/>
  <c r="J47" s="1"/>
  <c r="N47" i="9"/>
  <c r="C53" i="13" s="1"/>
  <c r="N35" i="9"/>
  <c r="C40" i="13" s="1"/>
  <c r="J40" s="1"/>
  <c r="E35" i="10"/>
  <c r="G35" s="1"/>
  <c r="J35" s="1"/>
  <c r="M45" i="13"/>
  <c r="R45"/>
  <c r="E25" i="9"/>
  <c r="N25" i="8"/>
  <c r="E49" i="9"/>
  <c r="N49" i="8"/>
  <c r="N33"/>
  <c r="E33" i="9"/>
  <c r="C51" i="12"/>
  <c r="E51" s="1"/>
  <c r="G51" s="1"/>
  <c r="H50" i="9"/>
  <c r="N20" i="8"/>
  <c r="E20" i="9"/>
  <c r="C34" i="12"/>
  <c r="E34" s="1"/>
  <c r="G34" s="1"/>
  <c r="H34" i="9"/>
  <c r="E26" i="10"/>
  <c r="G26" s="1"/>
  <c r="J26" s="1"/>
  <c r="N26" i="9"/>
  <c r="C28" i="13" s="1"/>
  <c r="J28" s="1"/>
  <c r="N45" i="8"/>
  <c r="E45" i="9"/>
  <c r="C23" i="12"/>
  <c r="E23" s="1"/>
  <c r="G23" s="1"/>
  <c r="H23" i="9"/>
  <c r="E48" i="10"/>
  <c r="G48" s="1"/>
  <c r="J48" s="1"/>
  <c r="R48" s="1"/>
  <c r="N48" i="9"/>
  <c r="C54" i="13" s="1"/>
  <c r="E30" i="9"/>
  <c r="N30" i="8"/>
  <c r="E24" i="9"/>
  <c r="N24" i="8"/>
  <c r="C43" i="12"/>
  <c r="E43" s="1"/>
  <c r="G43" s="1"/>
  <c r="J43" s="1"/>
  <c r="L43" s="1"/>
  <c r="H42" i="9"/>
  <c r="N29" i="8"/>
  <c r="E29" i="9"/>
  <c r="C19" i="12"/>
  <c r="E19" s="1"/>
  <c r="G19" s="1"/>
  <c r="J19" s="1"/>
  <c r="L19" s="1"/>
  <c r="H19" i="9"/>
  <c r="C22" i="12"/>
  <c r="E22" s="1"/>
  <c r="G22" s="1"/>
  <c r="J22" s="1"/>
  <c r="L22" s="1"/>
  <c r="H22" i="9"/>
  <c r="E37"/>
  <c r="N37" i="8"/>
  <c r="C32" i="12"/>
  <c r="E32" s="1"/>
  <c r="G32" s="1"/>
  <c r="H32" i="9"/>
  <c r="E21"/>
  <c r="N21" i="8"/>
  <c r="O500" i="34" l="1"/>
  <c r="N500"/>
  <c r="O581"/>
  <c r="H575"/>
  <c r="H574"/>
  <c r="N274"/>
  <c r="O274" s="1"/>
  <c r="L276"/>
  <c r="N276" s="1"/>
  <c r="O276" s="1"/>
  <c r="L275"/>
  <c r="N275" s="1"/>
  <c r="O275" s="1"/>
  <c r="L56"/>
  <c r="N56" s="1"/>
  <c r="N55"/>
  <c r="O55" s="1"/>
  <c r="H126"/>
  <c r="H125"/>
  <c r="O124"/>
  <c r="N423"/>
  <c r="O423" s="1"/>
  <c r="L425"/>
  <c r="N425" s="1"/>
  <c r="O425" s="1"/>
  <c r="L424"/>
  <c r="N424" s="1"/>
  <c r="L575"/>
  <c r="N575" s="1"/>
  <c r="L574"/>
  <c r="N574" s="1"/>
  <c r="N573"/>
  <c r="O573" s="1"/>
  <c r="N355"/>
  <c r="O355" s="1"/>
  <c r="O505"/>
  <c r="O131"/>
  <c r="N124"/>
  <c r="N499"/>
  <c r="O499" s="1"/>
  <c r="L132"/>
  <c r="N132" s="1"/>
  <c r="L581"/>
  <c r="N581" s="1"/>
  <c r="O56"/>
  <c r="H506"/>
  <c r="H132"/>
  <c r="O348"/>
  <c r="H350"/>
  <c r="H349"/>
  <c r="N348"/>
  <c r="H51"/>
  <c r="H50"/>
  <c r="N125"/>
  <c r="N51"/>
  <c r="O580"/>
  <c r="L201"/>
  <c r="N201" s="1"/>
  <c r="O201" s="1"/>
  <c r="N50"/>
  <c r="N505"/>
  <c r="O424"/>
  <c r="L126"/>
  <c r="N126" s="1"/>
  <c r="N49"/>
  <c r="O49" s="1"/>
  <c r="O207"/>
  <c r="O200"/>
  <c r="L282"/>
  <c r="N282" s="1"/>
  <c r="O282" s="1"/>
  <c r="H356"/>
  <c r="H57"/>
  <c r="O430"/>
  <c r="L431"/>
  <c r="N431" s="1"/>
  <c r="O431" s="1"/>
  <c r="O281"/>
  <c r="O28" i="10"/>
  <c r="N19" i="9"/>
  <c r="C19" i="13" s="1"/>
  <c r="J19" s="1"/>
  <c r="E19" i="10"/>
  <c r="G19" s="1"/>
  <c r="J19" s="1"/>
  <c r="E22"/>
  <c r="G22" s="1"/>
  <c r="J22" s="1"/>
  <c r="N22" i="9"/>
  <c r="C22" i="13" s="1"/>
  <c r="J22" s="1"/>
  <c r="C29" i="12"/>
  <c r="E29" s="1"/>
  <c r="G29" s="1"/>
  <c r="J29" s="1"/>
  <c r="L29" s="1"/>
  <c r="H29" i="9"/>
  <c r="E23" i="10"/>
  <c r="G23" s="1"/>
  <c r="J23" s="1"/>
  <c r="R23" s="1"/>
  <c r="N23" i="9"/>
  <c r="C25" i="13" s="1"/>
  <c r="M28"/>
  <c r="R28"/>
  <c r="C20" i="12"/>
  <c r="E20" s="1"/>
  <c r="G20" s="1"/>
  <c r="J20" s="1"/>
  <c r="L20" s="1"/>
  <c r="H20" i="9"/>
  <c r="M16"/>
  <c r="J55"/>
  <c r="J57" s="1"/>
  <c r="E27" i="10"/>
  <c r="G27" s="1"/>
  <c r="J27" s="1"/>
  <c r="N27" i="9"/>
  <c r="C29" i="13" s="1"/>
  <c r="J29" s="1"/>
  <c r="M57"/>
  <c r="R57"/>
  <c r="C50" i="12"/>
  <c r="E50" s="1"/>
  <c r="G50" s="1"/>
  <c r="J50" s="1"/>
  <c r="L50" s="1"/>
  <c r="H49" i="9"/>
  <c r="N32"/>
  <c r="E32" i="10"/>
  <c r="G32" s="1"/>
  <c r="J32" s="1"/>
  <c r="R32" s="1"/>
  <c r="N42" i="9"/>
  <c r="C48" i="13" s="1"/>
  <c r="J48" s="1"/>
  <c r="E42" i="10"/>
  <c r="G42" s="1"/>
  <c r="J42" s="1"/>
  <c r="H45" i="9"/>
  <c r="C46" i="12"/>
  <c r="E46" s="1"/>
  <c r="G46" s="1"/>
  <c r="J46" s="1"/>
  <c r="L46" s="1"/>
  <c r="E34" i="10"/>
  <c r="G34" s="1"/>
  <c r="J34" s="1"/>
  <c r="R34" s="1"/>
  <c r="N34" i="9"/>
  <c r="C33" i="12"/>
  <c r="E33" s="1"/>
  <c r="G33" s="1"/>
  <c r="H33" i="9"/>
  <c r="C54" i="12"/>
  <c r="E54" s="1"/>
  <c r="G54" s="1"/>
  <c r="H53" i="9"/>
  <c r="C24" i="12"/>
  <c r="E24" s="1"/>
  <c r="G24" s="1"/>
  <c r="J24" s="1"/>
  <c r="L24" s="1"/>
  <c r="H24" i="9"/>
  <c r="O45" i="13"/>
  <c r="O40" i="10"/>
  <c r="C17" i="12"/>
  <c r="E17" s="1"/>
  <c r="G17" s="1"/>
  <c r="H17" i="9"/>
  <c r="H21"/>
  <c r="C21" i="12"/>
  <c r="E21" s="1"/>
  <c r="G21" s="1"/>
  <c r="H37" i="9"/>
  <c r="C37" i="12"/>
  <c r="E37" s="1"/>
  <c r="G37" s="1"/>
  <c r="J37" s="1"/>
  <c r="L37" s="1"/>
  <c r="C30"/>
  <c r="E30" s="1"/>
  <c r="G30" s="1"/>
  <c r="J30" s="1"/>
  <c r="L30" s="1"/>
  <c r="H30" i="9"/>
  <c r="N50"/>
  <c r="C56" i="13" s="1"/>
  <c r="E50" i="10"/>
  <c r="G50" s="1"/>
  <c r="J50" s="1"/>
  <c r="R50" s="1"/>
  <c r="C25" i="12"/>
  <c r="E25" s="1"/>
  <c r="G25" s="1"/>
  <c r="J25" s="1"/>
  <c r="L25" s="1"/>
  <c r="H25" i="9"/>
  <c r="R40" i="13"/>
  <c r="M40"/>
  <c r="E16" i="8"/>
  <c r="H55" i="7"/>
  <c r="H57" s="1"/>
  <c r="N16"/>
  <c r="N55" s="1"/>
  <c r="N57" s="1"/>
  <c r="C42" i="12"/>
  <c r="E42" s="1"/>
  <c r="G42" s="1"/>
  <c r="H41" i="9"/>
  <c r="N350" i="34" l="1"/>
  <c r="O350" s="1"/>
  <c r="O506"/>
  <c r="N506"/>
  <c r="N356"/>
  <c r="O356" s="1"/>
  <c r="O349"/>
  <c r="N349"/>
  <c r="O51"/>
  <c r="O50"/>
  <c r="O575"/>
  <c r="O126"/>
  <c r="O574"/>
  <c r="O132"/>
  <c r="O125"/>
  <c r="L57"/>
  <c r="N57" s="1"/>
  <c r="O57" s="1"/>
  <c r="E25" i="10"/>
  <c r="G25" s="1"/>
  <c r="J25" s="1"/>
  <c r="N25" i="9"/>
  <c r="C27" i="13" s="1"/>
  <c r="J27" s="1"/>
  <c r="E30" i="10"/>
  <c r="G30" s="1"/>
  <c r="J30" s="1"/>
  <c r="R30" s="1"/>
  <c r="N30" i="9"/>
  <c r="O60" i="10"/>
  <c r="Q40"/>
  <c r="R40" s="1"/>
  <c r="M48" i="13"/>
  <c r="R48"/>
  <c r="M29"/>
  <c r="R29"/>
  <c r="E20" i="10"/>
  <c r="G20" s="1"/>
  <c r="J20" s="1"/>
  <c r="N20" i="9"/>
  <c r="C20" i="13" s="1"/>
  <c r="J20" s="1"/>
  <c r="M22"/>
  <c r="R22"/>
  <c r="N30"/>
  <c r="O30" s="1"/>
  <c r="Q28" i="10"/>
  <c r="R28" s="1"/>
  <c r="N41" i="9"/>
  <c r="C47" i="13" s="1"/>
  <c r="E41" i="10"/>
  <c r="G41" s="1"/>
  <c r="J41" s="1"/>
  <c r="R41" s="1"/>
  <c r="N53" i="9"/>
  <c r="E53" i="10"/>
  <c r="E49"/>
  <c r="G49" s="1"/>
  <c r="J49" s="1"/>
  <c r="N49" i="9"/>
  <c r="C55" i="13" s="1"/>
  <c r="J55" s="1"/>
  <c r="M55" i="9"/>
  <c r="M57" s="1"/>
  <c r="L16" i="10"/>
  <c r="O26"/>
  <c r="M19" i="13"/>
  <c r="R19"/>
  <c r="O35" i="10"/>
  <c r="E17"/>
  <c r="G17" s="1"/>
  <c r="J17" s="1"/>
  <c r="R17" s="1"/>
  <c r="N17" i="9"/>
  <c r="C17" i="13" s="1"/>
  <c r="E24" i="10"/>
  <c r="G24" s="1"/>
  <c r="J24" s="1"/>
  <c r="N24" i="9"/>
  <c r="C26" i="13" s="1"/>
  <c r="J26" s="1"/>
  <c r="E45" i="10"/>
  <c r="G45" s="1"/>
  <c r="J45" s="1"/>
  <c r="N45" i="9"/>
  <c r="C51" i="13" s="1"/>
  <c r="J51" s="1"/>
  <c r="E29" i="10"/>
  <c r="G29" s="1"/>
  <c r="J29" s="1"/>
  <c r="N29" i="9"/>
  <c r="C31" i="13" s="1"/>
  <c r="J31" s="1"/>
  <c r="N37" i="9"/>
  <c r="C42" i="13" s="1"/>
  <c r="J42" s="1"/>
  <c r="E37" i="10"/>
  <c r="G37" s="1"/>
  <c r="J37" s="1"/>
  <c r="O51"/>
  <c r="E55" i="8"/>
  <c r="E57" s="1"/>
  <c r="H16"/>
  <c r="C16" i="11"/>
  <c r="E21" i="10"/>
  <c r="G21" s="1"/>
  <c r="J21" s="1"/>
  <c r="R21" s="1"/>
  <c r="N21" i="9"/>
  <c r="C21" i="13" s="1"/>
  <c r="N33" i="9"/>
  <c r="E33" i="10"/>
  <c r="G33" s="1"/>
  <c r="J33" s="1"/>
  <c r="R33" s="1"/>
  <c r="M26" i="13" l="1"/>
  <c r="R26"/>
  <c r="N28"/>
  <c r="O28" s="1"/>
  <c r="Q26" i="10"/>
  <c r="R26" s="1"/>
  <c r="N40" i="13"/>
  <c r="O40" s="1"/>
  <c r="Q35" i="10"/>
  <c r="R35" s="1"/>
  <c r="O42"/>
  <c r="H55" i="8"/>
  <c r="H57" s="1"/>
  <c r="N16"/>
  <c r="N55" s="1"/>
  <c r="N57" s="1"/>
  <c r="E16" i="9"/>
  <c r="N57" i="13"/>
  <c r="O57" s="1"/>
  <c r="Q51" i="10"/>
  <c r="R51" s="1"/>
  <c r="M55" i="13"/>
  <c r="R55"/>
  <c r="M20"/>
  <c r="R20"/>
  <c r="R42"/>
  <c r="O19" i="10"/>
  <c r="O22" i="13"/>
  <c r="O22" i="10"/>
  <c r="Q22" s="1"/>
  <c r="R22" s="1"/>
  <c r="O27"/>
  <c r="M51" i="13"/>
  <c r="R51"/>
  <c r="M27"/>
  <c r="R27"/>
  <c r="E16" i="11"/>
  <c r="C55"/>
  <c r="C57" s="1"/>
  <c r="M31" i="13"/>
  <c r="R31"/>
  <c r="N16" i="10"/>
  <c r="L55"/>
  <c r="L57" s="1"/>
  <c r="I53"/>
  <c r="I55" s="1"/>
  <c r="I57" s="1"/>
  <c r="G53"/>
  <c r="O25" l="1"/>
  <c r="N29" i="13"/>
  <c r="O29" s="1"/>
  <c r="Q27" i="10"/>
  <c r="R27" s="1"/>
  <c r="N19" i="13"/>
  <c r="O19" s="1"/>
  <c r="Q19" i="10"/>
  <c r="R19" s="1"/>
  <c r="O20"/>
  <c r="O49"/>
  <c r="O24"/>
  <c r="J53"/>
  <c r="R53" s="1"/>
  <c r="O29"/>
  <c r="N55"/>
  <c r="N57" s="1"/>
  <c r="E55" i="11"/>
  <c r="E57" s="1"/>
  <c r="G16"/>
  <c r="O45" i="10"/>
  <c r="C16" i="12"/>
  <c r="H16" i="9"/>
  <c r="E55"/>
  <c r="E57" s="1"/>
  <c r="N48" i="13"/>
  <c r="O48" s="1"/>
  <c r="O61" i="10"/>
  <c r="Q42"/>
  <c r="R42" s="1"/>
  <c r="N51" i="13" l="1"/>
  <c r="O51" s="1"/>
  <c r="Q45" i="10"/>
  <c r="R45" s="1"/>
  <c r="N26" i="13"/>
  <c r="O26" s="1"/>
  <c r="Q24" i="10"/>
  <c r="R24" s="1"/>
  <c r="N27" i="13"/>
  <c r="O27" s="1"/>
  <c r="Q25" i="10"/>
  <c r="R25" s="1"/>
  <c r="H55" i="9"/>
  <c r="H57" s="1"/>
  <c r="E16" i="10"/>
  <c r="N16" i="9"/>
  <c r="G55" i="11"/>
  <c r="G57" s="1"/>
  <c r="J16"/>
  <c r="N31" i="13"/>
  <c r="O31" s="1"/>
  <c r="Q29" i="10"/>
  <c r="R29" s="1"/>
  <c r="N55" i="13"/>
  <c r="O55" s="1"/>
  <c r="Q49" i="10"/>
  <c r="R49" s="1"/>
  <c r="N20" i="13"/>
  <c r="O20" s="1"/>
  <c r="Q20" i="10"/>
  <c r="R20" s="1"/>
  <c r="C55" i="12"/>
  <c r="C57" s="1"/>
  <c r="E16"/>
  <c r="G16" l="1"/>
  <c r="E55"/>
  <c r="E57" s="1"/>
  <c r="N55" i="9"/>
  <c r="N57" s="1"/>
  <c r="C16" i="13"/>
  <c r="J55" i="11"/>
  <c r="J57" s="1"/>
  <c r="L16"/>
  <c r="L55" s="1"/>
  <c r="L57" s="1"/>
  <c r="E55" i="10"/>
  <c r="E57" s="1"/>
  <c r="G16"/>
  <c r="G55" i="12" l="1"/>
  <c r="G57" s="1"/>
  <c r="J16"/>
  <c r="J16" i="10"/>
  <c r="G55"/>
  <c r="G57" s="1"/>
  <c r="G59" s="1"/>
  <c r="J16" i="13"/>
  <c r="C60"/>
  <c r="C62" s="1"/>
  <c r="J60" l="1"/>
  <c r="J62" s="1"/>
  <c r="R16"/>
  <c r="R60" s="1"/>
  <c r="R62" s="1"/>
  <c r="J55" i="10"/>
  <c r="J57" s="1"/>
  <c r="J59" s="1"/>
  <c r="J60" s="1"/>
  <c r="L16" i="12"/>
  <c r="L55" s="1"/>
  <c r="L57" s="1"/>
  <c r="J55"/>
  <c r="J57" s="1"/>
  <c r="F32" i="18" l="1"/>
  <c r="I42"/>
  <c r="F35"/>
  <c r="I45"/>
  <c r="F23"/>
  <c r="F33"/>
  <c r="I43"/>
  <c r="F17"/>
  <c r="I41"/>
  <c r="F31"/>
  <c r="L41" l="1"/>
  <c r="L46" s="1"/>
  <c r="I46"/>
  <c r="J41"/>
  <c r="L42"/>
  <c r="J42"/>
  <c r="L43"/>
  <c r="J43"/>
  <c r="F26"/>
  <c r="G24"/>
  <c r="F24"/>
  <c r="G18"/>
  <c r="F18"/>
  <c r="J45"/>
  <c r="L45"/>
  <c r="F36"/>
  <c r="K47" l="1"/>
  <c r="I47"/>
  <c r="I48" s="1"/>
  <c r="F37"/>
  <c r="G37"/>
  <c r="J46"/>
  <c r="G15" i="21"/>
  <c r="G16" s="1"/>
  <c r="G27" i="18"/>
  <c r="F27"/>
  <c r="G51" l="1"/>
  <c r="K48"/>
  <c r="L50" s="1"/>
  <c r="K53" i="13" l="1"/>
  <c r="M53" s="1"/>
  <c r="O47" i="10" s="1"/>
  <c r="K34" i="13"/>
  <c r="M34" s="1"/>
  <c r="K16"/>
  <c r="N53" l="1"/>
  <c r="O53" s="1"/>
  <c r="Q47" i="10"/>
  <c r="R47" s="1"/>
  <c r="M16" i="13"/>
  <c r="K60"/>
  <c r="K62" s="1"/>
  <c r="O31" i="10"/>
  <c r="Q31" s="1"/>
  <c r="R31" s="1"/>
  <c r="O34" i="13"/>
  <c r="K42"/>
  <c r="M42" s="1"/>
  <c r="O37" i="10" s="1"/>
  <c r="Q37" l="1"/>
  <c r="R37" s="1"/>
  <c r="N42" i="13"/>
  <c r="O42" s="1"/>
  <c r="M60"/>
  <c r="M62" s="1"/>
  <c r="O16" i="10"/>
  <c r="Q16" l="1"/>
  <c r="N16" i="13"/>
  <c r="O55" i="10"/>
  <c r="O57" s="1"/>
  <c r="O62" s="1"/>
  <c r="N60" i="13" l="1"/>
  <c r="N62" s="1"/>
  <c r="O16"/>
  <c r="O60" s="1"/>
  <c r="O62" s="1"/>
  <c r="Q55" i="10"/>
  <c r="Q57" s="1"/>
  <c r="Q60" s="1"/>
  <c r="R60" s="1"/>
  <c r="R16"/>
  <c r="R55" s="1"/>
  <c r="R57" s="1"/>
  <c r="R59" s="1"/>
  <c r="E19" i="21" l="1"/>
  <c r="E18"/>
  <c r="C18"/>
  <c r="C19"/>
  <c r="F19"/>
  <c r="F18"/>
  <c r="D18"/>
  <c r="D19"/>
  <c r="G19" l="1"/>
  <c r="G18"/>
</calcChain>
</file>

<file path=xl/comments1.xml><?xml version="1.0" encoding="utf-8"?>
<comments xmlns="http://schemas.openxmlformats.org/spreadsheetml/2006/main">
  <authors>
    <author>tiija.luttrell</author>
  </authors>
  <commentList>
    <comment ref="E31" authorId="0">
      <text>
        <r>
          <rPr>
            <b/>
            <sz val="9"/>
            <color indexed="81"/>
            <rFont val="Tahoma"/>
            <family val="2"/>
          </rPr>
          <t>tiija.luttrell:</t>
        </r>
        <r>
          <rPr>
            <sz val="9"/>
            <color indexed="81"/>
            <rFont val="Tahoma"/>
            <family val="2"/>
          </rPr>
          <t xml:space="preserve">
is shift of engineering redistribution, more to OM&amp;A</t>
        </r>
      </text>
    </comment>
  </commentList>
</comments>
</file>

<file path=xl/sharedStrings.xml><?xml version="1.0" encoding="utf-8"?>
<sst xmlns="http://schemas.openxmlformats.org/spreadsheetml/2006/main" count="3969" uniqueCount="1174">
  <si>
    <t>Algoma Power Inc.</t>
  </si>
  <si>
    <t>Atikokan Hydro Inc.</t>
  </si>
  <si>
    <t>Attawapiskat Power Corporation</t>
  </si>
  <si>
    <t>Bluewater Power Distribution Corp.</t>
  </si>
  <si>
    <t>Brant County Power</t>
  </si>
  <si>
    <t>Brantford Power Inc.</t>
  </si>
  <si>
    <t>Burlington Hydro Inc.</t>
  </si>
  <si>
    <t>Cambridge and North Dumfries Hydro</t>
  </si>
  <si>
    <t>Canadian Niagara Power Inc. – Eastern Ontario Power/Fort Erie/Port Colborne</t>
  </si>
  <si>
    <t>Centre Wellington Hydro Ltd.</t>
  </si>
  <si>
    <t>Version 1.1</t>
  </si>
  <si>
    <t>Chapleau Public Utilities Corporation</t>
  </si>
  <si>
    <t xml:space="preserve">Utility Name   </t>
  </si>
  <si>
    <t>Greater Sudbury Hydro Inc.</t>
  </si>
  <si>
    <t>COLLUS Power Corp.</t>
  </si>
  <si>
    <t>Cooperative Hydro Embrun Inc.</t>
  </si>
  <si>
    <t>Service Territory</t>
  </si>
  <si>
    <t>E.L.K. Energy Inc.</t>
  </si>
  <si>
    <t>Enersource Hydro Mississauga Inc.</t>
  </si>
  <si>
    <t>Assigned EB Number</t>
  </si>
  <si>
    <t>EB-2012-0126</t>
  </si>
  <si>
    <t>Entegrus Powerlines Inc.</t>
  </si>
  <si>
    <t>ENWIN Utilities Ltd.</t>
  </si>
  <si>
    <t>Name of Contact and Title</t>
  </si>
  <si>
    <t>Nancy Whissell, Vice-President, Corporate Services</t>
  </si>
  <si>
    <t>Erie Thames Powerlines Corp.</t>
  </si>
  <si>
    <t>Espanola Regional Hydro Distribution Corporation</t>
  </si>
  <si>
    <t xml:space="preserve">Phone Number   </t>
  </si>
  <si>
    <t>705-675-0509</t>
  </si>
  <si>
    <t>Essex Powerlines Corporation</t>
  </si>
  <si>
    <t>Festival Hydro Inc.</t>
  </si>
  <si>
    <t xml:space="preserve">Email Address   </t>
  </si>
  <si>
    <t>nancyw@shec.com</t>
  </si>
  <si>
    <t>Fort Albany Power Corporation</t>
  </si>
  <si>
    <t>Fort Frances Power Corporation</t>
  </si>
  <si>
    <t>Bridge Year</t>
  </si>
  <si>
    <t>Grimsby Power Inc.</t>
  </si>
  <si>
    <t>Test Year</t>
  </si>
  <si>
    <t>Guelph Hydro Electric Systems Inc.</t>
  </si>
  <si>
    <t>Haldimand County Hydro Inc.</t>
  </si>
  <si>
    <t>Last Rebasing Year</t>
  </si>
  <si>
    <t>Halton Hills Hydro Inc.</t>
  </si>
  <si>
    <t>Notes</t>
  </si>
  <si>
    <t>Hearst Power Distribution Co. Ltd.</t>
  </si>
  <si>
    <t>Horizon Utilities Corporation</t>
  </si>
  <si>
    <t>Pale green cells represent input cells.</t>
  </si>
  <si>
    <t>Hydro 2000 Inc.</t>
  </si>
  <si>
    <t>Hydro Hawkesbury Inc.</t>
  </si>
  <si>
    <t>Pale blue cells represent drop-down lists.  The applicant should select the appropriate item from the drop-down list.</t>
  </si>
  <si>
    <t>Hydro One Brampton Networks Inc.</t>
  </si>
  <si>
    <t>Hydro One Networks Inc.</t>
  </si>
  <si>
    <t xml:space="preserve">White cells contain fixed values, automatically generated values or formulae. </t>
  </si>
  <si>
    <t>Hydro One Remote Communities Inc.</t>
  </si>
  <si>
    <t>Hydro Ottawa Limited</t>
  </si>
  <si>
    <t>Innisfil Hydro Dist. Systems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</si>
  <si>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</si>
  <si>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</si>
  <si>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</si>
  <si>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</si>
  <si>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</si>
  <si>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</si>
  <si>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</si>
  <si>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</si>
  <si>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</si>
  <si>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Newmarket – Tay Power Distribution Ltd.</t>
  </si>
  <si>
    <t>Niagara Peninsula Energy Inc.</t>
  </si>
  <si>
    <t>Niagara-on-the-Lake Hydro Inc.</t>
  </si>
  <si>
    <t>Norfolk Power Distribution Ltd.</t>
  </si>
  <si>
    <t>North Bay Hydro Distribution Limited</t>
  </si>
  <si>
    <t>Northern Ontario Wires Inc.</t>
  </si>
  <si>
    <t>Oakville Hydro Distribution Inc.</t>
  </si>
  <si>
    <t>Orangeville Hydro Limited</t>
  </si>
  <si>
    <t>Orillia Power Distribution Corp.</t>
  </si>
  <si>
    <t>Oshawa PUC Networks Inc.</t>
  </si>
  <si>
    <t>Ottawa River Power Corporation</t>
  </si>
  <si>
    <t>Parry Sound Power Corporation</t>
  </si>
  <si>
    <t>Peterborough Distribution Inc.</t>
  </si>
  <si>
    <t>PowerStream Inc.</t>
  </si>
  <si>
    <t>PUC Distribution Inc.</t>
  </si>
  <si>
    <t>Renfrew Hydro Inc.</t>
  </si>
  <si>
    <t>Rideau St. Lawrence Distribution Inc.</t>
  </si>
  <si>
    <t>St. Thomas Energy Inc.</t>
  </si>
  <si>
    <t>Sioux Lookout Hydro Inc.</t>
  </si>
  <si>
    <t>Thunder Bay Hydro Electricity Distribution</t>
  </si>
  <si>
    <t>Tillsonburg Hydro Inc.</t>
  </si>
  <si>
    <t>Toronto Hydro-Electric System Limited</t>
  </si>
  <si>
    <t>Veridian Connections Inc.</t>
  </si>
  <si>
    <t>Wasaga Distribution Inc.</t>
  </si>
  <si>
    <t>Waterloo North Hydro Inc.</t>
  </si>
  <si>
    <t>Welland Hydro Electric System Corp.</t>
  </si>
  <si>
    <t>Wellington North Power Inc.</t>
  </si>
  <si>
    <t>West Coast Huron Energy Inc.</t>
  </si>
  <si>
    <t>Westario Power Inc.</t>
  </si>
  <si>
    <t>Whitby Hydro Electric Corporation</t>
  </si>
  <si>
    <t>Woodstock Hydro Services Inc.</t>
  </si>
  <si>
    <t>LDC Information Sheet</t>
  </si>
  <si>
    <t>Appendix 2-H OM&amp;A Detailed Analysis</t>
  </si>
  <si>
    <t>Index</t>
  </si>
  <si>
    <t>Appendix 2-I OM&amp;A Summary Analysis</t>
  </si>
  <si>
    <t>Appendix 2-A Capital Projects</t>
  </si>
  <si>
    <t>Appendix 2-J OM&amp;A Cost  Drivers</t>
  </si>
  <si>
    <t>Appendix 2-B Fixed Asset Continuity</t>
  </si>
  <si>
    <t>Appendix 2-K Employee Costs</t>
  </si>
  <si>
    <t>Appendix 2-CA CGAAP Depreciation Expense 2011</t>
  </si>
  <si>
    <t>Appendix 2-L OM&amp;A per Cust FTEE</t>
  </si>
  <si>
    <t>Appendix 2-CB MIFRS Depreciation Expense 2011</t>
  </si>
  <si>
    <t>Appendix 2-M Regulatory Costs</t>
  </si>
  <si>
    <t>Appendix 2-CC MIFRS Depreciation Expense 2012</t>
  </si>
  <si>
    <t>Appendix 2-N Corp Cost Allocation</t>
  </si>
  <si>
    <t>Appendix 2-CD MIFRS Depreciation Expense 2013</t>
  </si>
  <si>
    <t>Appendix 2-OA Capital Structure and Cost of Capital</t>
  </si>
  <si>
    <t>Appendix 2-CE CGAAP Depreciation Expense 2011</t>
  </si>
  <si>
    <t>Appendix 2-OB Debt Instruments</t>
  </si>
  <si>
    <t>Appendix 2-CF CGAAP Depreciation Expense 2012</t>
  </si>
  <si>
    <t>Appendix 2-P Cost Allocation</t>
  </si>
  <si>
    <t>Appendix 2-CG MIFRS Depreciation Expense 2012</t>
  </si>
  <si>
    <t>Appendix 2-Q Cost of Service Embedded Distributor</t>
  </si>
  <si>
    <t>Appendix 2-CH MIFRS Depreciation Expense 2013</t>
  </si>
  <si>
    <t>Appendix 2-R Loss Factors</t>
  </si>
  <si>
    <t>Appendix 2-CI Alternative Accounting Standards Depreciation Expense</t>
  </si>
  <si>
    <t>Appendix 2-S Stranded Meters</t>
  </si>
  <si>
    <t>Appendix 2-D Overhead</t>
  </si>
  <si>
    <t>Appendix 2-T 1592 Tax Variance</t>
  </si>
  <si>
    <r>
      <t xml:space="preserve">Appendix 2-EA PP&amp;E Deferral Account - </t>
    </r>
    <r>
      <rPr>
        <b/>
        <sz val="10"/>
        <rFont val="Arial"/>
        <family val="2"/>
      </rPr>
      <t>2012 IFRS Adopters</t>
    </r>
  </si>
  <si>
    <t>Appendix 2-U IFRS Transition Costs</t>
  </si>
  <si>
    <r>
      <t xml:space="preserve">Appendix 2-EB PP&amp;E Deferral Account - </t>
    </r>
    <r>
      <rPr>
        <b/>
        <sz val="10"/>
        <rFont val="Arial"/>
        <family val="2"/>
      </rPr>
      <t>2013 IFRS Adopters</t>
    </r>
  </si>
  <si>
    <t>Appendix 2-V Rev Reconciliation</t>
  </si>
  <si>
    <t>Appendix 2-F Other Operating Revenue</t>
  </si>
  <si>
    <t>Appendix 2-W Bill Impacts</t>
  </si>
  <si>
    <t>Appendix 2-G Detailed OM&amp;A Expenses</t>
  </si>
  <si>
    <t>Appendix 2-X CoS Flowchart</t>
  </si>
  <si>
    <t>File Number:</t>
  </si>
  <si>
    <t>Exhibit:</t>
  </si>
  <si>
    <t>Tab:</t>
  </si>
  <si>
    <t>Schedule:</t>
  </si>
  <si>
    <t>Attachment:</t>
  </si>
  <si>
    <t>Date:</t>
  </si>
  <si>
    <t>Appendix 2-A</t>
  </si>
  <si>
    <t>Capital Projects Table</t>
  </si>
  <si>
    <t>PRELIM</t>
  </si>
  <si>
    <t>BUDGET</t>
  </si>
  <si>
    <t>Projects</t>
  </si>
  <si>
    <t>Reporting Basis</t>
  </si>
  <si>
    <t>CGAAP</t>
  </si>
  <si>
    <t>Meter Installations</t>
  </si>
  <si>
    <t>Distribution Station Equipment &lt;50kV</t>
  </si>
  <si>
    <t>Poles, Towers &amp; Fixtures</t>
  </si>
  <si>
    <t>Meters</t>
  </si>
  <si>
    <t>Computer Software</t>
  </si>
  <si>
    <t xml:space="preserve">Contributions </t>
  </si>
  <si>
    <t>Sub-Total</t>
  </si>
  <si>
    <t>Emergency Plant Replacement</t>
  </si>
  <si>
    <t>Overhead Conductors &amp; Devices</t>
  </si>
  <si>
    <t>Underground Conduit, Conductors &amp; Devices</t>
  </si>
  <si>
    <t>Line Transformers</t>
  </si>
  <si>
    <t>Services (Overhead &amp; Underground)</t>
  </si>
  <si>
    <t>Contributions</t>
  </si>
  <si>
    <t>Sub-total</t>
  </si>
  <si>
    <t>Failed Transformers</t>
  </si>
  <si>
    <t>PCB</t>
  </si>
  <si>
    <t>Major Substation Repairs</t>
  </si>
  <si>
    <t>Building Improvements</t>
  </si>
  <si>
    <t>Buildings</t>
  </si>
  <si>
    <t>Land</t>
  </si>
  <si>
    <t>System Betterment</t>
  </si>
  <si>
    <t>Overhead Services</t>
  </si>
  <si>
    <t>Underground Services</t>
  </si>
  <si>
    <t>City Roadworks</t>
  </si>
  <si>
    <t>Subdivisions</t>
  </si>
  <si>
    <t>Commercial Development</t>
  </si>
  <si>
    <t>Building</t>
  </si>
  <si>
    <t>Carpet/Paint/Flooring</t>
  </si>
  <si>
    <t>Fencing/Exterior/Roof</t>
  </si>
  <si>
    <t>Window/Doors</t>
  </si>
  <si>
    <t>New Walls/Offices/Construction</t>
  </si>
  <si>
    <t>Renovate washrooms</t>
  </si>
  <si>
    <t>Modifications to server room</t>
  </si>
  <si>
    <t>New Roof</t>
  </si>
  <si>
    <t>Lighting Conversion</t>
  </si>
  <si>
    <t>Geothermal Energy System</t>
  </si>
  <si>
    <t>Fuel Conversion</t>
  </si>
  <si>
    <t>Other Miscellaneous</t>
  </si>
  <si>
    <t>Porcelain Insulator Replacement</t>
  </si>
  <si>
    <t>Pole Replacement Program</t>
  </si>
  <si>
    <t>Tools &amp; Equipment</t>
  </si>
  <si>
    <t>Tools, Shop &amp; Garage Equipment</t>
  </si>
  <si>
    <t>Vehicles</t>
  </si>
  <si>
    <t>Small Vehicles (Trucks/Cars/Vans)</t>
  </si>
  <si>
    <t>Trailers</t>
  </si>
  <si>
    <t>Large Vehicles (Step Vans/Bucket/Boom Trucks)</t>
  </si>
  <si>
    <t>Sherwood Park (Phase I, II &amp; III)</t>
  </si>
  <si>
    <t>Albinson - Haig to Douglas</t>
  </si>
  <si>
    <t>Tilton Lake</t>
  </si>
  <si>
    <t>Falconbridge 44kV</t>
  </si>
  <si>
    <t>Gary Avenue Rebuild</t>
  </si>
  <si>
    <t>Webbwood Drive Rebuild</t>
  </si>
  <si>
    <t>Beatrice Underground Rebuild</t>
  </si>
  <si>
    <t>GIS</t>
  </si>
  <si>
    <t>Jarvi Road Rebuild</t>
  </si>
  <si>
    <t>Louis Street Rebuild</t>
  </si>
  <si>
    <t>Montague to Whissell Rebuild</t>
  </si>
  <si>
    <t>SCADA Software</t>
  </si>
  <si>
    <t>System Supervisory Equipment</t>
  </si>
  <si>
    <t>Southlane Road Rebuild</t>
  </si>
  <si>
    <t>Sparks Street Rebuild</t>
  </si>
  <si>
    <t>Falconbridge Voltage Conversion</t>
  </si>
  <si>
    <t>Annie St. 4kV to 12kV Conversion</t>
  </si>
  <si>
    <t>CIS - Harris Billing System</t>
  </si>
  <si>
    <t>Kingsway Rebuild</t>
  </si>
  <si>
    <t>Shaughnessy Rebuild</t>
  </si>
  <si>
    <t>Automated Vehicle Locator</t>
  </si>
  <si>
    <t>Computer Hardware</t>
  </si>
  <si>
    <t>Kennedy Street Rebuild</t>
  </si>
  <si>
    <t>Beech Street Rebuild</t>
  </si>
  <si>
    <t>Highway 69 South Rebuild</t>
  </si>
  <si>
    <t>Kingsway Area</t>
  </si>
  <si>
    <t>Lorne Street Rebuild</t>
  </si>
  <si>
    <t>Madison Avenue Rebuild</t>
  </si>
  <si>
    <t>Regent Street Rebuild</t>
  </si>
  <si>
    <t>Hebert/Garland Underground Rebuild</t>
  </si>
  <si>
    <t>Copper Cliff Gardens Rebuild</t>
  </si>
  <si>
    <t>Westmount Restricted Conductor</t>
  </si>
  <si>
    <t>Donwood Park - Underground Rebuild</t>
  </si>
  <si>
    <t>Substation Security</t>
  </si>
  <si>
    <t>Communication Equipment</t>
  </si>
  <si>
    <t>Control Room Electronic Mapping</t>
  </si>
  <si>
    <t>44kV Motorized Switches</t>
  </si>
  <si>
    <t>West Nipissing</t>
  </si>
  <si>
    <t>Vanier Lane Rebuild</t>
  </si>
  <si>
    <t>Hillsdale, Mark, Lakeview Conversion</t>
  </si>
  <si>
    <t>Prete, Benny Connaught Conversion</t>
  </si>
  <si>
    <t>Gary/Madison Rebuild</t>
  </si>
  <si>
    <t>Sunnyside Road Line Relocation to Road</t>
  </si>
  <si>
    <t>West Nipissing Conversion</t>
  </si>
  <si>
    <t>McFarlane Road</t>
  </si>
  <si>
    <t>Beatty Street Rebuild</t>
  </si>
  <si>
    <t>Renewable Generation Connections</t>
  </si>
  <si>
    <t>Copper Cliff Rebuild</t>
  </si>
  <si>
    <t>Arthur Substation</t>
  </si>
  <si>
    <t>Digital Relay Modernization</t>
  </si>
  <si>
    <t>Miscellaneous</t>
  </si>
  <si>
    <t>28M6 Montague to Whissell</t>
  </si>
  <si>
    <t>Centennial Load Area Voltage Conversion</t>
  </si>
  <si>
    <t>Webpage Design</t>
  </si>
  <si>
    <t>Webbwood</t>
  </si>
  <si>
    <t>ERP/Warehouse Automation</t>
  </si>
  <si>
    <t>Barrydowne 44kV Conductor</t>
  </si>
  <si>
    <t>Bell Park Conversion</t>
  </si>
  <si>
    <t>Building Maintenance</t>
  </si>
  <si>
    <t>Change Porcelain Cutouts</t>
  </si>
  <si>
    <t>Southbay</t>
  </si>
  <si>
    <t>Asset Management</t>
  </si>
  <si>
    <t>Levert-New Feeder</t>
  </si>
  <si>
    <t>Falconbridge Hwy, Huntington to Lasalle</t>
  </si>
  <si>
    <t>SAP Customer Information System</t>
  </si>
  <si>
    <t>Kingsway/Levesque Restircted Conduit</t>
  </si>
  <si>
    <t>44kV Tie 28M4/9M4 Design</t>
  </si>
  <si>
    <t>WN-Sentinel Lights</t>
  </si>
  <si>
    <t>Algonquin (Culver to Regent) Rebuild</t>
  </si>
  <si>
    <t>Pine Street East</t>
  </si>
  <si>
    <t>Kelly Lake Road - 4/0 to 556mcm</t>
  </si>
  <si>
    <t>Fault Indicators</t>
  </si>
  <si>
    <t>Partnersoft/Fieldstaker Platform</t>
  </si>
  <si>
    <t>BPISI Project</t>
  </si>
  <si>
    <t>Ministry of Transportation Road Work</t>
  </si>
  <si>
    <t>Construction Work in Progress</t>
  </si>
  <si>
    <t>Capital Inventory Work in Progress</t>
  </si>
  <si>
    <t>Total</t>
  </si>
  <si>
    <t>Per Capital Asset Continuities</t>
  </si>
  <si>
    <t>Difference</t>
  </si>
  <si>
    <t>Notes:</t>
  </si>
  <si>
    <t>1   Please provide a breakdown of the major components of each capital project.  Please ensure that all projects below the materiality threshold are included in the miscellaneous line.  Add more projects as required.</t>
  </si>
  <si>
    <t>Appendix 2-B</t>
  </si>
  <si>
    <t>Fixed Asset Continuity Schedule-CGAAP</t>
  </si>
  <si>
    <t xml:space="preserve">Year </t>
  </si>
  <si>
    <t>Cost</t>
  </si>
  <si>
    <t>Accumulated Depreciation</t>
  </si>
  <si>
    <t>CCA Class</t>
  </si>
  <si>
    <t>OEB</t>
  </si>
  <si>
    <t>Description</t>
  </si>
  <si>
    <t>Depreciation Rate</t>
  </si>
  <si>
    <t>Opening Balance</t>
  </si>
  <si>
    <t>Additions</t>
  </si>
  <si>
    <t>Disposals</t>
  </si>
  <si>
    <t>Closing Balance</t>
  </si>
  <si>
    <t>Net Book Value</t>
  </si>
  <si>
    <t>Computer Software (Formally known as Account 1925)</t>
  </si>
  <si>
    <t>CEC</t>
  </si>
  <si>
    <t>Land Rights (Formally known as Account 1906)</t>
  </si>
  <si>
    <t>N/A</t>
  </si>
  <si>
    <t>Buildings Improvements</t>
  </si>
  <si>
    <t>Transformer Station Equipment &gt;50 kV</t>
  </si>
  <si>
    <t>Distribution Station Equipment &lt;50 kV</t>
  </si>
  <si>
    <t>Storage Battery Equipment</t>
  </si>
  <si>
    <t>Underground Conduit</t>
  </si>
  <si>
    <t>Underground Conductors &amp; Devices</t>
  </si>
  <si>
    <t>Meters (Smart Meters)</t>
  </si>
  <si>
    <t>Buildings &amp; Fixtures</t>
  </si>
  <si>
    <t>Leasehold Improvements</t>
  </si>
  <si>
    <t>Office Furniture &amp; Equipment (10 years)</t>
  </si>
  <si>
    <t>Office Furniture &amp; Equipment (5 years)</t>
  </si>
  <si>
    <t>Computer Equipment - Hardware</t>
  </si>
  <si>
    <t>Computer Equip.-Hardware(Post Mar. 22/04)</t>
  </si>
  <si>
    <t>Computer Equip.-Hardware(Post Mar. 19/07)</t>
  </si>
  <si>
    <t>Transportation Equipment</t>
  </si>
  <si>
    <t>Stores Equipment</t>
  </si>
  <si>
    <t>Measurement &amp; Testing Equipment</t>
  </si>
  <si>
    <t>Power Operated Equipment</t>
  </si>
  <si>
    <t>Communications Equipment</t>
  </si>
  <si>
    <t>Communication Equipment (Smart Meters)</t>
  </si>
  <si>
    <t xml:space="preserve">Miscellaneous Equipment </t>
  </si>
  <si>
    <t>Load Management Controls Utility Premises</t>
  </si>
  <si>
    <t>Miscellaneous Fixed Assets</t>
  </si>
  <si>
    <t>Contributions &amp; Grants</t>
  </si>
  <si>
    <t>Work in Process</t>
  </si>
  <si>
    <r>
      <rPr>
        <b/>
        <sz val="10"/>
        <rFont val="Arial"/>
        <family val="2"/>
      </rPr>
      <t>Less:</t>
    </r>
    <r>
      <rPr>
        <sz val="10"/>
        <rFont val="Arial"/>
        <family val="2"/>
      </rPr>
      <t xml:space="preserve"> </t>
    </r>
    <r>
      <rPr>
        <i/>
        <sz val="10"/>
        <rFont val="Arial"/>
        <family val="2"/>
      </rPr>
      <t>Fully Allocated Depreciation</t>
    </r>
  </si>
  <si>
    <t>Transportation</t>
  </si>
  <si>
    <t>Net Depreciation</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</si>
  <si>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t>
  </si>
  <si>
    <t>The "CCA Class" for fixed assets should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 below).</t>
  </si>
  <si>
    <t>The table may need to be customized for a utility's asset categories or for any new asset accounts announced or authorized by the Board.</t>
  </si>
  <si>
    <t>The depreciation column (D) is not required as the relevant information will be provided in the following 2-C series of appendices.</t>
  </si>
  <si>
    <t>WIP - Capital Inventory</t>
  </si>
  <si>
    <t>Total prior to Board ordered removal of CIS related to water billing</t>
  </si>
  <si>
    <t>Total subsequent to Board ordered removal of CIS related to water billing</t>
  </si>
  <si>
    <t>Fixed Asset Continuity Schedule-CGAAP Supplemental IR</t>
  </si>
  <si>
    <t>Smart Meter &amp; Stranded Meters</t>
  </si>
  <si>
    <t>Revised 2013 Opening Balance</t>
  </si>
  <si>
    <t>Net of WIP 1330 &amp; 2055</t>
  </si>
  <si>
    <t>Average</t>
  </si>
  <si>
    <t>Appendix 2-CE</t>
  </si>
  <si>
    <t>Depreciation and Amortization Expense</t>
  </si>
  <si>
    <r>
      <t xml:space="preserve">Assumes the applicant adopted IFRS for financial reporting purposes January 1, </t>
    </r>
    <r>
      <rPr>
        <b/>
        <sz val="10"/>
        <color indexed="10"/>
        <rFont val="Arial"/>
        <family val="2"/>
      </rPr>
      <t>2014</t>
    </r>
  </si>
  <si>
    <t>Year</t>
  </si>
  <si>
    <t>Account</t>
  </si>
  <si>
    <t>Opening Regulatory Gross PP&amp;E as at Jan 1, 2011</t>
  </si>
  <si>
    <t>Less Fully Depreciated</t>
  </si>
  <si>
    <t>Net for Depreciation</t>
  </si>
  <si>
    <t>Total for Depreciation</t>
  </si>
  <si>
    <t>Years</t>
  </si>
  <si>
    <t>2011 Depreciation Expense</t>
  </si>
  <si>
    <t>2011 Depreciation Expense per Appendix 2-B Fixed Assets, Column K
 (l)</t>
  </si>
  <si>
    <r>
      <t xml:space="preserve">Variance </t>
    </r>
    <r>
      <rPr>
        <b/>
        <vertAlign val="superscript"/>
        <sz val="10"/>
        <rFont val="Arial"/>
        <family val="2"/>
      </rPr>
      <t>2</t>
    </r>
  </si>
  <si>
    <t>(a)</t>
  </si>
  <si>
    <t>(b)</t>
  </si>
  <si>
    <t>(c)</t>
  </si>
  <si>
    <t>(d)</t>
  </si>
  <si>
    <r>
      <t xml:space="preserve">(e) = (c) + ½ x (d) </t>
    </r>
    <r>
      <rPr>
        <b/>
        <vertAlign val="superscript"/>
        <sz val="10"/>
        <rFont val="Arial"/>
        <family val="2"/>
      </rPr>
      <t>1</t>
    </r>
  </si>
  <si>
    <t>(f)</t>
  </si>
  <si>
    <t>(g) = 1 / (f)</t>
  </si>
  <si>
    <t>(h) = (e) / (f)</t>
  </si>
  <si>
    <t>(m) = (h) - (l)</t>
  </si>
  <si>
    <t>Leaseholds Improvements</t>
  </si>
  <si>
    <t>System Supervisor Equipment</t>
  </si>
  <si>
    <t>Work In Process</t>
  </si>
  <si>
    <t>Board policy of the "half-year" rule - the applicant must ensure that additions in the year attract a half-year depreciation expense in the first year.  Deviations from this standard practice must be supported in the application.</t>
  </si>
  <si>
    <t>The applicant must provide an explanation of material variances in evidence</t>
  </si>
  <si>
    <t>General:</t>
  </si>
  <si>
    <t>Applicants must provide a breakdown of depreciation and amortization expense in the above format for all relevant accounts.  Asset Retirement Obligations (AROs), depreciation and accretion expense should be disclosed separately consistent with the Notes of historical Audited Financial Statements.</t>
  </si>
  <si>
    <t>Appendix 2-CF</t>
  </si>
  <si>
    <t>Opening Regulatory Gross PP&amp;E as at Jan 1, 2012</t>
  </si>
  <si>
    <t>2012 Depreciation Expense</t>
  </si>
  <si>
    <t>2012 Depreciation Expense per Appendix 2-B Fixed Assets, Column K
 (l)</t>
  </si>
  <si>
    <t>Appendix 2-CG</t>
  </si>
  <si>
    <t>Depreciation and Amortization Expense - Supplemental IR</t>
  </si>
  <si>
    <t>CGAAP - EUL UPDATE</t>
  </si>
  <si>
    <r>
      <t xml:space="preserve">Opening NBV as at Jan 1, 2013 </t>
    </r>
    <r>
      <rPr>
        <b/>
        <vertAlign val="superscript"/>
        <sz val="10"/>
        <rFont val="Arial"/>
        <family val="2"/>
      </rPr>
      <t>5</t>
    </r>
  </si>
  <si>
    <t>Smart Meter &amp; Stranded Meter NBV Adjustment</t>
  </si>
  <si>
    <r>
      <t xml:space="preserve">Average Remaining Life of Opening NBV </t>
    </r>
    <r>
      <rPr>
        <b/>
        <vertAlign val="superscript"/>
        <sz val="10"/>
        <rFont val="Arial"/>
        <family val="2"/>
      </rPr>
      <t>4</t>
    </r>
  </si>
  <si>
    <r>
      <t xml:space="preserve">Average Remaining Life of Smart Meter Adjustment NBV </t>
    </r>
    <r>
      <rPr>
        <b/>
        <vertAlign val="superscript"/>
        <sz val="10"/>
        <rFont val="Arial"/>
        <family val="2"/>
      </rPr>
      <t>4</t>
    </r>
  </si>
  <si>
    <r>
      <t xml:space="preserve">Years (new additions only) </t>
    </r>
    <r>
      <rPr>
        <b/>
        <vertAlign val="superscript"/>
        <sz val="10"/>
        <rFont val="Arial"/>
        <family val="2"/>
      </rPr>
      <t>3</t>
    </r>
  </si>
  <si>
    <t>Depreciation Rate on New Additions</t>
  </si>
  <si>
    <t>Depreciation Expense on Opening NBV</t>
  </si>
  <si>
    <t>Depreciation Expense on Opening NBV Adjustment Smart Meters</t>
  </si>
  <si>
    <r>
      <t xml:space="preserve">Depreciation Expense on Additions </t>
    </r>
    <r>
      <rPr>
        <b/>
        <vertAlign val="superscript"/>
        <sz val="10"/>
        <rFont val="Arial"/>
        <family val="2"/>
      </rPr>
      <t>1</t>
    </r>
  </si>
  <si>
    <t>2013 Depreciation Expense</t>
  </si>
  <si>
    <t>2013 Depreciation Expense per Appendix 2-B Fixed Assets, Column K
 (l)</t>
  </si>
  <si>
    <t>Depreciation Expense on 2013 Full Year Additions</t>
  </si>
  <si>
    <t>Less Depreciation Expense on Assets Fully Depreciated during the year
(o)</t>
  </si>
  <si>
    <r>
      <t xml:space="preserve">2013 Full Year Depreciation </t>
    </r>
    <r>
      <rPr>
        <b/>
        <vertAlign val="superscript"/>
        <sz val="10"/>
        <rFont val="Arial"/>
        <family val="2"/>
      </rPr>
      <t>6</t>
    </r>
  </si>
  <si>
    <t>(i)</t>
  </si>
  <si>
    <t>(j) = (a) / (i)</t>
  </si>
  <si>
    <t xml:space="preserve">(h)=((d)*0.5)/(f) </t>
  </si>
  <si>
    <t>(k) = (j) + (h)</t>
  </si>
  <si>
    <t>(m) = (k) - (l)</t>
  </si>
  <si>
    <t xml:space="preserve">(n)=((d))/(f) </t>
  </si>
  <si>
    <t>(p) = (j) + (n) - (o)</t>
  </si>
  <si>
    <t>Stranded Meters Disposition</t>
  </si>
  <si>
    <t>Meters (Metering Equipment)</t>
  </si>
  <si>
    <t>Meters (Wholesale Metering)</t>
  </si>
  <si>
    <t>Miscellaneous Equipment (Smart Meters)</t>
  </si>
  <si>
    <t>etc.</t>
  </si>
  <si>
    <t xml:space="preserve">The applicant should ensure that the years for new additions of assets are the asset useful lives determined by management in accordance with IFRS. </t>
  </si>
  <si>
    <t>A recalculation should be performed to determine the average remaining life of opening balance of assets (i.e. excluding 2012 additions) under IFRS.  For example, Asset A had a useful life of 20 years under CGAAP.  On January 1, 2012, the date of transition, Asset A was 3 years depreciated. As a result, Asset A would have a remaining service life of 17 years (20 years less 3 years) under CGAAP as of January 1, 2012.  Due to the transition to IFRS, management re-assessed the asset useful lives under IFRS principles and concluded that the revised useful life of Asset A is now 30 years. Therefore, the average remaining useful life of opening balance of Asset A is determined to be 27 years (30 years less 3 years) under IFRS as of January 1, 2012.</t>
  </si>
  <si>
    <t>NBV must exclude assets still on the books but which have been fully amortized or depreciated.</t>
  </si>
  <si>
    <t>This column refers to the calculated full year depreciation but excludes the depreciation expense on assets fully depreciated during the year.  This column is used for the purpose of calculating depreciation expense in the following year on the next worksheet.</t>
  </si>
  <si>
    <t>Appendix 2-D</t>
  </si>
  <si>
    <t>Overhead Expense</t>
  </si>
  <si>
    <t>The following table should be completed based on the information requested below. An explanation should be provided for any blank entries.  The entries should include overhead costs that are currently capitalized on self-constructed assets under MIFRS or an alternate accounting standard.</t>
  </si>
  <si>
    <r>
      <t xml:space="preserve">(A) </t>
    </r>
    <r>
      <rPr>
        <b/>
        <vertAlign val="superscript"/>
        <sz val="10"/>
        <rFont val="Arial"/>
        <family val="2"/>
      </rPr>
      <t>1</t>
    </r>
  </si>
  <si>
    <t>(B)</t>
  </si>
  <si>
    <t>(C)</t>
  </si>
  <si>
    <t>(D)</t>
  </si>
  <si>
    <r>
      <t xml:space="preserve">(E) </t>
    </r>
    <r>
      <rPr>
        <b/>
        <vertAlign val="superscript"/>
        <sz val="10"/>
        <rFont val="Arial"/>
        <family val="2"/>
      </rPr>
      <t>1</t>
    </r>
  </si>
  <si>
    <t>(F)</t>
  </si>
  <si>
    <t>(G)</t>
  </si>
  <si>
    <t>Nature of the Overhead Costs</t>
  </si>
  <si>
    <t>Dollar</t>
  </si>
  <si>
    <t xml:space="preserve">Dollar Impact - </t>
  </si>
  <si>
    <t>Directly</t>
  </si>
  <si>
    <t>Reasons why the overhead costs are allowed to be</t>
  </si>
  <si>
    <t>Impact on PP&amp;E</t>
  </si>
  <si>
    <t>PP&amp;E Variance</t>
  </si>
  <si>
    <t>Attributable?</t>
  </si>
  <si>
    <t>capitalized under MIFRS or an alternate accounting</t>
  </si>
  <si>
    <t>Historic Year</t>
  </si>
  <si>
    <t>Test versus Bridge</t>
  </si>
  <si>
    <t>Test versus Historic</t>
  </si>
  <si>
    <t>(Y/N)</t>
  </si>
  <si>
    <t>standard given limitations on capitalized overhead</t>
  </si>
  <si>
    <t>employee benefits</t>
  </si>
  <si>
    <t>Y</t>
  </si>
  <si>
    <t>Directly attributable</t>
  </si>
  <si>
    <t>costs of site preparation</t>
  </si>
  <si>
    <t>initial delivery and handling costs</t>
  </si>
  <si>
    <t>costs of testing whether the asset is functioning properly</t>
  </si>
  <si>
    <t>professional fees</t>
  </si>
  <si>
    <t>costs of opening a new facility</t>
  </si>
  <si>
    <t>costs of introducing a new product or service (including costs of advertising and promotional activities)</t>
  </si>
  <si>
    <t>costs of conducting business in a new location or with a new class of customer (including costs of staff training)</t>
  </si>
  <si>
    <t>administration and other general overhead costs</t>
  </si>
  <si>
    <t>Insert description of additional item(s) and new rows if needed.</t>
  </si>
  <si>
    <t>The following table should be completed based on the information requested below. An explanation should be provided for any blank entries.  The entries should include overhead costs that were capitalized on self-constructed assets under CGAAP but are no longer capitalized under MIFRS or an alternate accounting standard and are included in OM&amp;A.</t>
  </si>
  <si>
    <t>Reasons why the overhead costs are not allowed to be</t>
  </si>
  <si>
    <t>Impact on OM&amp;A</t>
  </si>
  <si>
    <t>OM&amp;A Variance</t>
  </si>
  <si>
    <t>N</t>
  </si>
  <si>
    <t>Not directly attributable</t>
  </si>
  <si>
    <t>If the applicant chooses to adopt IFRS or an alternate accounting standard for financial reporting purposes in 2013, the applicant does not need to complete Columns A, E.  If the applicant adopts IFRS or an alternate accounting standard for financial reporting purposes in 2012, the applicant must complete all columns.</t>
  </si>
  <si>
    <t>Page:</t>
  </si>
  <si>
    <t>Other Operating Revenue</t>
  </si>
  <si>
    <t>PRELIMINARY YE</t>
  </si>
  <si>
    <t>USoA #</t>
  </si>
  <si>
    <t>USoA Description</t>
  </si>
  <si>
    <r>
      <t>Specific Service Charges</t>
    </r>
    <r>
      <rPr>
        <b/>
        <vertAlign val="superscript"/>
        <sz val="10"/>
        <rFont val="Arial"/>
        <family val="2"/>
      </rPr>
      <t>1,2</t>
    </r>
  </si>
  <si>
    <r>
      <t>Late Payment Charges</t>
    </r>
    <r>
      <rPr>
        <b/>
        <vertAlign val="superscript"/>
        <sz val="10"/>
        <rFont val="Arial"/>
        <family val="2"/>
      </rPr>
      <t>1</t>
    </r>
  </si>
  <si>
    <t>Standard Supply Service - Administrative Charge</t>
  </si>
  <si>
    <t>Retail Services Revenues</t>
  </si>
  <si>
    <t>Service Transactions Requests</t>
  </si>
  <si>
    <t>Rent from Electric Property</t>
  </si>
  <si>
    <r>
      <t>Gain on Disposition of Utility and Other Property</t>
    </r>
    <r>
      <rPr>
        <vertAlign val="superscript"/>
        <sz val="10"/>
        <rFont val="Arial"/>
        <family val="2"/>
      </rPr>
      <t>4</t>
    </r>
  </si>
  <si>
    <r>
      <t>Loss on Disposition of Utility and Other Property</t>
    </r>
    <r>
      <rPr>
        <vertAlign val="superscript"/>
        <sz val="10"/>
        <rFont val="Arial"/>
        <family val="2"/>
      </rPr>
      <t>3</t>
    </r>
  </si>
  <si>
    <t>Revenues from Non-Utility Operations</t>
  </si>
  <si>
    <t>Expenses of Non-Utility Operations</t>
  </si>
  <si>
    <r>
      <t>Miscellaneous Non-Operating Income</t>
    </r>
    <r>
      <rPr>
        <vertAlign val="superscript"/>
        <sz val="10"/>
        <rFont val="Arial"/>
        <family val="2"/>
      </rPr>
      <t>5</t>
    </r>
  </si>
  <si>
    <r>
      <t>Interest and Dividend Income</t>
    </r>
    <r>
      <rPr>
        <vertAlign val="superscript"/>
        <sz val="10"/>
        <rFont val="Arial"/>
        <family val="2"/>
      </rPr>
      <t>2</t>
    </r>
  </si>
  <si>
    <t>Specific Service Charges</t>
  </si>
  <si>
    <t>Late Payment Charges</t>
  </si>
  <si>
    <t>Other Operating Revenues</t>
  </si>
  <si>
    <t>Other Income or Deductions</t>
  </si>
  <si>
    <r>
      <rPr>
        <vertAlign val="superscript"/>
        <sz val="10"/>
        <rFont val="Arial"/>
        <family val="2"/>
      </rPr>
      <t>1</t>
    </r>
    <r>
      <rPr>
        <sz val="10"/>
        <rFont val="Arial"/>
        <family val="2"/>
      </rPr>
      <t xml:space="preserve"> In 2009 Late Payment Charges were reported under USoA account 4235, however have been shown separately here for comparison</t>
    </r>
  </si>
  <si>
    <r>
      <rPr>
        <vertAlign val="superscript"/>
        <sz val="10"/>
        <rFont val="Arial"/>
        <family val="2"/>
      </rPr>
      <t>2</t>
    </r>
    <r>
      <rPr>
        <sz val="10"/>
        <rFont val="Arial"/>
        <family val="2"/>
      </rPr>
      <t xml:space="preserve"> In 2009, an amount was incorrectly reported under USoA account 4405, it should have been 4235, the accounts have been corrected here</t>
    </r>
  </si>
  <si>
    <r>
      <rPr>
        <vertAlign val="superscript"/>
        <sz val="10"/>
        <rFont val="Arial"/>
        <family val="2"/>
      </rPr>
      <t>3</t>
    </r>
    <r>
      <rPr>
        <sz val="10"/>
        <rFont val="Arial"/>
        <family val="2"/>
      </rPr>
      <t xml:space="preserve"> In 2010 Loss of Disposition of Utility and Other Property were incorrectly filed under USoA account 4355, however has been corrected here to account 4360</t>
    </r>
  </si>
  <si>
    <r>
      <rPr>
        <vertAlign val="superscript"/>
        <sz val="10"/>
        <rFont val="Arial"/>
        <family val="2"/>
      </rPr>
      <t>4</t>
    </r>
    <r>
      <rPr>
        <sz val="10"/>
        <rFont val="Arial"/>
        <family val="2"/>
      </rPr>
      <t xml:space="preserve"> In 2011, an amount was incorrectly reported under USoA account 4360, it should have been 4355, the accounts have been corrected here</t>
    </r>
  </si>
  <si>
    <r>
      <rPr>
        <vertAlign val="superscript"/>
        <sz val="10"/>
        <rFont val="Arial"/>
        <family val="2"/>
      </rPr>
      <t>5</t>
    </r>
    <r>
      <rPr>
        <sz val="10"/>
        <rFont val="Arial"/>
        <family val="2"/>
      </rPr>
      <t xml:space="preserve"> The amount reported for sale of scrap materials will be reported under USoA account 4390 in 2012, for comparative purposes, the amount for 2011 has been shown</t>
    </r>
  </si>
  <si>
    <t>in account 4390, and removed from account 4235 where it was previously reported</t>
  </si>
  <si>
    <t>Account(s)</t>
  </si>
  <si>
    <t>Specific Service Charges:</t>
  </si>
  <si>
    <t>Late Payment Charges:</t>
  </si>
  <si>
    <t>Other Distribution Revenues:</t>
  </si>
  <si>
    <t>4080, 4082, 4084, 4090, 4205, 4210, 4215, 4220, 4240, 4245</t>
  </si>
  <si>
    <t>Other Income and Expenses:</t>
  </si>
  <si>
    <t>4305, 4310, 4315, 4320, 4325, 4330, 4335, 4340, 4345, 4350, 4355, 4360, 4365, 4370, 4375, 4380, 4385, 4390, 4395, 4398, 4405, 4415</t>
  </si>
  <si>
    <t>Note: Add all applicable accounts listed above to the table and include all relevant information.</t>
  </si>
  <si>
    <t>The above table assumes adoption of MIFRS as of January 1, 2013.  If the adoption year differs, please adjust the table accordingly.</t>
  </si>
  <si>
    <t>Account Breakdown Details</t>
  </si>
  <si>
    <r>
      <t xml:space="preserve">For each </t>
    </r>
    <r>
      <rPr>
        <sz val="10"/>
        <rFont val="Arial"/>
        <family val="2"/>
      </rPr>
      <t>"Other Operating Revenue" and "Other Income or Deductions" Account, a detailed breakdown of the account components is required.  See the example below for Account 4405, Interest and Dividend Income.</t>
    </r>
  </si>
  <si>
    <t>Account 4080 - Distribution Services Revenues</t>
  </si>
  <si>
    <t>Residential</t>
  </si>
  <si>
    <t>GS&lt;50kW</t>
  </si>
  <si>
    <t>GS 50kW to 4999kW</t>
  </si>
  <si>
    <t>Unmetered Scattered Load</t>
  </si>
  <si>
    <t>Sentinel Lighting</t>
  </si>
  <si>
    <t>Street Lighting</t>
  </si>
  <si>
    <t>Account 4082 - Retail Services Revenues</t>
  </si>
  <si>
    <t>Retailer Service Agreement -- standard charge</t>
  </si>
  <si>
    <t>Retailer Service Agreement -- monthly fixed charge</t>
  </si>
  <si>
    <t>Retailer Service Agreement -- monthly variable charge</t>
  </si>
  <si>
    <t>Distributor-Consolidated Billing -- monthly charge</t>
  </si>
  <si>
    <t>Account 4084 - Service Transaction Requests (STR) Revenues</t>
  </si>
  <si>
    <t>Service Transaction Request -- request fee</t>
  </si>
  <si>
    <t>Service Transaction Request -- processing fee</t>
  </si>
  <si>
    <t>Account 4210 - Rent from Electric Property</t>
  </si>
  <si>
    <t>Commercial Rent charged to Affiliates</t>
  </si>
  <si>
    <t>Account 4355 - Gain on Disposition of Utility and Other Property</t>
  </si>
  <si>
    <t>Gain on sale of vehicles</t>
  </si>
  <si>
    <t>Sale of Materials/Service</t>
  </si>
  <si>
    <t>Account 4360 - Loss on Disposition of Utility and Other Property</t>
  </si>
  <si>
    <t>Write off of SAP Customer Information System</t>
  </si>
  <si>
    <t>Write off of meters from Smart Meter Pilot - no longer used</t>
  </si>
  <si>
    <t>Loss on sale of land</t>
  </si>
  <si>
    <t>Small write-offs</t>
  </si>
  <si>
    <t>Write off of reorganization costs (2000 amalgamation of 3 LDC's)</t>
  </si>
  <si>
    <t>Account 4375 - Revenues from Non-Utility Operations</t>
  </si>
  <si>
    <t>CDM Program Revenues</t>
  </si>
  <si>
    <t>OPA Program Revenues</t>
  </si>
  <si>
    <t>Sentinel Rentals</t>
  </si>
  <si>
    <t>Account 4380 - Expenses of Non-Utility Operations</t>
  </si>
  <si>
    <t>OPA Program Expenditures</t>
  </si>
  <si>
    <t>Account 4390 - Miscellaneous Non-Operating Income</t>
  </si>
  <si>
    <t>Sale of Scrap Material</t>
  </si>
  <si>
    <t>Account 4405 - Interest and Dividend Income</t>
  </si>
  <si>
    <t>Recovery of Carrying Charges - Regulatory Assets</t>
  </si>
  <si>
    <t>Interest on Related Party Balances</t>
  </si>
  <si>
    <t>Bank Deposit Interest</t>
  </si>
  <si>
    <t>List and specify any other interest revenue</t>
  </si>
  <si>
    <t>If the applicant is adopting IFRS or an alternate accounting standard as of January 1, 2012 for financial reporting purposes, 2011 must be presented on both a CGAAP and MIFRS (or alternate accounting standard) basis.</t>
  </si>
  <si>
    <t>If the applicant is adopting IFRS or an alternate accounting standard as of January 1, 2013 for financial reporting purposes, 2012 must be presented on both a CGAAP and MIFRS (or alternate accounting standard) basis.</t>
  </si>
  <si>
    <t>Appendix 2-G</t>
  </si>
  <si>
    <t>Detailed, Account by Account, OM&amp;A Expense Table</t>
  </si>
  <si>
    <t>(excluding Depreciation and Amortization)</t>
  </si>
  <si>
    <t>Bridge Year 2012 UPDATED</t>
  </si>
  <si>
    <t>Operations</t>
  </si>
  <si>
    <t>Operation Supervision and Engineering</t>
  </si>
  <si>
    <t>Load Dispatching</t>
  </si>
  <si>
    <t>Station Buildings and Fixtures Expense</t>
  </si>
  <si>
    <t>Transformer Station Equipment - Operation Labour</t>
  </si>
  <si>
    <t>Transformer Station Equipment - Operation Supplies and Expenses</t>
  </si>
  <si>
    <t>Distribution Station Equipment - Operation Labour</t>
  </si>
  <si>
    <t>Distribution Station Equipment - Operation Supplies and Expenses</t>
  </si>
  <si>
    <t>Overhead Distribution Lines and Feeders - Operation Labour</t>
  </si>
  <si>
    <t>Overhead Distribution Lines and Feeders - Operation Supplies and Expenses</t>
  </si>
  <si>
    <t>Overhead Sub-transmission Feeders - Operation</t>
  </si>
  <si>
    <t>Overhead Distribution Transformers - Operation</t>
  </si>
  <si>
    <t>Underground Distribution Lines and Feeders - Operation Labour</t>
  </si>
  <si>
    <t>Underground Distribution Lines and Feeders - Operation Supplies and Expenses</t>
  </si>
  <si>
    <t>Underground Sub-transmission Feeders - Operation</t>
  </si>
  <si>
    <t>Underground Distribution Transformers - Operation</t>
  </si>
  <si>
    <t>Street Lighting and Signal System Expense</t>
  </si>
  <si>
    <t>Meter Expense</t>
  </si>
  <si>
    <t>Customer Premises - Operation Labour</t>
  </si>
  <si>
    <t>Customer Premises - Operation Materials and Expenses</t>
  </si>
  <si>
    <t>Miscellaneous Distribution Expenses</t>
  </si>
  <si>
    <t>Underground Distribution Lines and Feeders - Rental Paid</t>
  </si>
  <si>
    <t>Overhead Distribution Lines and Feeders - Rental Paid</t>
  </si>
  <si>
    <t>Other Rent</t>
  </si>
  <si>
    <t>Total - Operations</t>
  </si>
  <si>
    <t>Maintenance</t>
  </si>
  <si>
    <t>Maintenance Supervision and Engineering</t>
  </si>
  <si>
    <t>Maintenance of Buildings and Fixtures - Distribution Stations</t>
  </si>
  <si>
    <t>Maintenance of Transformer Station Equipment</t>
  </si>
  <si>
    <t>Maintenance of Distribution Station Equipment</t>
  </si>
  <si>
    <t>Maintenance of Poles, Towers and Fixtures</t>
  </si>
  <si>
    <t>Maintenance of Overhead Conductors and Devices</t>
  </si>
  <si>
    <t>Maintenance of Overhead Services</t>
  </si>
  <si>
    <t>Overhead Distribution Lines and Feeders - Right of Way</t>
  </si>
  <si>
    <t>Maintenance of Underground Conduit</t>
  </si>
  <si>
    <t>Maintenance of Underground Conductors and Devices</t>
  </si>
  <si>
    <t>Maintenance of Underground Services</t>
  </si>
  <si>
    <t>Maintenance of Line Transformers</t>
  </si>
  <si>
    <t>Maintenance of Street Lighting and Signal Systems</t>
  </si>
  <si>
    <t>Sentinel Lights - Labour</t>
  </si>
  <si>
    <t>Sentinel Lights - Materials and Expenses</t>
  </si>
  <si>
    <t>Maintenance of Meters</t>
  </si>
  <si>
    <t>Customer Installations Expenses - Leased Property</t>
  </si>
  <si>
    <t>Maintenance of Other Installations on Customer Premises</t>
  </si>
  <si>
    <t>Total - Maintenance</t>
  </si>
  <si>
    <t>Billing and Collecting</t>
  </si>
  <si>
    <t>Supervision</t>
  </si>
  <si>
    <t>Meter Reading Expense</t>
  </si>
  <si>
    <t>Customer Billing</t>
  </si>
  <si>
    <t>Collecting</t>
  </si>
  <si>
    <t>Collecting - Cash Over and Short</t>
  </si>
  <si>
    <t>Collection Charges</t>
  </si>
  <si>
    <t>Bad Debt Expense</t>
  </si>
  <si>
    <t>Miscellaneous Customer Accounts Expenses</t>
  </si>
  <si>
    <t>Total - Billing and Collecting</t>
  </si>
  <si>
    <t>Community Relations</t>
  </si>
  <si>
    <t>Community Relations - Sundry</t>
  </si>
  <si>
    <t>Energy Conservation</t>
  </si>
  <si>
    <t>Community Safety Program</t>
  </si>
  <si>
    <t>Miscellaneous Customer Service and Informational Expenses</t>
  </si>
  <si>
    <t>Demonstrating and Selling Expense</t>
  </si>
  <si>
    <t>Advertising Expenses</t>
  </si>
  <si>
    <t>Miscellaneous Sales Expense</t>
  </si>
  <si>
    <t>Total - Community Relations</t>
  </si>
  <si>
    <t>Administrative and General Expenses</t>
  </si>
  <si>
    <t>Executive Salaries and Expenses</t>
  </si>
  <si>
    <t>Management Salaries and Expenses</t>
  </si>
  <si>
    <t>General Administrative Salaries and Expenses</t>
  </si>
  <si>
    <t>Office Supplies and Expenses</t>
  </si>
  <si>
    <t>Administrative Expense Transferred - Credit</t>
  </si>
  <si>
    <t>Outside Services Employed</t>
  </si>
  <si>
    <t>Property Insurance</t>
  </si>
  <si>
    <t>Injuries and Damages</t>
  </si>
  <si>
    <t>OMERS Pensions and Benefits</t>
  </si>
  <si>
    <t>Employee Pensions and OPEB</t>
  </si>
  <si>
    <t>Employee Sick Leave</t>
  </si>
  <si>
    <t>Franchise Requirements</t>
  </si>
  <si>
    <t>Regulatory Expenses</t>
  </si>
  <si>
    <t>General Advertising Expenses</t>
  </si>
  <si>
    <t>Miscellaneous General Expenses</t>
  </si>
  <si>
    <t>Rent</t>
  </si>
  <si>
    <t>Lease Payment Charge</t>
  </si>
  <si>
    <t>Maintenance of General Plant</t>
  </si>
  <si>
    <t>Electrical Safety Authority Fees</t>
  </si>
  <si>
    <t>Special Purpose Charge Expense</t>
  </si>
  <si>
    <t>Independent Electricity System Operator Fees and Penalties</t>
  </si>
  <si>
    <t>OM&amp;A Contra Account</t>
  </si>
  <si>
    <t>Donations</t>
  </si>
  <si>
    <t>Donations, Sub-account LEAP Funding</t>
  </si>
  <si>
    <t>Total - Administrative and General Expenses</t>
  </si>
  <si>
    <t>Total OM&amp;A</t>
  </si>
  <si>
    <t>Adjustments for non-recoverable items</t>
  </si>
  <si>
    <r>
      <t>Donations</t>
    </r>
    <r>
      <rPr>
        <vertAlign val="superscript"/>
        <sz val="10"/>
        <rFont val="Arial"/>
        <family val="2"/>
      </rPr>
      <t>1</t>
    </r>
  </si>
  <si>
    <t>Total Recoverable OM&amp;A</t>
  </si>
  <si>
    <r>
      <rPr>
        <vertAlign val="superscript"/>
        <sz val="10"/>
        <rFont val="Arial"/>
        <family val="2"/>
      </rPr>
      <t xml:space="preserve">1 </t>
    </r>
    <r>
      <rPr>
        <sz val="10"/>
        <rFont val="Arial"/>
        <family val="2"/>
      </rPr>
      <t>Account 6205 - Donations is generally non-recoverable.  However, the sub-account LEAP funding of account 6205 is generally recoverable.</t>
    </r>
  </si>
  <si>
    <t>Note:</t>
  </si>
  <si>
    <t>If it has been more than three years since the applicant last filed a cost of service application, additional years of historical actuals should be incorporated into the table, as necessary, to go back to the last cost of service application.  If the applicant last filed a cost of service application less than three years ago, a minimum of three years of actual information is required.</t>
  </si>
  <si>
    <t>Appendix 2-H</t>
  </si>
  <si>
    <t>OM&amp;A Detailed Variance Analysis</t>
  </si>
  <si>
    <t>Most Current Actuals               Year 2011</t>
  </si>
  <si>
    <t>Test Year (2013) Versus Last Rebasing (2009)</t>
  </si>
  <si>
    <t>Test Year (2013) Versus Most Current Actuals (2011)</t>
  </si>
  <si>
    <t>Variance ($)</t>
  </si>
  <si>
    <t>Percentage Change (%)</t>
  </si>
  <si>
    <t>If the applicant is adopting IFRS or an alternate accounting standard as of January 1, 2013 for financial reporting purposes, Column D "Most Current Actual Year" must be provided on CGAAP.</t>
  </si>
  <si>
    <t>If the applicant is adopting IFRS or an alternate accounting standard as of January 1, 2012 for financial reporting purposes, Column D "Most Current Actual Year" must be provided on that standard.</t>
  </si>
  <si>
    <t>Appendix 2-I</t>
  </si>
  <si>
    <r>
      <t xml:space="preserve">Summary of </t>
    </r>
    <r>
      <rPr>
        <b/>
        <u/>
        <sz val="14"/>
        <color indexed="10"/>
        <rFont val="Arial"/>
        <family val="2"/>
      </rPr>
      <t>Recoverable</t>
    </r>
    <r>
      <rPr>
        <b/>
        <sz val="14"/>
        <rFont val="Arial"/>
        <family val="2"/>
      </rPr>
      <t xml:space="preserve"> OM&amp;A Expenses</t>
    </r>
  </si>
  <si>
    <t>2012 Bridge Year UPDATED</t>
  </si>
  <si>
    <t>SubTotal</t>
  </si>
  <si>
    <t>%Change (year over year)</t>
  </si>
  <si>
    <t>%Change (Test Year vs 
Last Rebasing Year - Actual)</t>
  </si>
  <si>
    <t>Administrative and General</t>
  </si>
  <si>
    <t xml:space="preserve">Maintenance </t>
  </si>
  <si>
    <t xml:space="preserve">Billing and Collecting </t>
  </si>
  <si>
    <t xml:space="preserve">Community Relations </t>
  </si>
  <si>
    <t xml:space="preserve">Administrative and General </t>
  </si>
  <si>
    <t xml:space="preserve">Total OM&amp;A Expenses </t>
  </si>
  <si>
    <t xml:space="preserve">Variance from previous year </t>
  </si>
  <si>
    <t xml:space="preserve">Percent change (year over year) </t>
  </si>
  <si>
    <t xml:space="preserve">Percent Change:                                                    Test year vs. Most Current Actual </t>
  </si>
  <si>
    <t>Simple average of % variance for all years</t>
  </si>
  <si>
    <t>Compound Annual Growth Rate for all years</t>
  </si>
  <si>
    <t>1     "BA" = Board-Approved</t>
  </si>
  <si>
    <t>2     If it has been more than three years since the applicant last filed a cost of service application, additional years of historical actuals should be incorporated into the table, as necessary, to go back to the last cost of service application.  If the applicant last filed a cost of service application less than three years ago, a minimum of three years of actual information is required.</t>
  </si>
  <si>
    <t>3     Recoverable OM&amp;A that is included on these tables should be identical to the recoverable OM&amp;A that is shown for the corresponding periods on Appendix 2-H.</t>
  </si>
  <si>
    <t>Appendix 2-J</t>
  </si>
  <si>
    <t>OM&amp;A Cost Driver Table</t>
  </si>
  <si>
    <t>OM&amp;A</t>
  </si>
  <si>
    <t>A</t>
  </si>
  <si>
    <t>Employee Future Benefit Obligation (gain)/loss</t>
  </si>
  <si>
    <t>B</t>
  </si>
  <si>
    <t>Accident Accrual</t>
  </si>
  <si>
    <t>C</t>
  </si>
  <si>
    <t>Bad Debt</t>
  </si>
  <si>
    <t>D</t>
  </si>
  <si>
    <t>General Wage Increase</t>
  </si>
  <si>
    <t>E</t>
  </si>
  <si>
    <t>OMERS Costs</t>
  </si>
  <si>
    <t>F</t>
  </si>
  <si>
    <t>Differences in FTE complement</t>
  </si>
  <si>
    <t>G</t>
  </si>
  <si>
    <t>OM&amp;A impact - burden change</t>
  </si>
  <si>
    <t>H</t>
  </si>
  <si>
    <t>Smart Meter Costs</t>
  </si>
  <si>
    <t>I</t>
  </si>
  <si>
    <t>Monthly Electric Billing - No Water</t>
  </si>
  <si>
    <t>J</t>
  </si>
  <si>
    <t>Increase in allocation to affiliates</t>
  </si>
  <si>
    <t>K</t>
  </si>
  <si>
    <t>Increase in Operations Maintenance</t>
  </si>
  <si>
    <t>L</t>
  </si>
  <si>
    <t>M</t>
  </si>
  <si>
    <t>Billing System Implementation Costs</t>
  </si>
  <si>
    <t>Regulatory Compliance</t>
  </si>
  <si>
    <t>O</t>
  </si>
  <si>
    <t>Right of Way</t>
  </si>
  <si>
    <t>P</t>
  </si>
  <si>
    <t>Workforce shift - Maintenance to Capital</t>
  </si>
  <si>
    <t>Q</t>
  </si>
  <si>
    <t>CDM - Revenue/Expense Recognition</t>
  </si>
  <si>
    <t>For each year, a detailed explanation for each cost driver and associated amount is</t>
  </si>
  <si>
    <t>required.</t>
  </si>
  <si>
    <t>The closing balance for each year becomes the opening balance for the next year.</t>
  </si>
  <si>
    <t>Opening Balance for "Last Rebasing Year" (cell B15) should be equal to the Board-Approved amount.</t>
  </si>
  <si>
    <t>Appendix 2-K</t>
  </si>
  <si>
    <t>Employee Costs</t>
  </si>
  <si>
    <r>
      <t>LRY Board Approved Adjusted</t>
    </r>
    <r>
      <rPr>
        <b/>
        <vertAlign val="superscript"/>
        <sz val="10"/>
        <rFont val="Arial"/>
        <family val="2"/>
      </rPr>
      <t>2</t>
    </r>
  </si>
  <si>
    <t>2012 Bridge Year
Updated</t>
  </si>
  <si>
    <r>
      <t>Number of Employees (FTEs including Part-Time)</t>
    </r>
    <r>
      <rPr>
        <b/>
        <vertAlign val="superscript"/>
        <sz val="10"/>
        <rFont val="Arial"/>
        <family val="2"/>
      </rPr>
      <t>1</t>
    </r>
  </si>
  <si>
    <t>Executive</t>
  </si>
  <si>
    <t>Management</t>
  </si>
  <si>
    <t>Non-Union</t>
  </si>
  <si>
    <t>Union</t>
  </si>
  <si>
    <t>Number of Part-Time Employees - N/A GSHi does not employ part time employees, casual employees have been included above on an FTE basis</t>
  </si>
  <si>
    <t>Total Salary and Wages - (Please Note: Includes Overtime)</t>
  </si>
  <si>
    <t>Current Benefits</t>
  </si>
  <si>
    <t>Accrued Pension and Post-Retirement Benefits</t>
  </si>
  <si>
    <t>Total Benefits (Current + Accrued)</t>
  </si>
  <si>
    <t>Total Compensation (Salary, Wages, &amp; Benefits)</t>
  </si>
  <si>
    <t>Compensation - Average Yearly Base Wages</t>
  </si>
  <si>
    <t>Compensation - Average Yearly Overtime</t>
  </si>
  <si>
    <t>Compensation - Average Yearly Incentive Pay N/A GSHi does not have incentive pay as part of its compensation</t>
  </si>
  <si>
    <t>Compensation - Average Yearly Benefits</t>
  </si>
  <si>
    <t>Total Compensation</t>
  </si>
  <si>
    <t>Total Compensation Capitalized (CGAAP)</t>
  </si>
  <si>
    <t>Total Compensation Charged to OM&amp;A (CGAAP)</t>
  </si>
  <si>
    <t>Total Compensation Capitalized (MIFRS)</t>
  </si>
  <si>
    <t>Total Compensation Charged to OM&amp;A (MIFRS)</t>
  </si>
  <si>
    <r>
      <t>1</t>
    </r>
    <r>
      <rPr>
        <b/>
        <sz val="10"/>
        <rFont val="Arial"/>
        <family val="2"/>
      </rPr>
      <t xml:space="preserve"> </t>
    </r>
    <r>
      <rPr>
        <sz val="10"/>
        <rFont val="Arial"/>
        <family val="2"/>
      </rPr>
      <t>If an applicant wishes to use headcount, it must also file the same schedule on an FTE basis.</t>
    </r>
  </si>
  <si>
    <r>
      <rPr>
        <vertAlign val="superscript"/>
        <sz val="10"/>
        <rFont val="Arial"/>
        <family val="2"/>
      </rPr>
      <t>2</t>
    </r>
    <r>
      <rPr>
        <sz val="10"/>
        <rFont val="Arial"/>
        <family val="2"/>
      </rPr>
      <t xml:space="preserve"> 2009 Board approved figures have been adjusted to include executive figures with management figures for comparative purposes</t>
    </r>
  </si>
  <si>
    <t>In addition, a calculation error from 2009 was noted, where the benefits were counted in Salary &amp; Wages as well as recorded in Benefits, resulting in double counting in total compensation</t>
  </si>
  <si>
    <t>The total compensation capitalized was also calculated incorrectly in 2009 and has been corrected here.</t>
  </si>
  <si>
    <t>1   Please report compensation on a CGAAP and MIFRS basis for your transition year - GSHi has delayed transition to MIFRS to January 1, 2014.  The comparison has not been provided.</t>
  </si>
  <si>
    <t>Appendix 2-L</t>
  </si>
  <si>
    <t>Recoverable OM&amp;A Cost per Customer and per FTEE</t>
  </si>
  <si>
    <t>Number of Customers</t>
  </si>
  <si>
    <t>Total Recoverable OM&amp;A from Appendix 2-I</t>
  </si>
  <si>
    <t>OM&amp;A cost per customer</t>
  </si>
  <si>
    <t>Number of FTEEs</t>
  </si>
  <si>
    <t>Customers/FTEEs</t>
  </si>
  <si>
    <t>OM&amp;A Cost per FTEE</t>
  </si>
  <si>
    <t>The method of calculating the number of customers must be identified.</t>
  </si>
  <si>
    <t>The method of calculating the number of FTEEs must be identified.  See also Appendix 2-K</t>
  </si>
  <si>
    <t>The number of customers and the number of FTEEs should correspond to mid-year or average of January 1 and December 31 figures.</t>
  </si>
  <si>
    <t>Appendix 2-M</t>
  </si>
  <si>
    <t>Regulatory Cost Schedule</t>
  </si>
  <si>
    <t>On-Going</t>
  </si>
  <si>
    <t>One-Time</t>
  </si>
  <si>
    <t>Regulatory Cost Category</t>
  </si>
  <si>
    <t>USoA Account</t>
  </si>
  <si>
    <t>USoA Account Balance</t>
  </si>
  <si>
    <r>
      <t xml:space="preserve">Ongoing or One-time Cost? </t>
    </r>
    <r>
      <rPr>
        <b/>
        <vertAlign val="superscript"/>
        <sz val="10"/>
        <rFont val="Arial"/>
        <family val="2"/>
      </rPr>
      <t>2</t>
    </r>
  </si>
  <si>
    <t>Annual % Change</t>
  </si>
  <si>
    <t>(A)</t>
  </si>
  <si>
    <t>(C )</t>
  </si>
  <si>
    <t>(E)</t>
  </si>
  <si>
    <t>(H) = [(G)-(F)]/(F)</t>
  </si>
  <si>
    <t>(I)</t>
  </si>
  <si>
    <t>(J) = [(I)-(G)]/(G)</t>
  </si>
  <si>
    <t>OEB Annual Assessment</t>
  </si>
  <si>
    <t>OEB Section 30 Costs (Applicant-originated)</t>
  </si>
  <si>
    <t>OEB Section 30 Costs (OEB-initiated)</t>
  </si>
  <si>
    <t>Expert Witness costs for regulatory matters</t>
  </si>
  <si>
    <t>Legal costs for regulatory matters</t>
  </si>
  <si>
    <t>Consultants' costs for regulatory matters</t>
  </si>
  <si>
    <t>Operating expenses associated with staff resources allocated to regulatory matters</t>
  </si>
  <si>
    <r>
      <t xml:space="preserve">Operating expenses associated with other resources allocated to regulatory matters </t>
    </r>
    <r>
      <rPr>
        <vertAlign val="superscript"/>
        <sz val="10"/>
        <rFont val="Arial"/>
        <family val="2"/>
      </rPr>
      <t>1</t>
    </r>
  </si>
  <si>
    <t>Travel costs associated with cost of service related hearings/conferences</t>
  </si>
  <si>
    <t>Other regulatory agency fees or assessments</t>
  </si>
  <si>
    <t>Any other costs for regulatory matters (please define) - IESO Prudential Costs, Advertisements</t>
  </si>
  <si>
    <t>Intervenor costs</t>
  </si>
  <si>
    <r>
      <t xml:space="preserve">Sub-total - Ongoing Costs </t>
    </r>
    <r>
      <rPr>
        <vertAlign val="superscript"/>
        <sz val="10"/>
        <rFont val="Arial"/>
        <family val="2"/>
      </rPr>
      <t>3</t>
    </r>
  </si>
  <si>
    <r>
      <t xml:space="preserve">Sub-total - One-time Costs </t>
    </r>
    <r>
      <rPr>
        <vertAlign val="superscript"/>
        <sz val="10"/>
        <rFont val="Arial"/>
        <family val="2"/>
      </rPr>
      <t>4</t>
    </r>
  </si>
  <si>
    <t>1</t>
  </si>
  <si>
    <t>Please identify the resources involved.</t>
  </si>
  <si>
    <t>2</t>
  </si>
  <si>
    <t>Where a category's costs include both one-time and ongoing costs, the applicant should prove a separate breakdown between one-time and ongoing costs.</t>
  </si>
  <si>
    <t>3</t>
  </si>
  <si>
    <t>Sum of all ongoing costs identified in rows 1 to 11 inclusive.</t>
  </si>
  <si>
    <t>4</t>
  </si>
  <si>
    <t>Sum of all one-time costs identified in rows 1 to 11 inclusive.</t>
  </si>
  <si>
    <t>Please fill out the following table for all one-time costs related to this cost of service application</t>
  </si>
  <si>
    <t>2009 COS Actual</t>
  </si>
  <si>
    <t>Recovery of costs over 4 years, included in 2013 budget @ 25%</t>
  </si>
  <si>
    <t>Appendix 2-N</t>
  </si>
  <si>
    <t>Shared Services and Corporate Cost Allocation</t>
  </si>
  <si>
    <t>Year:</t>
  </si>
  <si>
    <t>Shared Services</t>
  </si>
  <si>
    <t>Name of Company</t>
  </si>
  <si>
    <t>Service Offered</t>
  </si>
  <si>
    <t>Pricing Methdology</t>
  </si>
  <si>
    <t>Price for the Service</t>
  </si>
  <si>
    <t>Cost for the Service</t>
  </si>
  <si>
    <t>From</t>
  </si>
  <si>
    <t>To</t>
  </si>
  <si>
    <t>Percentage (%)</t>
  </si>
  <si>
    <t>$</t>
  </si>
  <si>
    <t>Affiliate</t>
  </si>
  <si>
    <t>Greater Sudbury</t>
  </si>
  <si>
    <t>Corporate/Regulatory</t>
  </si>
  <si>
    <t>Fully allocated (time tracking)</t>
  </si>
  <si>
    <t>Accounting &amp; Admin</t>
  </si>
  <si>
    <t>Human Resources</t>
  </si>
  <si>
    <t>number of employees</t>
  </si>
  <si>
    <t>Quality Management</t>
  </si>
  <si>
    <t>Full allocation as other affiliates have own programs</t>
  </si>
  <si>
    <t>Risk Management</t>
  </si>
  <si>
    <t xml:space="preserve">50% to Greater Sudbury and number of employees  </t>
  </si>
  <si>
    <t>Billing &amp; Customer Service</t>
  </si>
  <si>
    <t>Stores/Procurement</t>
  </si>
  <si>
    <t>Materials issues</t>
  </si>
  <si>
    <t>IT Services &amp; amortization</t>
  </si>
  <si>
    <t>Fully allocated cost (including allocations to corporate services)</t>
  </si>
  <si>
    <t>$379,759 plus allocations from corp services</t>
  </si>
  <si>
    <t>Telecommunication services</t>
  </si>
  <si>
    <t>Preferred pricing</t>
  </si>
  <si>
    <t>Affiliates</t>
  </si>
  <si>
    <t>Garage/fleet services</t>
  </si>
  <si>
    <t>Hourly chargeout rate based on full cost recovery</t>
  </si>
  <si>
    <t>Streetlight mtce services</t>
  </si>
  <si>
    <t>Fully allocated cost (work order tracking)</t>
  </si>
  <si>
    <t>Building Services/occupancy costs</t>
  </si>
  <si>
    <t xml:space="preserve">Market rate applied to square footage </t>
  </si>
  <si>
    <t>cost recovery based on square footage - LDC and affiliate providing corp services</t>
  </si>
  <si>
    <t>$307,503 allocated to corp services - partial rediistribution to LDC and other affiliates</t>
  </si>
  <si>
    <t>Corporate Cost Allocation</t>
  </si>
  <si>
    <t>% of Corporate Costs Allocated</t>
  </si>
  <si>
    <t>Amount Allocated</t>
  </si>
  <si>
    <t>%</t>
  </si>
  <si>
    <t>Parent Company (GSU)</t>
  </si>
  <si>
    <t>Board of Directors</t>
  </si>
  <si>
    <t>Number of Board members - weighted costing</t>
  </si>
  <si>
    <t>cost recovery based on square footage - LCD and affiliate providing corp services</t>
  </si>
  <si>
    <t>$337,682 plus allocations to corp services</t>
  </si>
  <si>
    <t>% allocation</t>
  </si>
  <si>
    <t>n/a</t>
  </si>
  <si>
    <t>Percentage</t>
  </si>
  <si>
    <t xml:space="preserve"> (%)</t>
  </si>
  <si>
    <t>Appendix 2-OA</t>
  </si>
  <si>
    <t>Capital Structure and Cost of Capital</t>
  </si>
  <si>
    <t>This table must be completed for the required years of all historical years, the bridge year and the test year.</t>
  </si>
  <si>
    <t>Line No.</t>
  </si>
  <si>
    <t>Particulars</t>
  </si>
  <si>
    <t>Capitalization Ratio</t>
  </si>
  <si>
    <t>Cost Rate</t>
  </si>
  <si>
    <t>Return</t>
  </si>
  <si>
    <t>2009 Board Approved</t>
  </si>
  <si>
    <t>(%)</t>
  </si>
  <si>
    <t>($)</t>
  </si>
  <si>
    <t>Debt</t>
  </si>
  <si>
    <t xml:space="preserve">  Long-term Debt</t>
  </si>
  <si>
    <t xml:space="preserve">  Short-term Debt</t>
  </si>
  <si>
    <t>(1)</t>
  </si>
  <si>
    <t>Total Debt</t>
  </si>
  <si>
    <t>Equity</t>
  </si>
  <si>
    <t xml:space="preserve">  Common Equity</t>
  </si>
  <si>
    <t xml:space="preserve">  Preferred Shares</t>
  </si>
  <si>
    <t>Total Equity</t>
  </si>
  <si>
    <t>4.0% unless an applicant has proposed or been approved for a different amount.</t>
  </si>
  <si>
    <t>2010</t>
  </si>
  <si>
    <t>2011</t>
  </si>
  <si>
    <t>2012</t>
  </si>
  <si>
    <t>2013</t>
  </si>
  <si>
    <t>Appendix 2-OB</t>
  </si>
  <si>
    <t>Debt Instruments</t>
  </si>
  <si>
    <t>Row</t>
  </si>
  <si>
    <t>Lender</t>
  </si>
  <si>
    <t>Affiliated or Third-Party Debt?</t>
  </si>
  <si>
    <t>Fixed or Variable-Rate?</t>
  </si>
  <si>
    <t>Start Date</t>
  </si>
  <si>
    <t>Term              (years)</t>
  </si>
  <si>
    <t>Principal                         ($)</t>
  </si>
  <si>
    <t>Rate (%)                     (Note 2)</t>
  </si>
  <si>
    <t>Interest ($)       (Note 1)</t>
  </si>
  <si>
    <t>Multiple draw term loan (SWAP)</t>
  </si>
  <si>
    <t>Toronto-Dominion Bank</t>
  </si>
  <si>
    <t>Third-Party</t>
  </si>
  <si>
    <t>Variable Rate</t>
  </si>
  <si>
    <t>Promissory Note</t>
  </si>
  <si>
    <t>Greater Sudbury Utilities</t>
  </si>
  <si>
    <t>Affiliated</t>
  </si>
  <si>
    <t>Fixed Rate</t>
  </si>
  <si>
    <t>demand</t>
  </si>
  <si>
    <t>Term Loan</t>
  </si>
  <si>
    <t>TD bank</t>
  </si>
  <si>
    <t>If financing is in place only part of the year, calculate the pro-rated interest and input in the cell.</t>
  </si>
  <si>
    <r>
      <t xml:space="preserve">Input actual or deemed long-term debt rate in accordance with the guidelines in </t>
    </r>
    <r>
      <rPr>
        <i/>
        <sz val="10"/>
        <rFont val="Arial"/>
        <family val="2"/>
      </rPr>
      <t>The Report of the Board on the Cost of Capital for Ontario's Regulated Utilities</t>
    </r>
    <r>
      <rPr>
        <sz val="10"/>
        <rFont val="Arial"/>
        <family val="2"/>
      </rPr>
      <t>, issued December 11, 2009</t>
    </r>
  </si>
  <si>
    <t>Add more lines above row 12 if necessary.</t>
  </si>
  <si>
    <t>Appendix 2-P</t>
  </si>
  <si>
    <t>Cost Allocation</t>
  </si>
  <si>
    <t>Please complete the following four tables.</t>
  </si>
  <si>
    <t>A)  Allocated Costs</t>
  </si>
  <si>
    <t>Classes</t>
  </si>
  <si>
    <t>Costs Allocated from Previous Study</t>
  </si>
  <si>
    <t>Costs Allocated in Test Year Study                    (Column 7A)</t>
  </si>
  <si>
    <t>GS &lt; 50 kW</t>
  </si>
  <si>
    <t>GS &gt; 50 kW (or 50 kW &lt; GS &lt; xxx kW, if applicable)</t>
  </si>
  <si>
    <t>GS &gt; xxx kW, if applicable</t>
  </si>
  <si>
    <t>Large User, if applicable</t>
  </si>
  <si>
    <t>Unmetered Scattered Load (USL)</t>
  </si>
  <si>
    <t>Other class, if applicable</t>
  </si>
  <si>
    <t>Embedded distributor class</t>
  </si>
  <si>
    <t>2     Host Distributors -  Provide information on embedded distributor(s) as a separate class, if applicable.   If embedded distributor(s) are billed as customers in a General Service class, include the allocated cost and revenue of the embedded distributor(s) in the applicable class.  Also complete Appendix 2-Q.</t>
  </si>
  <si>
    <t xml:space="preserve">  </t>
  </si>
  <si>
    <t xml:space="preserve">3     Class Revenue Requirements - If using the Board-issued model, in column 7A enter the results from Worksheet O-1, Revenue Requirement (row 40 in the 2013 model).  This excludes costs in deferral and variance accounts.  Note to Embedded Distributor(s), it also does not include Account 4750 - Low Voltage (LV) Costs. </t>
  </si>
  <si>
    <t>B)  Calculated Class Revenues</t>
  </si>
  <si>
    <t>Column 7B</t>
  </si>
  <si>
    <t>Column 7C</t>
  </si>
  <si>
    <t>Column 7D</t>
  </si>
  <si>
    <t>Column 7E</t>
  </si>
  <si>
    <t>Classes (same as previous table)</t>
  </si>
  <si>
    <t>Load Forecast (LF) X current approved rates</t>
  </si>
  <si>
    <t>L.F. X current approved rates X (1 + d)</t>
  </si>
  <si>
    <t>LF X proposed rates</t>
  </si>
  <si>
    <t>Miscellaneous Revenue</t>
  </si>
  <si>
    <t xml:space="preserve">1     Columns 7B to 7D - LF means Load Forecast of Annual Billing Quantities (i.e. customers or connections X 12, (kWh or kW, as applicable).  Revenue Quantities should be net of Transfomrer Ownership Allowance.  Exclude revenue from rate adders and rate riders.  </t>
  </si>
  <si>
    <t>2     Columns 7C and 7D - Column total in each column should equal the Base Revenue Requirement</t>
  </si>
  <si>
    <t>3     Columns 7C - The Board cost allocation model calculates "1+d" in worksheet O-1, cell C21. "d" is defined as Revenue Deficiency/ Revenue at Current Rates.</t>
  </si>
  <si>
    <t>4     Columns 7E - If using the Board-issued Cost Allocation model, enter Miscellaneous Revenue as it appears in Worksheet O-1, row 19.</t>
  </si>
  <si>
    <t>C)  Rebalancing Revenue-to-Cost (R/C) Ratios</t>
  </si>
  <si>
    <t>Class</t>
  </si>
  <si>
    <t>Previously Approved Ratios</t>
  </si>
  <si>
    <t>Status Quo Ratios</t>
  </si>
  <si>
    <t>Proposed Ratios</t>
  </si>
  <si>
    <t>Policy Range</t>
  </si>
  <si>
    <t>Most Recent Year:</t>
  </si>
  <si>
    <t>(7C + 7E) / (7A)</t>
  </si>
  <si>
    <t>(7D + 7E) / (7A)</t>
  </si>
  <si>
    <t>85 - 115</t>
  </si>
  <si>
    <t>80 - 120</t>
  </si>
  <si>
    <t>70 - 120</t>
  </si>
  <si>
    <t>1     Previously Approved Revenue-to-Cost Ratios - For most applicants, Most Recent Year would be the third year of the IRM 3 period,  e.g. if the applicant rebased in 2009 with further adjustments over 2 years, the Most recent year is 2011.  For applicants that have had rates adjusted only under IRM 2, the Most Recent Year is 2006, and the applicant should enter the ratios from their Informational Filing.</t>
  </si>
  <si>
    <t>2     Status Quo Ratios - The Board's updated Cost Allocation Model yields the Status Quo Ratios in Worksheet O-1.  Status Quo means "Before Rebalancing".</t>
  </si>
  <si>
    <t>D)  Proposed Revenue-to-Cost Ratios</t>
  </si>
  <si>
    <t>Proposed Revenue-to-Cost Ratios</t>
  </si>
  <si>
    <t>Note</t>
  </si>
  <si>
    <t xml:space="preserve">1     The applicant should complete Table D if it is applying for approval of a revenue to cost ratio in 2012 that is outside the Board’s policy range for any customer class. Table (d) will show the information that the distributor would likely enter in the IRM model) in 2013.  In 2013 Table (d), enter the planned ratios for the classes that will be ‘Change’ and ‘No Change’ in 2013 (in the current Revenue Cost Ratio Adjustment Workform, Worksheet C1.1 ‘Decision – Cost Revenue Adjustment’, column d), and enter TBD for class(es) that will be entered as ‘Rebalance’. </t>
  </si>
  <si>
    <t>Appendix 2-R</t>
  </si>
  <si>
    <t>Loss Factors</t>
  </si>
  <si>
    <t>Historical Years</t>
  </si>
  <si>
    <t>5-Year Average</t>
  </si>
  <si>
    <t>Losses Within Distributor's System</t>
  </si>
  <si>
    <t>A(1)</t>
  </si>
  <si>
    <t>"Wholesale" kWh delivered to distributor (higher value)</t>
  </si>
  <si>
    <t>A(2)</t>
  </si>
  <si>
    <t>"Wholesale" kWh delivered to distributor (lower value)</t>
  </si>
  <si>
    <t>Portion of "Wholesale" kWh delivered to distributor for its Large Use Customer(s)</t>
  </si>
  <si>
    <r>
      <t xml:space="preserve">Net "Wholesale" kWh delivered to distributor  = </t>
    </r>
    <r>
      <rPr>
        <b/>
        <sz val="10"/>
        <rFont val="Arial"/>
        <family val="2"/>
      </rPr>
      <t>A(2) - B</t>
    </r>
  </si>
  <si>
    <t>"Retail" kWh delivered by distributor</t>
  </si>
  <si>
    <t>Portion of "Retail" kWh delivered by distributor to its Large Use Customer(s)</t>
  </si>
  <si>
    <r>
      <t xml:space="preserve">Net "Retail" kWh delivered by distributor = </t>
    </r>
    <r>
      <rPr>
        <b/>
        <sz val="10"/>
        <rFont val="Arial"/>
        <family val="2"/>
      </rPr>
      <t>D - E</t>
    </r>
  </si>
  <si>
    <r>
      <t xml:space="preserve">Loss Factor in Distributor's system = </t>
    </r>
    <r>
      <rPr>
        <b/>
        <sz val="10"/>
        <rFont val="Arial"/>
        <family val="2"/>
      </rPr>
      <t>C / F</t>
    </r>
  </si>
  <si>
    <t>Losses Upstream of Distributor's System</t>
  </si>
  <si>
    <t>Supply Facilities Loss Factor</t>
  </si>
  <si>
    <t>Total Losses</t>
  </si>
  <si>
    <r>
      <t xml:space="preserve">Total Loss Factor = </t>
    </r>
    <r>
      <rPr>
        <b/>
        <sz val="10"/>
        <rFont val="Arial"/>
        <family val="2"/>
      </rPr>
      <t>G x H</t>
    </r>
  </si>
  <si>
    <r>
      <t xml:space="preserve">If directly connected to the IESO-controlled grid, kWh pertains to the virtual meter on the primary or high voltage side of the transformer at the interface with the transmission grid.  This corresponds to the "With Losses" kWh value provided by the IESO's MV-WEB.  It is the </t>
    </r>
    <r>
      <rPr>
        <u/>
        <sz val="10"/>
        <rFont val="Arial"/>
        <family val="2"/>
      </rPr>
      <t>higher</t>
    </r>
    <r>
      <rPr>
        <sz val="10"/>
        <rFont val="Arial"/>
        <family val="2"/>
      </rPr>
      <t xml:space="preserve"> of the two values provided by MV-WEB.</t>
    </r>
  </si>
  <si>
    <r>
      <t xml:space="preserve">If fully embedded within a host distributor, kWh pertains to the virtual meter on the primary or high voltage side of the transformer, at the interface between the host distributor and the transmission grid.  For example, if the host distributor is Hydro One Networks Inc., kWh from the Hydro One Networks' invoice corresponding to "Total kWh w Losses" should be reported.  This corresponds to the </t>
    </r>
    <r>
      <rPr>
        <u/>
        <sz val="10"/>
        <rFont val="Arial"/>
        <family val="2"/>
      </rPr>
      <t>higher</t>
    </r>
    <r>
      <rPr>
        <sz val="10"/>
        <rFont val="Arial"/>
        <family val="2"/>
      </rPr>
      <t xml:space="preserve"> of the two kWh values provided in Hydro One Networks' invoice.</t>
    </r>
  </si>
  <si>
    <t>If partially embedded, kWh pertains to the sum of the above.</t>
  </si>
  <si>
    <r>
      <t xml:space="preserve">If directly connected to the IESO-controlled grid, kWh pertains to a metering installation on the secondary or low voltage side of the transformer at the interface with the transmission grid.  This corresponds to the "Without Losses" kWh value provided by the IESO's MV-WEB.  It is the </t>
    </r>
    <r>
      <rPr>
        <u/>
        <sz val="10"/>
        <rFont val="Arial"/>
        <family val="2"/>
      </rPr>
      <t>lower</t>
    </r>
    <r>
      <rPr>
        <sz val="10"/>
        <rFont val="Arial"/>
        <family val="2"/>
      </rPr>
      <t xml:space="preserve"> of the two kWh values provided by MV-WEB.</t>
    </r>
  </si>
  <si>
    <r>
      <t xml:space="preserve">If fully embedded with the host distributor, kWh pertains to an actual or virtual meter at the interface between the embedded distributor and the host distributor.  For example, if the host distributor is Hydro One Networks Inc., kWh from the Hydro One Networks' invoice corresponding to "Total kWh" should be reported.  This corresponds to the </t>
    </r>
    <r>
      <rPr>
        <u/>
        <sz val="10"/>
        <rFont val="Arial"/>
        <family val="2"/>
      </rPr>
      <t>lower</t>
    </r>
    <r>
      <rPr>
        <sz val="10"/>
        <rFont val="Arial"/>
        <family val="2"/>
      </rPr>
      <t xml:space="preserve"> of the two kWh values provided in Hydro One Networks' invoice.</t>
    </r>
  </si>
  <si>
    <r>
      <t xml:space="preserve">Additionally, kWh pertaining to distributed generation directly connected to the distributor's own distribution network should be included in </t>
    </r>
    <r>
      <rPr>
        <b/>
        <sz val="10"/>
        <rFont val="Arial"/>
        <family val="2"/>
      </rPr>
      <t>A(2)</t>
    </r>
    <r>
      <rPr>
        <sz val="10"/>
        <rFont val="Arial"/>
        <family val="2"/>
      </rPr>
      <t>.</t>
    </r>
  </si>
  <si>
    <r>
      <t xml:space="preserve">If a Large Use Customer is metered on the secondary or low voltage side of the transformer, the default loss is 1%                         (i.e., </t>
    </r>
    <r>
      <rPr>
        <b/>
        <sz val="10"/>
        <rFont val="Arial"/>
        <family val="2"/>
      </rPr>
      <t>B</t>
    </r>
    <r>
      <rPr>
        <sz val="10"/>
        <rFont val="Arial"/>
        <family val="2"/>
      </rPr>
      <t xml:space="preserve"> = 1.01 X </t>
    </r>
    <r>
      <rPr>
        <b/>
        <sz val="10"/>
        <rFont val="Arial"/>
        <family val="2"/>
      </rPr>
      <t>E</t>
    </r>
    <r>
      <rPr>
        <sz val="10"/>
        <rFont val="Arial"/>
        <family val="2"/>
      </rPr>
      <t>).</t>
    </r>
  </si>
  <si>
    <t>kWh corresponding to D should equal metered or estimated kWh at the customer’s delivery point.</t>
  </si>
  <si>
    <r>
      <t>G</t>
    </r>
    <r>
      <rPr>
        <sz val="10"/>
        <rFont val="Arial"/>
        <family val="2"/>
      </rPr>
      <t xml:space="preserve"> and </t>
    </r>
    <r>
      <rPr>
        <b/>
        <sz val="10"/>
        <rFont val="Arial"/>
        <family val="2"/>
      </rPr>
      <t>I</t>
    </r>
  </si>
  <si>
    <t>These loss factors pertain to secondary-metered customers with demand less than 5,000 kW.</t>
  </si>
  <si>
    <t>If directly connected to the IESO-controlled grid, SFLF = 1.0045.</t>
  </si>
  <si>
    <t>If fully embedded within a host distributor, SFLF = loss factor re losses in transformer at grid interface X loss factor re losses in host distributor's system.  If the host distributor is Hydro One Networks Inc., SFLF = 1.0060 X 1.0278 = 1.0340. If partially embedded, SFLF should be calculated as the weighted average of above.</t>
  </si>
  <si>
    <t>Distributors that wish to propose a different SFLF should provide appropriate justification for any such proposal including supporting</t>
  </si>
  <si>
    <t>calculations and any other relevant material.</t>
  </si>
  <si>
    <t>Appendix 2-S</t>
  </si>
  <si>
    <t>Stranded Meter Treatment</t>
  </si>
  <si>
    <t>Gross Asset Value</t>
  </si>
  <si>
    <t>Accumulated Amortization</t>
  </si>
  <si>
    <t>Contributed Capital (Net of Amortization)</t>
  </si>
  <si>
    <t>Net Asset</t>
  </si>
  <si>
    <t>Proceeds on Disposition</t>
  </si>
  <si>
    <t>Residual Net Book Value</t>
  </si>
  <si>
    <t>(D ) = (A) - (B) - (C)</t>
  </si>
  <si>
    <t>(F) = (D) - (E)</t>
  </si>
  <si>
    <t>For 2012, please indicate whether the amounts provided are on a forecast or actual basis.</t>
  </si>
  <si>
    <t>GSHi :  Scenerio B applies and all amounts are on an actual basis</t>
  </si>
  <si>
    <t>Some distributors have transferred the cost of stranded meters from Account 1860 - Meters to "Sub-account Stranded Meter Costs of Account 1555", while in some cases distributors have left these costs in Account 1860.  Depending on which treatment the applicant has chosen. please provide the information under either of the two scenarios (A and B below), as applicable.</t>
  </si>
  <si>
    <r>
      <t>Scenario A:</t>
    </r>
    <r>
      <rPr>
        <i/>
        <sz val="10"/>
        <rFont val="Arial"/>
        <family val="2"/>
      </rPr>
      <t xml:space="preserve">  If the stranded meter costs were transferred to "Sub-account Stranded Meter Costs" of Account 1555, the above table should be completed and the following information should be provided.</t>
    </r>
  </si>
  <si>
    <t>A description of the accounting treatment followed by the applicant on stranded meter costs for financial accounting and reporting purposes.</t>
  </si>
  <si>
    <t>The amount of the pooled residual net book value of the removed from service stranded meters, less any contributed capital (net of accumulated amortization), and less any net proceeds from sales, which were transferred to this sub-account as of December 31, 2010.</t>
  </si>
  <si>
    <t>A statement as to whether or not, since transferring the removed stranded meter costs to the sub-account, the recording of depreciation expenses was continued in order to reduce the net book value through accumulated depreciation.  If so, the total depreciation expense amount for the period from the time the costs for the stranded meters were transferred to the sub-account to December 31, 2010 should be provided.</t>
  </si>
  <si>
    <t>If no depreciation expenses were recorded to reduce the net book value of stranded meter costs through accumulated depreciation, the total depreciation expense amount that would have been applicable from the time that the stranded meter costs were transferred to the sub-account of Account 1555 to December 31, 2010 should be provided.  In addition, the following information should be provided:</t>
  </si>
  <si>
    <t>a)</t>
  </si>
  <si>
    <t>Whether or not carrying charges were recorded for the stranded meter cost balances in the sub-account, and if so, the total carrying charges recorded to December 31, 2010.</t>
  </si>
  <si>
    <t>b)</t>
  </si>
  <si>
    <t>The estimated amount of the pooled residual net book value of the removed from service meters, less any net proceeds from sales and contributed capital, at the time when the smart meters will have been fully deployed (e.g., as of December 31, 2010).  If the smart meters have been fully deployed, the actual amount should be provided.</t>
  </si>
  <si>
    <t>c)</t>
  </si>
  <si>
    <t>A description as to how the applicant intends to recover in rates the remaining costs for stranded meters, including the proposed accounting treatment, the proposed disposition period, and the associated bill impacts.</t>
  </si>
  <si>
    <r>
      <t>Scenario B:</t>
    </r>
    <r>
      <rPr>
        <i/>
        <sz val="10"/>
        <rFont val="Arial"/>
        <family val="2"/>
      </rPr>
      <t xml:space="preserve">  If the stranded meter costs remained recorded in Account 1860, the above table should be completed and the following information should be provided:</t>
    </r>
  </si>
  <si>
    <t>GSHI:  Refer to Exhibit 9, Tab 1, Schedule 3</t>
  </si>
  <si>
    <t>The amount of the pooled residual net book value of the removed from service stranded meters, less any contributed capital (net of accumulated amortization), and less any net proceeds from sales, as of December 31, 2010.</t>
  </si>
  <si>
    <t>GSHI:  Refer to chart above</t>
  </si>
  <si>
    <t>A statement as to whether or not the recording of depreciation expenses continued in order to reduce the net book value through accumulated depreciation.  If so, provision of the total (cumulative) depreciation expense for the period from the time that the meters became stranded to December 31, 2010.</t>
  </si>
  <si>
    <t>If no depreciation expenses were recorded to reduce the net book value of stranded meters through accumulated depreciation, the total (cumulative) depreciation expense amount that would have been applicable for the period from the time that the meters became stranded to December 31, 2010.</t>
  </si>
  <si>
    <t>GSHI:  not applicable</t>
  </si>
  <si>
    <t>The estimated amount of the pooled residual net book value of the removed from service meters, less any net proceeds from sales and contributed capital, at the time when smart meters will have been fully deployed.  If the smart meters have been fully deployed, please provide the actual amount.</t>
  </si>
  <si>
    <t>A description as to how the applicant intends to recover in rates the costs for stranded meters, including the proposed accounting treatment, the proposed disposition period and the associated bill impacts.</t>
  </si>
  <si>
    <r>
      <t xml:space="preserve">Distributors should also provide the Net Book Value per class of meter as of December 31, 2010 as well as the number of meters that were removed / stranded.  In preparing this information, distributors should review the Board's letter of January 16, 2007 </t>
    </r>
    <r>
      <rPr>
        <i/>
        <sz val="10"/>
        <rFont val="Arial"/>
        <family val="2"/>
      </rPr>
      <t>Stranded Meter Costs Related to the Installation of Smart Meters</t>
    </r>
    <r>
      <rPr>
        <sz val="10"/>
        <rFont val="Arial"/>
        <family val="2"/>
      </rPr>
      <t xml:space="preserve">   which stated that records were to be kept of the type and number of each meter to support the stranded meter costs.</t>
    </r>
  </si>
  <si>
    <t>Appendix 2-T</t>
  </si>
  <si>
    <t>Deferred PILs Account 1592 Balances</t>
  </si>
  <si>
    <t>The following table should be completed based on the information requested below, in accordance with the notes following the table. An explanation should be provided for any blank entries.</t>
  </si>
  <si>
    <t>Tax Item</t>
  </si>
  <si>
    <t>Principal as of</t>
  </si>
  <si>
    <t>December 31,</t>
  </si>
  <si>
    <r>
      <t xml:space="preserve">Large Corporation Tax grossed-up proxy from 2006 EDR application PILs model for the period from May 1, 2006 to April 30, 2007                                                                                                      </t>
    </r>
    <r>
      <rPr>
        <sz val="10"/>
        <color rgb="FFFF0000"/>
        <rFont val="Arial"/>
        <family val="2"/>
      </rPr>
      <t xml:space="preserve"> Response:  GSHi was not subject to LCT and therefore no proxy was included in the 2006 EDR rate apllication          </t>
    </r>
  </si>
  <si>
    <r>
      <t xml:space="preserve">Large Corporation Tax grossed-up proxy from 2006 EDR application PILs model for the period from January 1, 2006 to April 30, 2006 (4/12ths of the approved grossed-up proxy), if not recorded in PILs account 1562                                                                                                    </t>
    </r>
    <r>
      <rPr>
        <sz val="10"/>
        <color rgb="FFFF0000"/>
        <rFont val="Arial"/>
        <family val="2"/>
      </rPr>
      <t>Response:  GSHi was not subject to LCT and therefore no proxy was included in the 2006 EDR rate application.</t>
    </r>
  </si>
  <si>
    <r>
      <t xml:space="preserve">Ontario Capital Tax rate decrease and increase in capital deduction for 2007                                </t>
    </r>
    <r>
      <rPr>
        <sz val="10"/>
        <color rgb="FFFF0000"/>
        <rFont val="Arial"/>
        <family val="2"/>
      </rPr>
      <t xml:space="preserve">  Response:  Refer to Note 7.</t>
    </r>
  </si>
  <si>
    <r>
      <t xml:space="preserve">Ontario Capital Tax rate decrease and increase in capital deduction for 2008                            </t>
    </r>
    <r>
      <rPr>
        <sz val="10"/>
        <color rgb="FFFF0000"/>
        <rFont val="Arial"/>
        <family val="2"/>
      </rPr>
      <t xml:space="preserve">  Response:  Refer to note 8.</t>
    </r>
  </si>
  <si>
    <r>
      <t xml:space="preserve">Ontario Capital Tax rate decrease and increase in capital deduction for 2009                              </t>
    </r>
    <r>
      <rPr>
        <sz val="10"/>
        <color rgb="FFFF0000"/>
        <rFont val="Arial"/>
        <family val="2"/>
      </rPr>
      <t>Response:  Refer to Note 9 (GSHi rebased May 1, 2009)</t>
    </r>
  </si>
  <si>
    <t>Ontario Capital Tax rate decrease and increase in capital deduction for 2010</t>
  </si>
  <si>
    <t>Capital Cost Allowance class changes from 2006 EDR application for 2006</t>
  </si>
  <si>
    <t>Capital Cost Allowance class changes from 2006 EDR application for 2007</t>
  </si>
  <si>
    <t>Capital Cost Allowance class changes from 2006 EDR application for 2008</t>
  </si>
  <si>
    <t>Capital Cost Allowance class changes from 2006 EDR application for 2009</t>
  </si>
  <si>
    <t>Capital Cost Allowance class changes from 2006 EDR application for 2010</t>
  </si>
  <si>
    <t>Capital Cost Allowance class changes from 2006 EDR application for 2011</t>
  </si>
  <si>
    <t>Capital Cost Allowance class changes from any prior application not recorded above.  Please provide details and explanation separately.</t>
  </si>
  <si>
    <t>Corporate tax rate decrease from 36.12% to 33.50% for 2008 (Jan to April)</t>
  </si>
  <si>
    <t>Corporate tax rate decrease from 33.5% to 33.00% for 2009 (Jan to April)</t>
  </si>
  <si>
    <t>Revise the deferral and variance account continuity schedule to include account 1592 as a group 2 account and enter all relevant information for transactions, adjustments, etc., for all relevant years.</t>
  </si>
  <si>
    <t>Response:  Account 1592 has been included as a Group 2 Account in the continuity schedule</t>
  </si>
  <si>
    <t>Describe each type of tax item that has been recorded in account 1592.</t>
  </si>
  <si>
    <t xml:space="preserve">Response:  Refer to notes (7) to (11) </t>
  </si>
  <si>
    <t>Provide the calculations that show how each item was determined and provide any pertinent supporting evidence and documentation.</t>
  </si>
  <si>
    <t>Please state whether or not the applicant followed the guidance provided in the FAQ of July 2007.  If not, please provide an explanation.</t>
  </si>
  <si>
    <t>Response:  GSHi has followed the guidance provided in the FAQ of July 2007.</t>
  </si>
  <si>
    <t>Identify the account balance as of December 31, 2011 as per the 2011 Audited Financial Statements.  Identify the account balance as of December 31, 2011 as per the April 2012 2.1.7 RRR filing to the Board.  Provide a reconciliation if the balances provided are not identical to each other and to the total shown on the continuity schedule.</t>
  </si>
  <si>
    <t>Response:  The balance in the 2011 audited financial statements and the 2.1.7 RRR filing were both NIL.</t>
  </si>
  <si>
    <t>Complete the above table based on the answers to the previous.  Add rows as required to complete the analysis in an informative manner.  Please provide the completed table as a working Excel spreadsheet.</t>
  </si>
  <si>
    <t>Response:  Completed.</t>
  </si>
  <si>
    <t>Ontario Capital Tax rate decrease and increase in capital deduction for calendar 2007:</t>
  </si>
  <si>
    <t>2006EDR</t>
  </si>
  <si>
    <t>Taxable capital per 2006 EDR</t>
  </si>
  <si>
    <t>Deduction</t>
  </si>
  <si>
    <t>Net taxable capital</t>
  </si>
  <si>
    <t>Ontario Capital tax rate</t>
  </si>
  <si>
    <t>Capital tax</t>
  </si>
  <si>
    <t>Difference  = credit entry to Account 1592 for the year.</t>
  </si>
  <si>
    <t>Ontario Capital Tax rate decrease and increase in capital deduction for calendar 2008:</t>
  </si>
  <si>
    <t>Difference  = credit entry to Account 1592  for the year.</t>
  </si>
  <si>
    <t>Ontario Capital Tax rate decrease and increase in capital deduction for January to April 2009:</t>
  </si>
  <si>
    <t>Taxable capital per 2009 EDR</t>
  </si>
  <si>
    <t>Difference  = credit entry to Account 1592  for the 1st quarter</t>
  </si>
  <si>
    <t>Income tax decrease from 36.12 o 33.50% from January to April 2008</t>
  </si>
  <si>
    <t>2008IRM</t>
  </si>
  <si>
    <t>Regulatory taxable income - per 2006 EDR</t>
  </si>
  <si>
    <t>Corporate income tax rate</t>
  </si>
  <si>
    <t>Income tax</t>
  </si>
  <si>
    <t>/12 x 4</t>
  </si>
  <si>
    <t>Credit entry to Account 1592 for January to April 2008</t>
  </si>
  <si>
    <t>Income tax decrease from 36.12 o 33.50% from January to April 2009</t>
  </si>
  <si>
    <t>Regulatory taxable income - per 2008 IRM</t>
  </si>
  <si>
    <t>Credit entry to Account 1592 for January to April 2009</t>
  </si>
  <si>
    <t>Appendix 2-U</t>
  </si>
  <si>
    <t>One-Time Incremental IFRS Transition Costs</t>
  </si>
  <si>
    <t>The following table should be completed based on the information requested below. An explanation should be provided for any blank entries.  The entries should include one-time incremental IFRS transition costs that are currently included in Account 1508, Other Regulatory Assets, sub-account Deferred IFRS Transition Costs Account, or Account 1508, Other Regulatory Assets, sub-account IFRS Transition Costs Variance Account.</t>
  </si>
  <si>
    <r>
      <t xml:space="preserve">Nature of One-Time Incremental IFRS Transition Costs </t>
    </r>
    <r>
      <rPr>
        <b/>
        <vertAlign val="superscript"/>
        <sz val="10"/>
        <rFont val="Arial"/>
        <family val="2"/>
      </rPr>
      <t>1</t>
    </r>
  </si>
  <si>
    <t>Audited Actual</t>
  </si>
  <si>
    <t>Audited Carrying</t>
  </si>
  <si>
    <t>Total Audited</t>
  </si>
  <si>
    <t>RRR 2.1.7</t>
  </si>
  <si>
    <t xml:space="preserve"> Actual</t>
  </si>
  <si>
    <t>Carrying Charges</t>
  </si>
  <si>
    <t>Reasons why the costs recorded meet the criteria of one-time IFRS administrative incremental costs</t>
  </si>
  <si>
    <t>Costs Incurred</t>
  </si>
  <si>
    <t>Charges</t>
  </si>
  <si>
    <t>Actual Costs</t>
  </si>
  <si>
    <t>Balance</t>
  </si>
  <si>
    <t>Jan 1 2012</t>
  </si>
  <si>
    <t xml:space="preserve">Costs to </t>
  </si>
  <si>
    <t>to Dec 31, 2011</t>
  </si>
  <si>
    <r>
      <t>2011-12-31</t>
    </r>
    <r>
      <rPr>
        <b/>
        <vertAlign val="superscript"/>
        <sz val="9"/>
        <rFont val="Arial"/>
        <family val="2"/>
      </rPr>
      <t>3</t>
    </r>
  </si>
  <si>
    <t xml:space="preserve"> Jan -Dec 31, 2012</t>
  </si>
  <si>
    <t>to April 30 2013</t>
  </si>
  <si>
    <t>April 30 2013</t>
  </si>
  <si>
    <t>professional accounting fees</t>
  </si>
  <si>
    <t>Incremental IFRS professional accounting fees</t>
  </si>
  <si>
    <t>professional legal fees</t>
  </si>
  <si>
    <t>salaries, wages and benefits of staff added to support the transition to IFRS</t>
  </si>
  <si>
    <t>Incremental staff to support transition to IFRS</t>
  </si>
  <si>
    <t>associated staff training and development costs</t>
  </si>
  <si>
    <t>Incremental IFRS training costs</t>
  </si>
  <si>
    <t>costs related to system upgrades, or replacements or changes where IFRS was the major reason for conversion</t>
  </si>
  <si>
    <t>The Deferred IFRS Transition Costs Account and the IFRS Transition Costs Variance Account are exclusively for necessary, incremental transition costs and shall not include ongoing IFRS compliance costs or impacts arising from adopting accounting policy changes that reflect changes in the timing of the recognition of income. The incremental costs in these accounts shall not include costs related to system upgrades, or replacements or changes where IFRS was not the major reason for conversion. In addition, incremental IFRS costs shall not include capital assets or expenditures.</t>
  </si>
  <si>
    <t>Applicants are to provide an explanation of material variances in evidence</t>
  </si>
  <si>
    <t xml:space="preserve">Please note that although 1508 includes other balances, such as HONI incremental capital and OEB costs assessment in the 2.1.7 filing, these have not been included as only the 1508 Sub-account Deferred IFRS Transition Costs are shown. </t>
  </si>
  <si>
    <t>Appendix 2-V</t>
  </si>
  <si>
    <t>Revenue Reconciliation</t>
  </si>
  <si>
    <t>Rate Class</t>
  </si>
  <si>
    <t>Customers/ Connections</t>
  </si>
  <si>
    <t>Number of Customers/Connections</t>
  </si>
  <si>
    <t>Test Year Consumption</t>
  </si>
  <si>
    <t>Proposed Rates</t>
  </si>
  <si>
    <t>Revenues at Proposed Rates</t>
  </si>
  <si>
    <t>Class Specific Revenue Requirement</t>
  </si>
  <si>
    <t>Transformer Allowance Credit</t>
  </si>
  <si>
    <t>Start of Test Year</t>
  </si>
  <si>
    <t>End of Test Year</t>
  </si>
  <si>
    <t>kWh</t>
  </si>
  <si>
    <t>kW</t>
  </si>
  <si>
    <t>Monthly Service Charge</t>
  </si>
  <si>
    <t>Volumetric</t>
  </si>
  <si>
    <t>Customers</t>
  </si>
  <si>
    <t>GS &gt; 50 to 4,999 kW</t>
  </si>
  <si>
    <t>Large Use</t>
  </si>
  <si>
    <t>Streetlighting</t>
  </si>
  <si>
    <t>Connections</t>
  </si>
  <si>
    <t>Standby Power</t>
  </si>
  <si>
    <t>Embedded Distributor Class</t>
  </si>
  <si>
    <t>1       The class specific revenue requirements in column N must be the amounts used in the final rate design process.  The total of column N should equate to the proposed base revenue requirement</t>
  </si>
  <si>
    <t>1 of 8</t>
  </si>
  <si>
    <t>Appendix 2-W</t>
  </si>
  <si>
    <t>Bill Impacts</t>
  </si>
  <si>
    <t>Customer Class:</t>
  </si>
  <si>
    <t>Consumption</t>
  </si>
  <si>
    <t xml:space="preserve"> kWh</t>
  </si>
  <si>
    <t>Current Board-Approved</t>
  </si>
  <si>
    <t>Proposed</t>
  </si>
  <si>
    <t>Impact</t>
  </si>
  <si>
    <t>Charge Unit</t>
  </si>
  <si>
    <t>Rate</t>
  </si>
  <si>
    <t>Volume</t>
  </si>
  <si>
    <t>Charge</t>
  </si>
  <si>
    <t>$ Change</t>
  </si>
  <si>
    <t>% Change</t>
  </si>
  <si>
    <t>Monthly</t>
  </si>
  <si>
    <t>Smart Meter Rate Adder</t>
  </si>
  <si>
    <t>Rate Rider for Late Payment Penalty Litigation Costs</t>
  </si>
  <si>
    <t>Distribution Volumetric Rate</t>
  </si>
  <si>
    <t>Smart Meter Disposition Rider</t>
  </si>
  <si>
    <t>Rate Rider for Loss Revenue Adjustment Mechanism Recovery</t>
  </si>
  <si>
    <t>Rate Rider for Tax Change</t>
  </si>
  <si>
    <t>Stranded Assets Disposition</t>
  </si>
  <si>
    <t>Sub-Total A</t>
  </si>
  <si>
    <t>Rate Rider for Deferral/Variance Account Disposition</t>
  </si>
  <si>
    <t>Low Voltage Service Charge</t>
  </si>
  <si>
    <t>Smart Meter Entity Charge</t>
  </si>
  <si>
    <t>Sub-Total B - Distribution (includes Sub-Total A)</t>
  </si>
  <si>
    <t>RTSR - Network</t>
  </si>
  <si>
    <t>RTSR - Line and Transformation Connection</t>
  </si>
  <si>
    <t>Sub-Total C - Delivery (including Sub-Total B)</t>
  </si>
  <si>
    <t>Wholesale Market Service Charge (WMSC)</t>
  </si>
  <si>
    <t>Rural and Remote Rate Protection (RRRP)</t>
  </si>
  <si>
    <t>Standard Supply Service Charge</t>
  </si>
  <si>
    <t>Debt Retirement Charge (DRC)</t>
  </si>
  <si>
    <t>Energy - RPP - Tier 1</t>
  </si>
  <si>
    <t>Energy - RPP - Tier 2</t>
  </si>
  <si>
    <t>TOU - Off Peak</t>
  </si>
  <si>
    <t>TOU - Mid Peak</t>
  </si>
  <si>
    <t>TOU - On Peak</t>
  </si>
  <si>
    <t>Total Bill on RPP (before Taxes)</t>
  </si>
  <si>
    <t>HST</t>
  </si>
  <si>
    <t>Total Bill (including HST)</t>
  </si>
  <si>
    <t>Ontario Clean Energy Benefit 1</t>
  </si>
  <si>
    <t>Total Bill on RPP (including OCEB)</t>
  </si>
  <si>
    <t>Total Bill on TOU (before Taxes)</t>
  </si>
  <si>
    <t>Total Bill on TOU (including OCEB)</t>
  </si>
  <si>
    <t>Loss Factor (%)</t>
  </si>
  <si>
    <t>1 Applicable to eligible customers only.  Refer to the Ontario Clean Energy Benefit Act, 2010.</t>
  </si>
  <si>
    <t xml:space="preserve">Note that the "Charge $" columns provide breakdowns of the amounts that each bill component contributes to the total monthly bill at the referenced </t>
  </si>
  <si>
    <t>consumption level at existing and proposed rates.</t>
  </si>
  <si>
    <t>Applicants must provide bill impacts for residential at 800 kWh and GS&lt;50kW at 2000 kWh. In addition, their filing should cover the range that is relevant</t>
  </si>
  <si>
    <t>to their service territory, class by class. A general guideline of consumption levels follows:</t>
  </si>
  <si>
    <t>Residential (kWh) - 100, 250, 500, 800, 1000, 1500, 2000</t>
  </si>
  <si>
    <t>GS&lt;50kW (kWh) - 1000, 2000, 5000, 10000, 15000</t>
  </si>
  <si>
    <t>GS&gt;50kW (kW) - 60, 100, 500, 1000</t>
  </si>
  <si>
    <t>Large User - range appropriate for utility</t>
  </si>
  <si>
    <t>Lighting Classes and USL - 150 kWh and 1 kW, range appropriate for utility.</t>
  </si>
  <si>
    <t>2 of 8</t>
  </si>
  <si>
    <t>3 of 8</t>
  </si>
  <si>
    <t>General Service &lt; 50 kW</t>
  </si>
  <si>
    <t>4 of 8</t>
  </si>
  <si>
    <t>5 of 8</t>
  </si>
  <si>
    <t>General Service &gt; 50 to 4999 kW</t>
  </si>
  <si>
    <t>6 of 8</t>
  </si>
  <si>
    <t>7 of 8</t>
  </si>
  <si>
    <t>8 of 8</t>
  </si>
  <si>
    <t>Appendix 2-X</t>
  </si>
  <si>
    <t>Cost of Service Rate Application Schematic</t>
  </si>
  <si>
    <t xml:space="preserve">The Cost of Service Rate Application Schematic is a flowchart appended to Chapter 2 of the Filing Requirements as a guide for the components of an application and how demand and costs interrelate to derive the revenue requirement and then how the revenue requirement is allocated between classes and through fixed/variable splits to derive rates that will be compensatory for the annual revenue requirement, based on the the forecasted demand.  There is no form to be filled out; therefore, this Schedule is not required to be filed. </t>
  </si>
  <si>
    <t>Smart Metering Entity Charge</t>
  </si>
  <si>
    <r>
      <rPr>
        <sz val="10"/>
        <rFont val="Arial"/>
        <family val="2"/>
      </rPr>
      <t>1</t>
    </r>
    <r>
      <rPr>
        <b/>
        <sz val="10"/>
        <rFont val="Arial"/>
        <family val="2"/>
      </rPr>
      <t xml:space="preserve">     </t>
    </r>
    <r>
      <rPr>
        <sz val="10"/>
        <rFont val="Arial"/>
        <family val="2"/>
      </rPr>
      <t>Customer Classification - If proposed rate classes differ from those in place in the previous Cost Allocation study, modify the rate classes to match the current application as closely as possible.</t>
    </r>
  </si>
  <si>
    <t>8 April, 2013</t>
  </si>
  <si>
    <t>8 Apri, 2013</t>
  </si>
  <si>
    <t>Appendix 2-F</t>
  </si>
</sst>
</file>

<file path=xl/styles.xml><?xml version="1.0" encoding="utf-8"?>
<styleSheet xmlns="http://schemas.openxmlformats.org/spreadsheetml/2006/main">
  <numFmts count="31">
    <numFmt numFmtId="41" formatCode="_-* #,##0_-;\-* #,##0_-;_-* &quot;-&quot;_-;_-@_-"/>
    <numFmt numFmtId="44" formatCode="_-&quot;$&quot;* #,##0.00_-;\-&quot;$&quot;* #,##0.00_-;_-&quot;$&quot;* &quot;-&quot;??_-;_-@_-"/>
    <numFmt numFmtId="43" formatCode="_-* #,##0.00_-;\-* #,##0.00_-;_-* &quot;-&quot;??_-;_-@_-"/>
    <numFmt numFmtId="164" formatCode="_(&quot;$&quot;* #,##0_);_(&quot;$&quot;* \(#,##0\);_(&quot;$&quot;* &quot;-&quot;_);_(@_)"/>
    <numFmt numFmtId="165" formatCode="_-* #,##0_-;\-* #,##0_-;_-* &quot;-&quot;??_-;_-@_-"/>
    <numFmt numFmtId="166" formatCode="_-* #,##0.000_-;\-* #,##0.000_-;_-* &quot;-&quot;??_-;_-@_-"/>
    <numFmt numFmtId="167" formatCode="_(&quot;$&quot;* #,##0.00_);_(&quot;$&quot;* \(#,##0.00\);_(&quot;$&quot;* &quot;-&quot;_);_(@_)"/>
    <numFmt numFmtId="168" formatCode="[$-1009]mmmm\ d\,\ yyyy;@"/>
    <numFmt numFmtId="169" formatCode="0_ ;\-0\ "/>
    <numFmt numFmtId="170" formatCode="_(&quot;$&quot;* #,##0_);_(&quot;$&quot;* \(#,##0\);_(&quot;$&quot;* &quot;-&quot;??_);_(@_)"/>
    <numFmt numFmtId="171" formatCode="_-&quot;$&quot;* #,##0_-;\-&quot;$&quot;* #,##0_-;_-&quot;$&quot;* &quot;-&quot;??_-;_-@_-"/>
    <numFmt numFmtId="172" formatCode="0.00%;\(0.00\)%"/>
    <numFmt numFmtId="173" formatCode="0.0%"/>
    <numFmt numFmtId="174" formatCode="_(* #,##0.0_)%;_(* \(#,##0.0\)%;_(\%* &quot;-&quot;_);_(@_)"/>
    <numFmt numFmtId="175" formatCode="0.0"/>
    <numFmt numFmtId="176" formatCode="_-* #,##0.0_-;\-* #,##0.0_-;_-* &quot;-&quot;??_-;_-@_-"/>
    <numFmt numFmtId="177" formatCode="\(#\)"/>
    <numFmt numFmtId="178" formatCode="&quot;$&quot;#,##0_);[Red]\(&quot;$&quot;#,##0\);&quot;$&quot;\ \-"/>
    <numFmt numFmtId="179" formatCode="[$-1009]d\-mmm\-yy;@"/>
    <numFmt numFmtId="180" formatCode="0.0000"/>
    <numFmt numFmtId="181" formatCode="_-* #,##0.00000000_-;\-* #,##0.00000000_-;_-* &quot;-&quot;_-;_-@_-"/>
    <numFmt numFmtId="182" formatCode="_(&quot;$&quot;* #,##0._);_(&quot;$&quot;* \(#,##0\);_(&quot;$&quot;* &quot;-&quot;_);_(@_)"/>
    <numFmt numFmtId="183" formatCode="_-* #,##0.00000_-;\-* #,##0.00000_-;_-* &quot;-&quot;??_-;_-@_-"/>
    <numFmt numFmtId="184" formatCode="_(&quot;$&quot;* #,##0._);_(&quot;$&quot;* \(#,##0.00\);_(&quot;$&quot;* &quot;-&quot;_);_(@_)"/>
    <numFmt numFmtId="185" formatCode="_-&quot;$&quot;* #,##0.0000_-;\-&quot;$&quot;* #,##0.0000_-;_-&quot;$&quot;* &quot;-&quot;??_-;_-@_-"/>
    <numFmt numFmtId="186" formatCode="_(&quot;$&quot;* #,##0.00_);_(&quot;$&quot;* \(#,##0.00\);_(&quot;$&quot;* &quot;-&quot;??_);_(@_)"/>
    <numFmt numFmtId="187" formatCode="&quot;$&quot;#.;\(&quot;$&quot;#,\)"/>
    <numFmt numFmtId="188" formatCode="&quot;$&quot;#,##0.00_);[Red]\(&quot;$&quot;#,##0.00\)"/>
    <numFmt numFmtId="189" formatCode="_(* #,##0.00_);_(* \(#,##0.00\);_(* &quot;-&quot;??_);_(@_)"/>
    <numFmt numFmtId="190" formatCode="&quot;$&quot;#,##0_);\(&quot;$&quot;#,##0\)"/>
    <numFmt numFmtId="191" formatCode="&quot;Actual Shipments through&quot;\ m/d/yy"/>
  </numFmts>
  <fonts count="76">
    <font>
      <sz val="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color rgb="FF000000"/>
      <name val="Arial"/>
      <family val="2"/>
    </font>
    <font>
      <b/>
      <sz val="10"/>
      <color theme="3"/>
      <name val="Arial"/>
      <family val="2"/>
    </font>
    <font>
      <b/>
      <sz val="11"/>
      <color theme="1"/>
      <name val="Arial"/>
      <family val="2"/>
    </font>
    <font>
      <u/>
      <sz val="10"/>
      <color indexed="12"/>
      <name val="Arial"/>
      <family val="2"/>
    </font>
    <font>
      <b/>
      <u/>
      <sz val="10"/>
      <name val="Arial"/>
      <family val="2"/>
    </font>
    <font>
      <b/>
      <u/>
      <sz val="14"/>
      <name val="Arial"/>
      <family val="2"/>
    </font>
    <font>
      <b/>
      <sz val="10"/>
      <name val="Arial"/>
      <family val="2"/>
    </font>
    <font>
      <b/>
      <u/>
      <sz val="10"/>
      <color indexed="12"/>
      <name val="Arial"/>
      <family val="2"/>
    </font>
    <font>
      <sz val="20"/>
      <name val="Arial"/>
      <family val="2"/>
    </font>
    <font>
      <strike/>
      <sz val="10"/>
      <name val="Arial"/>
      <family val="2"/>
    </font>
    <font>
      <b/>
      <strike/>
      <sz val="10"/>
      <name val="Arial"/>
      <family val="2"/>
    </font>
    <font>
      <b/>
      <i/>
      <sz val="10"/>
      <name val="Arial"/>
      <family val="2"/>
    </font>
    <font>
      <b/>
      <sz val="14"/>
      <name val="Arial"/>
      <family val="2"/>
    </font>
    <font>
      <sz val="8"/>
      <name val="Arial"/>
      <family val="2"/>
    </font>
    <font>
      <i/>
      <sz val="10"/>
      <name val="Arial"/>
      <family val="2"/>
    </font>
    <font>
      <b/>
      <sz val="11"/>
      <name val="Arial"/>
      <family val="2"/>
    </font>
    <font>
      <b/>
      <u/>
      <sz val="11"/>
      <name val="Arial"/>
      <family val="2"/>
    </font>
    <font>
      <b/>
      <sz val="10"/>
      <color indexed="10"/>
      <name val="Arial"/>
      <family val="2"/>
    </font>
    <font>
      <b/>
      <sz val="12"/>
      <name val="Arial"/>
      <family val="2"/>
    </font>
    <font>
      <b/>
      <vertAlign val="superscript"/>
      <sz val="10"/>
      <name val="Arial"/>
      <family val="2"/>
    </font>
    <font>
      <vertAlign val="superscript"/>
      <sz val="10"/>
      <name val="Arial"/>
      <family val="2"/>
    </font>
    <font>
      <sz val="7"/>
      <color rgb="FFFF0000"/>
      <name val="Arial"/>
      <family val="2"/>
    </font>
    <font>
      <b/>
      <i/>
      <sz val="10"/>
      <color rgb="FFFF0000"/>
      <name val="Arial"/>
      <family val="2"/>
    </font>
    <font>
      <b/>
      <u/>
      <sz val="14"/>
      <color indexed="10"/>
      <name val="Arial"/>
      <family val="2"/>
    </font>
    <font>
      <sz val="9"/>
      <name val="Arial"/>
      <family val="2"/>
    </font>
    <font>
      <b/>
      <sz val="9"/>
      <name val="Arial"/>
      <family val="2"/>
    </font>
    <font>
      <b/>
      <i/>
      <sz val="9"/>
      <color rgb="FFFF0000"/>
      <name val="Arial"/>
      <family val="2"/>
    </font>
    <font>
      <sz val="9"/>
      <color theme="1"/>
      <name val="Arial"/>
      <family val="2"/>
    </font>
    <font>
      <b/>
      <sz val="9"/>
      <color theme="1"/>
      <name val="Arial"/>
      <family val="2"/>
    </font>
    <font>
      <b/>
      <sz val="9"/>
      <color indexed="81"/>
      <name val="Tahoma"/>
      <family val="2"/>
    </font>
    <font>
      <sz val="9"/>
      <color indexed="81"/>
      <name val="Tahoma"/>
      <family val="2"/>
    </font>
    <font>
      <b/>
      <sz val="10"/>
      <color rgb="FFFF0000"/>
      <name val="Arial"/>
      <family val="2"/>
    </font>
    <font>
      <sz val="10"/>
      <color indexed="9"/>
      <name val="Arial"/>
      <family val="2"/>
    </font>
    <font>
      <u/>
      <sz val="10"/>
      <name val="Arial"/>
      <family val="2"/>
    </font>
    <font>
      <sz val="10"/>
      <color indexed="10"/>
      <name val="Arial"/>
      <family val="2"/>
    </font>
    <font>
      <sz val="10"/>
      <color rgb="FFFF0000"/>
      <name val="Arial"/>
      <family val="2"/>
    </font>
    <font>
      <b/>
      <vertAlign val="superscript"/>
      <sz val="9"/>
      <name val="Arial"/>
      <family val="2"/>
    </font>
    <font>
      <sz val="16"/>
      <color indexed="12"/>
      <name val="Algerian"/>
      <family val="5"/>
    </font>
    <font>
      <sz val="14"/>
      <name val="Arial"/>
      <family val="2"/>
    </font>
    <font>
      <sz val="8"/>
      <name val="Times New Roman"/>
      <family val="1"/>
    </font>
    <font>
      <sz val="12"/>
      <name val="Tms Rmn"/>
    </font>
    <font>
      <sz val="10"/>
      <name val="Geneva"/>
    </font>
    <font>
      <sz val="10"/>
      <name val="Helv"/>
    </font>
    <font>
      <condense/>
      <extend/>
      <outline/>
      <sz val="10"/>
      <name val="Calibri"/>
      <family val="2"/>
    </font>
    <font>
      <sz val="11"/>
      <color indexed="8"/>
      <name val="Calibri"/>
      <family val="2"/>
    </font>
    <font>
      <sz val="10"/>
      <name val="MS Serif"/>
      <family val="1"/>
    </font>
    <font>
      <sz val="10"/>
      <color indexed="16"/>
      <name val="MS Serif"/>
      <family val="1"/>
    </font>
    <font>
      <b/>
      <sz val="12"/>
      <color indexed="9"/>
      <name val="Tms Rmn"/>
    </font>
    <font>
      <b/>
      <sz val="8"/>
      <name val="MS Sans Serif"/>
      <family val="2"/>
    </font>
    <font>
      <sz val="11"/>
      <color theme="1"/>
      <name val="Calibri"/>
      <family val="2"/>
    </font>
    <font>
      <sz val="9"/>
      <name val="Pica Compressed"/>
    </font>
    <font>
      <sz val="10"/>
      <name val="MS Sans Serif"/>
      <family val="2"/>
    </font>
    <font>
      <sz val="8"/>
      <name val="Wingdings"/>
      <charset val="2"/>
    </font>
    <font>
      <sz val="8"/>
      <name val="Helv"/>
    </font>
    <font>
      <sz val="8"/>
      <name val="MS Sans Serif"/>
      <family val="2"/>
    </font>
    <font>
      <b/>
      <sz val="8"/>
      <color indexed="8"/>
      <name val="Helv"/>
    </font>
    <font>
      <sz val="10"/>
      <name val="Arial"/>
    </font>
  </fonts>
  <fills count="5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6" tint="0.79998168889431442"/>
        <bgColor indexed="64"/>
      </patternFill>
    </fill>
    <fill>
      <patternFill patternType="solid">
        <fgColor indexed="9"/>
        <bgColor indexed="64"/>
      </patternFill>
    </fill>
    <fill>
      <patternFill patternType="lightUp">
        <bgColor indexed="22"/>
      </patternFill>
    </fill>
    <fill>
      <patternFill patternType="solid">
        <fgColor indexed="8"/>
        <bgColor indexed="64"/>
      </patternFill>
    </fill>
    <fill>
      <patternFill patternType="solid">
        <fgColor indexed="42"/>
        <bgColor indexed="64"/>
      </patternFill>
    </fill>
    <fill>
      <patternFill patternType="lightUp">
        <bgColor theme="0" tint="-0.249977111117893"/>
      </patternFill>
    </fill>
    <fill>
      <patternFill patternType="lightDown">
        <bgColor theme="0" tint="-0.249977111117893"/>
      </patternFill>
    </fill>
    <fill>
      <patternFill patternType="solid">
        <fgColor indexed="22"/>
        <bgColor indexed="64"/>
      </patternFill>
    </fill>
    <fill>
      <patternFill patternType="solid">
        <fgColor theme="0"/>
        <bgColor indexed="64"/>
      </patternFill>
    </fill>
    <fill>
      <patternFill patternType="lightDown">
        <bgColor indexed="55"/>
      </patternFill>
    </fill>
    <fill>
      <patternFill patternType="lightDown">
        <bgColor theme="0" tint="-0.34998626667073579"/>
      </patternFill>
    </fill>
    <fill>
      <patternFill patternType="solid">
        <fgColor rgb="FFFFFF00"/>
        <bgColor indexed="64"/>
      </patternFill>
    </fill>
    <fill>
      <patternFill patternType="lightDown">
        <bgColor indexed="22"/>
      </patternFill>
    </fill>
    <fill>
      <patternFill patternType="solid">
        <fgColor theme="0" tint="-4.9989318521683403E-2"/>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indexed="65"/>
        <bgColor indexed="64"/>
      </patternFill>
    </fill>
    <fill>
      <patternFill patternType="solid">
        <fgColor indexed="26"/>
        <bgColor indexed="64"/>
      </patternFill>
    </fill>
    <fill>
      <patternFill patternType="solid">
        <fgColor indexed="26"/>
      </patternFill>
    </fill>
    <fill>
      <patternFill patternType="darkVertical"/>
    </fill>
  </fills>
  <borders count="1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ck">
        <color theme="0" tint="-0.34998626667073579"/>
      </left>
      <right/>
      <top style="thick">
        <color theme="0" tint="-0.34998626667073579"/>
      </top>
      <bottom style="thick">
        <color theme="0" tint="-4.9989318521683403E-2"/>
      </bottom>
      <diagonal/>
    </border>
    <border>
      <left/>
      <right/>
      <top style="thick">
        <color theme="0" tint="-0.34998626667073579"/>
      </top>
      <bottom style="thick">
        <color theme="0" tint="-4.9989318521683403E-2"/>
      </bottom>
      <diagonal/>
    </border>
    <border>
      <left/>
      <right style="thick">
        <color theme="0" tint="-4.9989318521683403E-2"/>
      </right>
      <top style="thick">
        <color theme="0" tint="-0.34998626667073579"/>
      </top>
      <bottom style="thick">
        <color theme="0" tint="-4.9989318521683403E-2"/>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bottom style="thin">
        <color theme="0"/>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style="medium">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style="medium">
        <color indexed="64"/>
      </right>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double">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style="thin">
        <color indexed="22"/>
      </left>
      <right style="thin">
        <color indexed="22"/>
      </right>
      <top style="thin">
        <color indexed="22"/>
      </top>
      <bottom style="thin">
        <color indexed="22"/>
      </bottom>
      <diagonal/>
    </border>
    <border>
      <left/>
      <right/>
      <top style="double">
        <color indexed="0"/>
      </top>
      <bottom/>
      <diagonal/>
    </border>
  </borders>
  <cellStyleXfs count="199">
    <xf numFmtId="0" fontId="0" fillId="0" borderId="0"/>
    <xf numFmtId="43" fontId="18" fillId="0" borderId="0" applyFont="0" applyFill="0" applyBorder="0" applyAlignment="0" applyProtection="0"/>
    <xf numFmtId="44" fontId="18" fillId="0" borderId="0" applyFont="0" applyFill="0" applyBorder="0" applyAlignment="0" applyProtection="0"/>
    <xf numFmtId="9" fontId="18" fillId="0" borderId="0" applyFont="0" applyFill="0" applyBorder="0" applyAlignment="0" applyProtection="0"/>
    <xf numFmtId="0" fontId="22" fillId="0" borderId="0" applyNumberFormat="0" applyFill="0" applyBorder="0" applyAlignment="0" applyProtection="0">
      <alignment vertical="top"/>
      <protection locked="0"/>
    </xf>
    <xf numFmtId="0" fontId="18" fillId="0" borderId="0"/>
    <xf numFmtId="0" fontId="18" fillId="0" borderId="0"/>
    <xf numFmtId="0" fontId="1" fillId="0" borderId="0"/>
    <xf numFmtId="44" fontId="18" fillId="0" borderId="0" applyFont="0" applyFill="0" applyBorder="0" applyAlignment="0" applyProtection="0"/>
    <xf numFmtId="9" fontId="18" fillId="0" borderId="0" applyFont="0" applyFill="0" applyBorder="0" applyAlignment="0" applyProtection="0"/>
    <xf numFmtId="43" fontId="1" fillId="0" borderId="0" applyFont="0" applyFill="0" applyBorder="0" applyAlignment="0" applyProtection="0"/>
    <xf numFmtId="0" fontId="1" fillId="0" borderId="0"/>
    <xf numFmtId="186" fontId="18" fillId="0" borderId="0" applyFont="0" applyFill="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58" fillId="0" borderId="0">
      <alignment horizontal="center" wrapText="1"/>
      <protection locked="0"/>
    </xf>
    <xf numFmtId="0" fontId="7" fillId="3" borderId="0" applyNumberFormat="0" applyBorder="0" applyAlignment="0" applyProtection="0"/>
    <xf numFmtId="0" fontId="59" fillId="0" borderId="0" applyNumberFormat="0" applyFill="0" applyBorder="0" applyAlignment="0" applyProtection="0"/>
    <xf numFmtId="187" fontId="60" fillId="0" borderId="0" applyFill="0" applyBorder="0" applyAlignment="0"/>
    <xf numFmtId="0" fontId="11" fillId="6" borderId="4" applyNumberFormat="0" applyAlignment="0" applyProtection="0"/>
    <xf numFmtId="0" fontId="13" fillId="7" borderId="7" applyNumberFormat="0" applyAlignment="0" applyProtection="0"/>
    <xf numFmtId="188"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43" fontId="18" fillId="0" borderId="0" applyFont="0" applyFill="0" applyBorder="0" applyAlignment="0" applyProtection="0"/>
    <xf numFmtId="4" fontId="61" fillId="0" borderId="0" applyFont="0" applyFill="0" applyBorder="0" applyAlignment="0" applyProtection="0"/>
    <xf numFmtId="43" fontId="1" fillId="0" borderId="0" applyFont="0" applyFill="0" applyBorder="0" applyAlignment="0" applyProtection="0"/>
    <xf numFmtId="43" fontId="62" fillId="0" borderId="0" applyFont="0" applyFill="0" applyBorder="0" applyAlignment="0" applyProtection="0"/>
    <xf numFmtId="188"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9" fontId="63"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3" fontId="18" fillId="0" borderId="0" applyFont="0" applyFill="0" applyBorder="0" applyAlignment="0" applyProtection="0"/>
    <xf numFmtId="0" fontId="64" fillId="0" borderId="0" applyNumberFormat="0" applyAlignment="0">
      <alignment horizontal="left"/>
    </xf>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90" fontId="18" fillId="0" borderId="0" applyFont="0" applyFill="0" applyBorder="0" applyAlignment="0" applyProtection="0"/>
    <xf numFmtId="190" fontId="18" fillId="0" borderId="0" applyFont="0" applyFill="0" applyBorder="0" applyAlignment="0" applyProtection="0"/>
    <xf numFmtId="190" fontId="18" fillId="0" borderId="0" applyFont="0" applyFill="0" applyBorder="0" applyAlignment="0" applyProtection="0"/>
    <xf numFmtId="14" fontId="18" fillId="0" borderId="0" applyFont="0" applyFill="0" applyBorder="0" applyAlignment="0" applyProtection="0"/>
    <xf numFmtId="14" fontId="18" fillId="0" borderId="0" applyFont="0" applyFill="0" applyBorder="0" applyAlignment="0" applyProtection="0"/>
    <xf numFmtId="14" fontId="18" fillId="0" borderId="0" applyFont="0" applyFill="0" applyBorder="0" applyAlignment="0" applyProtection="0"/>
    <xf numFmtId="0" fontId="65" fillId="0" borderId="0" applyNumberFormat="0" applyAlignment="0">
      <alignment horizontal="left"/>
    </xf>
    <xf numFmtId="0" fontId="15" fillId="0" borderId="0" applyNumberForma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2" fontId="18" fillId="0" borderId="0" applyFont="0" applyFill="0" applyBorder="0" applyAlignment="0" applyProtection="0"/>
    <xf numFmtId="0" fontId="6" fillId="2" borderId="0" applyNumberFormat="0" applyBorder="0" applyAlignment="0" applyProtection="0"/>
    <xf numFmtId="38" fontId="32" fillId="41" borderId="0" applyNumberFormat="0" applyBorder="0" applyAlignment="0" applyProtection="0"/>
    <xf numFmtId="0" fontId="66" fillId="50" borderId="0"/>
    <xf numFmtId="0" fontId="37" fillId="0" borderId="103" applyNumberFormat="0" applyAlignment="0" applyProtection="0">
      <alignment horizontal="left" vertical="center"/>
    </xf>
    <xf numFmtId="0" fontId="37" fillId="0" borderId="31">
      <alignment horizontal="left" vertical="center"/>
    </xf>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7" fillId="0" borderId="68">
      <alignment horizontal="center"/>
    </xf>
    <xf numFmtId="0" fontId="67" fillId="0" borderId="0">
      <alignment horizontal="center"/>
    </xf>
    <xf numFmtId="10" fontId="32" fillId="51" borderId="24" applyNumberFormat="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191" fontId="18" fillId="0" borderId="0"/>
    <xf numFmtId="0" fontId="68" fillId="0" borderId="0"/>
    <xf numFmtId="0" fontId="18" fillId="0" borderId="0"/>
    <xf numFmtId="0" fontId="1" fillId="0" borderId="0"/>
    <xf numFmtId="0" fontId="1" fillId="0" borderId="0"/>
    <xf numFmtId="0" fontId="18" fillId="0" borderId="0"/>
    <xf numFmtId="0" fontId="69" fillId="0" borderId="0"/>
    <xf numFmtId="0" fontId="18" fillId="0" borderId="0"/>
    <xf numFmtId="0" fontId="18" fillId="52" borderId="127" applyNumberFormat="0" applyFont="0" applyAlignment="0" applyProtection="0"/>
    <xf numFmtId="0" fontId="18" fillId="52" borderId="127" applyNumberFormat="0" applyFont="0" applyAlignment="0" applyProtection="0"/>
    <xf numFmtId="0" fontId="18" fillId="52" borderId="127" applyNumberFormat="0" applyFont="0" applyAlignment="0" applyProtection="0"/>
    <xf numFmtId="0" fontId="18" fillId="52" borderId="127" applyNumberFormat="0" applyFont="0" applyAlignment="0" applyProtection="0"/>
    <xf numFmtId="0" fontId="18" fillId="52" borderId="127" applyNumberFormat="0" applyFont="0" applyAlignment="0" applyProtection="0"/>
    <xf numFmtId="0" fontId="18" fillId="52" borderId="127" applyNumberFormat="0" applyFont="0" applyAlignment="0" applyProtection="0"/>
    <xf numFmtId="0" fontId="18" fillId="52" borderId="127" applyNumberFormat="0" applyFont="0" applyAlignment="0" applyProtection="0"/>
    <xf numFmtId="0" fontId="18" fillId="52" borderId="127" applyNumberFormat="0" applyFont="0" applyAlignment="0" applyProtection="0"/>
    <xf numFmtId="0" fontId="18" fillId="52" borderId="127" applyNumberFormat="0" applyFont="0" applyAlignment="0" applyProtection="0"/>
    <xf numFmtId="0" fontId="18" fillId="52" borderId="127"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8" fillId="52" borderId="127" applyNumberFormat="0" applyFont="0" applyAlignment="0" applyProtection="0"/>
    <xf numFmtId="0" fontId="18" fillId="52" borderId="127" applyNumberFormat="0" applyFont="0" applyAlignment="0" applyProtection="0"/>
    <xf numFmtId="0" fontId="18" fillId="52" borderId="127" applyNumberFormat="0" applyFont="0" applyAlignment="0" applyProtection="0"/>
    <xf numFmtId="0" fontId="18" fillId="52" borderId="127" applyNumberFormat="0" applyFont="0" applyAlignment="0" applyProtection="0"/>
    <xf numFmtId="0" fontId="18" fillId="52" borderId="127" applyNumberFormat="0" applyFont="0" applyAlignment="0" applyProtection="0"/>
    <xf numFmtId="0" fontId="18" fillId="52" borderId="127" applyNumberFormat="0" applyFont="0" applyAlignment="0" applyProtection="0"/>
    <xf numFmtId="0" fontId="18" fillId="52" borderId="127" applyNumberFormat="0" applyFont="0" applyAlignment="0" applyProtection="0"/>
    <xf numFmtId="0" fontId="18" fillId="52" borderId="127" applyNumberFormat="0" applyFont="0" applyAlignment="0" applyProtection="0"/>
    <xf numFmtId="0" fontId="18" fillId="52" borderId="127" applyNumberFormat="0" applyFont="0" applyAlignment="0" applyProtection="0"/>
    <xf numFmtId="0" fontId="18" fillId="52" borderId="127" applyNumberFormat="0" applyFont="0" applyAlignment="0" applyProtection="0"/>
    <xf numFmtId="0" fontId="18" fillId="52" borderId="127" applyNumberFormat="0" applyFont="0" applyAlignment="0" applyProtection="0"/>
    <xf numFmtId="0" fontId="18" fillId="52" borderId="127" applyNumberFormat="0" applyFont="0" applyAlignment="0" applyProtection="0"/>
    <xf numFmtId="0" fontId="18" fillId="52" borderId="127" applyNumberFormat="0" applyFont="0" applyAlignment="0" applyProtection="0"/>
    <xf numFmtId="0" fontId="18" fillId="52" borderId="127" applyNumberFormat="0" applyFont="0" applyAlignment="0" applyProtection="0"/>
    <xf numFmtId="0" fontId="18" fillId="52" borderId="127" applyNumberFormat="0" applyFont="0" applyAlignment="0" applyProtection="0"/>
    <xf numFmtId="0" fontId="18" fillId="52" borderId="127" applyNumberFormat="0" applyFont="0" applyAlignment="0" applyProtection="0"/>
    <xf numFmtId="0" fontId="18" fillId="52" borderId="127" applyNumberFormat="0" applyFont="0" applyAlignment="0" applyProtection="0"/>
    <xf numFmtId="0" fontId="18" fillId="52" borderId="127" applyNumberFormat="0" applyFont="0" applyAlignment="0" applyProtection="0"/>
    <xf numFmtId="0" fontId="18" fillId="52" borderId="127" applyNumberFormat="0" applyFont="0" applyAlignment="0" applyProtection="0"/>
    <xf numFmtId="0" fontId="18" fillId="52" borderId="127" applyNumberFormat="0" applyFont="0" applyAlignment="0" applyProtection="0"/>
    <xf numFmtId="0" fontId="18" fillId="52" borderId="127" applyNumberFormat="0" applyFont="0" applyAlignment="0" applyProtection="0"/>
    <xf numFmtId="0" fontId="18" fillId="52" borderId="127" applyNumberFormat="0" applyFont="0" applyAlignment="0" applyProtection="0"/>
    <xf numFmtId="0" fontId="18" fillId="52" borderId="127" applyNumberFormat="0" applyFont="0" applyAlignment="0" applyProtection="0"/>
    <xf numFmtId="0" fontId="18" fillId="52" borderId="127" applyNumberFormat="0" applyFont="0" applyAlignment="0" applyProtection="0"/>
    <xf numFmtId="0" fontId="18" fillId="52" borderId="127" applyNumberFormat="0" applyFont="0" applyAlignment="0" applyProtection="0"/>
    <xf numFmtId="0" fontId="18" fillId="52" borderId="127" applyNumberFormat="0" applyFont="0" applyAlignment="0" applyProtection="0"/>
    <xf numFmtId="0" fontId="18" fillId="52" borderId="127" applyNumberFormat="0" applyFont="0" applyAlignment="0" applyProtection="0"/>
    <xf numFmtId="0" fontId="18" fillId="52" borderId="127" applyNumberFormat="0" applyFont="0" applyAlignment="0" applyProtection="0"/>
    <xf numFmtId="0" fontId="18" fillId="52" borderId="127" applyNumberFormat="0" applyFont="0" applyAlignment="0" applyProtection="0"/>
    <xf numFmtId="0" fontId="18" fillId="52" borderId="127" applyNumberFormat="0" applyFont="0" applyAlignment="0" applyProtection="0"/>
    <xf numFmtId="0" fontId="18" fillId="52" borderId="127" applyNumberFormat="0" applyFont="0" applyAlignment="0" applyProtection="0"/>
    <xf numFmtId="0" fontId="18" fillId="52" borderId="127" applyNumberFormat="0" applyFont="0" applyAlignment="0" applyProtection="0"/>
    <xf numFmtId="0" fontId="18" fillId="52" borderId="127" applyNumberFormat="0" applyFont="0" applyAlignment="0" applyProtection="0"/>
    <xf numFmtId="0" fontId="10" fillId="6" borderId="5" applyNumberFormat="0" applyAlignment="0" applyProtection="0"/>
    <xf numFmtId="14" fontId="58" fillId="0" borderId="0">
      <alignment horizontal="center" wrapText="1"/>
      <protection locked="0"/>
    </xf>
    <xf numFmtId="10"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70" fillId="0" borderId="0" applyNumberFormat="0" applyFont="0" applyFill="0" applyBorder="0" applyAlignment="0" applyProtection="0">
      <alignment horizontal="left"/>
    </xf>
    <xf numFmtId="0" fontId="71" fillId="53" borderId="0" applyNumberFormat="0" applyFont="0" applyBorder="0" applyAlignment="0">
      <alignment horizontal="center"/>
    </xf>
    <xf numFmtId="14" fontId="72" fillId="0" borderId="0" applyNumberFormat="0" applyFill="0" applyBorder="0" applyAlignment="0" applyProtection="0">
      <alignment horizontal="left"/>
    </xf>
    <xf numFmtId="0" fontId="71" fillId="1" borderId="31" applyNumberFormat="0" applyFont="0" applyAlignment="0">
      <alignment horizontal="center"/>
    </xf>
    <xf numFmtId="0" fontId="73" fillId="0" borderId="0" applyNumberFormat="0" applyFill="0" applyBorder="0" applyAlignment="0">
      <alignment horizontal="center"/>
    </xf>
    <xf numFmtId="40" fontId="74" fillId="0" borderId="0" applyBorder="0">
      <alignment horizontal="right"/>
    </xf>
    <xf numFmtId="0" fontId="2" fillId="0" borderId="0" applyNumberFormat="0" applyFill="0" applyBorder="0" applyAlignment="0" applyProtection="0"/>
    <xf numFmtId="0" fontId="16" fillId="0" borderId="9" applyNumberFormat="0" applyFill="0" applyAlignment="0" applyProtection="0"/>
    <xf numFmtId="0" fontId="18" fillId="0" borderId="128" applyNumberFormat="0" applyFont="0" applyBorder="0" applyAlignment="0" applyProtection="0"/>
    <xf numFmtId="0" fontId="14" fillId="0" borderId="0" applyNumberFormat="0" applyFill="0" applyBorder="0" applyAlignment="0" applyProtection="0"/>
    <xf numFmtId="0" fontId="75" fillId="0" borderId="0"/>
  </cellStyleXfs>
  <cellXfs count="1498">
    <xf numFmtId="0" fontId="0" fillId="0" borderId="0" xfId="0"/>
    <xf numFmtId="0" fontId="19" fillId="0" borderId="0" xfId="0" applyFont="1" applyFill="1" applyBorder="1" applyAlignment="1">
      <alignment vertical="top"/>
    </xf>
    <xf numFmtId="0" fontId="20" fillId="0" borderId="0" xfId="0" applyFont="1"/>
    <xf numFmtId="0" fontId="21" fillId="0" borderId="0" xfId="0" applyFont="1" applyAlignment="1" applyProtection="1">
      <alignment horizontal="right" vertical="center"/>
    </xf>
    <xf numFmtId="0" fontId="18" fillId="0" borderId="0" xfId="0" applyFont="1" applyAlignment="1" applyProtection="1">
      <alignment horizontal="right" vertical="center"/>
    </xf>
    <xf numFmtId="0" fontId="0" fillId="0" borderId="0" xfId="0" applyAlignment="1" applyProtection="1">
      <alignment vertical="center"/>
    </xf>
    <xf numFmtId="0" fontId="0" fillId="0" borderId="0" xfId="0" applyFill="1" applyAlignment="1" applyProtection="1">
      <alignment vertical="center"/>
    </xf>
    <xf numFmtId="0" fontId="0" fillId="0" borderId="0" xfId="0" applyProtection="1"/>
    <xf numFmtId="0" fontId="21" fillId="0" borderId="0" xfId="0" applyFont="1" applyAlignment="1" applyProtection="1">
      <alignment horizontal="right" vertical="center" indent="1"/>
    </xf>
    <xf numFmtId="0" fontId="18" fillId="0" borderId="0" xfId="0" applyFont="1" applyProtection="1"/>
    <xf numFmtId="0" fontId="18" fillId="0" borderId="0" xfId="0" applyFont="1"/>
    <xf numFmtId="0" fontId="18" fillId="0" borderId="0" xfId="0" applyFont="1" applyAlignment="1">
      <alignment horizontal="right" indent="1"/>
    </xf>
    <xf numFmtId="0" fontId="23" fillId="0" borderId="0" xfId="0" applyFont="1"/>
    <xf numFmtId="0" fontId="0" fillId="34" borderId="16" xfId="0" applyFill="1" applyBorder="1"/>
    <xf numFmtId="0" fontId="0" fillId="33" borderId="16" xfId="0" applyFill="1" applyBorder="1"/>
    <xf numFmtId="0" fontId="0" fillId="0" borderId="0" xfId="0" applyAlignment="1">
      <alignment wrapText="1"/>
    </xf>
    <xf numFmtId="0" fontId="0" fillId="0" borderId="16" xfId="0" applyBorder="1"/>
    <xf numFmtId="0" fontId="24" fillId="0" borderId="0" xfId="0" applyFont="1"/>
    <xf numFmtId="0" fontId="25" fillId="0" borderId="0" xfId="0" applyFont="1" applyAlignment="1">
      <alignment horizontal="center"/>
    </xf>
    <xf numFmtId="0" fontId="26" fillId="0" borderId="0" xfId="4" quotePrefix="1" applyFont="1" applyAlignment="1" applyProtection="1">
      <alignment horizontal="center"/>
    </xf>
    <xf numFmtId="0" fontId="27" fillId="0" borderId="0" xfId="0" applyFont="1" applyAlignment="1">
      <alignment horizontal="left" vertical="top" indent="1"/>
    </xf>
    <xf numFmtId="0" fontId="25" fillId="0" borderId="0" xfId="0" applyFont="1"/>
    <xf numFmtId="0" fontId="18" fillId="0" borderId="0" xfId="4" applyFont="1" applyAlignment="1" applyProtection="1"/>
    <xf numFmtId="0" fontId="28" fillId="0" borderId="0" xfId="0" applyFont="1"/>
    <xf numFmtId="0" fontId="29" fillId="0" borderId="0" xfId="0" applyFont="1"/>
    <xf numFmtId="0" fontId="30" fillId="0" borderId="0" xfId="0" applyFont="1" applyFill="1" applyBorder="1"/>
    <xf numFmtId="0" fontId="0" fillId="0" borderId="0" xfId="0" applyFill="1" applyBorder="1"/>
    <xf numFmtId="0" fontId="22" fillId="0" borderId="0" xfId="4" applyAlignment="1" applyProtection="1"/>
    <xf numFmtId="0" fontId="0" fillId="0" borderId="0" xfId="0" applyFill="1" applyBorder="1" applyAlignment="1">
      <alignment wrapText="1"/>
    </xf>
    <xf numFmtId="0" fontId="31" fillId="0" borderId="0" xfId="5" applyFont="1"/>
    <xf numFmtId="0" fontId="18" fillId="0" borderId="0" xfId="5"/>
    <xf numFmtId="0" fontId="25" fillId="0" borderId="0" xfId="5" applyFont="1"/>
    <xf numFmtId="0" fontId="32" fillId="0" borderId="0" xfId="5" applyFont="1" applyAlignment="1">
      <alignment horizontal="right" vertical="top"/>
    </xf>
    <xf numFmtId="0" fontId="32" fillId="34" borderId="18" xfId="5" applyFont="1" applyFill="1" applyBorder="1" applyAlignment="1">
      <alignment horizontal="right" vertical="top"/>
    </xf>
    <xf numFmtId="0" fontId="32" fillId="34" borderId="0" xfId="5" applyFont="1" applyFill="1" applyAlignment="1">
      <alignment horizontal="right" vertical="top"/>
    </xf>
    <xf numFmtId="15" fontId="32" fillId="34" borderId="0" xfId="5" applyNumberFormat="1" applyFont="1" applyFill="1" applyAlignment="1">
      <alignment horizontal="right" vertical="top"/>
    </xf>
    <xf numFmtId="0" fontId="31" fillId="0" borderId="0" xfId="5" applyFont="1" applyAlignment="1"/>
    <xf numFmtId="0" fontId="18" fillId="0" borderId="0" xfId="5" applyAlignment="1">
      <alignment horizontal="left" wrapText="1"/>
    </xf>
    <xf numFmtId="0" fontId="25" fillId="0" borderId="0" xfId="5" applyFont="1" applyAlignment="1">
      <alignment horizontal="center" wrapText="1"/>
    </xf>
    <xf numFmtId="0" fontId="25" fillId="0" borderId="19" xfId="5" applyFont="1" applyFill="1" applyBorder="1"/>
    <xf numFmtId="0" fontId="25" fillId="0" borderId="20" xfId="5" applyFont="1" applyFill="1" applyBorder="1" applyAlignment="1">
      <alignment horizontal="center" vertical="center" wrapText="1"/>
    </xf>
    <xf numFmtId="0" fontId="25" fillId="0" borderId="21" xfId="5" applyFont="1" applyFill="1" applyBorder="1"/>
    <xf numFmtId="0" fontId="25" fillId="33" borderId="22" xfId="5" applyFont="1" applyFill="1" applyBorder="1" applyAlignment="1">
      <alignment horizontal="center"/>
    </xf>
    <xf numFmtId="0" fontId="25" fillId="34" borderId="23" xfId="5" applyFont="1" applyFill="1" applyBorder="1"/>
    <xf numFmtId="164" fontId="25" fillId="0" borderId="24" xfId="5" applyNumberFormat="1" applyFont="1" applyFill="1" applyBorder="1"/>
    <xf numFmtId="0" fontId="33" fillId="34" borderId="23" xfId="5" applyFont="1" applyFill="1" applyBorder="1"/>
    <xf numFmtId="164" fontId="18" fillId="34" borderId="24" xfId="5" applyNumberFormat="1" applyFill="1" applyBorder="1"/>
    <xf numFmtId="164" fontId="0" fillId="34" borderId="24" xfId="2" applyNumberFormat="1" applyFont="1" applyFill="1" applyBorder="1"/>
    <xf numFmtId="164" fontId="18" fillId="34" borderId="25" xfId="5" applyNumberFormat="1" applyFill="1" applyBorder="1"/>
    <xf numFmtId="164" fontId="0" fillId="34" borderId="25" xfId="2" applyNumberFormat="1" applyFont="1" applyFill="1" applyBorder="1"/>
    <xf numFmtId="0" fontId="25" fillId="0" borderId="23" xfId="5" applyFont="1" applyFill="1" applyBorder="1"/>
    <xf numFmtId="164" fontId="18" fillId="0" borderId="24" xfId="5" applyNumberFormat="1" applyFont="1" applyFill="1" applyBorder="1"/>
    <xf numFmtId="164" fontId="18" fillId="34" borderId="26" xfId="5" applyNumberFormat="1" applyFill="1" applyBorder="1"/>
    <xf numFmtId="164" fontId="0" fillId="34" borderId="26" xfId="2" applyNumberFormat="1" applyFont="1" applyFill="1" applyBorder="1"/>
    <xf numFmtId="0" fontId="25" fillId="34" borderId="23" xfId="5" applyFont="1" applyFill="1" applyBorder="1" applyAlignment="1">
      <alignment wrapText="1"/>
    </xf>
    <xf numFmtId="164" fontId="18" fillId="0" borderId="24" xfId="5" applyNumberFormat="1" applyFill="1" applyBorder="1"/>
    <xf numFmtId="164" fontId="0" fillId="0" borderId="24" xfId="2" applyNumberFormat="1" applyFont="1" applyFill="1" applyBorder="1"/>
    <xf numFmtId="43" fontId="25" fillId="0" borderId="0" xfId="5" applyNumberFormat="1" applyFont="1"/>
    <xf numFmtId="164" fontId="18" fillId="0" borderId="22" xfId="5" applyNumberFormat="1" applyFill="1" applyBorder="1"/>
    <xf numFmtId="164" fontId="0" fillId="0" borderId="22" xfId="2" applyNumberFormat="1" applyFont="1" applyFill="1" applyBorder="1"/>
    <xf numFmtId="164" fontId="18" fillId="34" borderId="24" xfId="5" applyNumberFormat="1" applyFont="1" applyFill="1" applyBorder="1"/>
    <xf numFmtId="0" fontId="18" fillId="0" borderId="0" xfId="5" applyFill="1"/>
    <xf numFmtId="0" fontId="25" fillId="34" borderId="27" xfId="5" applyFont="1" applyFill="1" applyBorder="1" applyAlignment="1">
      <alignment wrapText="1"/>
    </xf>
    <xf numFmtId="43" fontId="30" fillId="0" borderId="28" xfId="5" applyNumberFormat="1" applyFont="1" applyFill="1" applyBorder="1"/>
    <xf numFmtId="164" fontId="30" fillId="0" borderId="29" xfId="5" applyNumberFormat="1" applyFont="1" applyFill="1" applyBorder="1"/>
    <xf numFmtId="165" fontId="0" fillId="0" borderId="0" xfId="1" applyNumberFormat="1" applyFont="1"/>
    <xf numFmtId="166" fontId="0" fillId="0" borderId="0" xfId="1" applyNumberFormat="1" applyFont="1"/>
    <xf numFmtId="43" fontId="0" fillId="0" borderId="0" xfId="1" applyNumberFormat="1" applyFont="1"/>
    <xf numFmtId="0" fontId="30" fillId="0" borderId="0" xfId="5" applyFont="1" applyAlignment="1">
      <alignment horizontal="left" vertical="top"/>
    </xf>
    <xf numFmtId="164" fontId="18" fillId="0" borderId="0" xfId="5" applyNumberFormat="1"/>
    <xf numFmtId="0" fontId="18" fillId="0" borderId="0" xfId="5" applyFont="1" applyAlignment="1">
      <alignment horizontal="left" vertical="top" wrapText="1"/>
    </xf>
    <xf numFmtId="0" fontId="25" fillId="0" borderId="0" xfId="5" applyFont="1" applyAlignment="1">
      <alignment horizontal="left" wrapText="1"/>
    </xf>
    <xf numFmtId="0" fontId="18" fillId="0" borderId="0" xfId="5" applyAlignment="1">
      <alignment horizontal="center"/>
    </xf>
    <xf numFmtId="0" fontId="18" fillId="0" borderId="0" xfId="5" applyBorder="1"/>
    <xf numFmtId="0" fontId="18" fillId="0" borderId="0" xfId="5" applyFont="1"/>
    <xf numFmtId="0" fontId="25" fillId="0" borderId="0" xfId="5" applyFont="1" applyAlignment="1">
      <alignment horizontal="right"/>
    </xf>
    <xf numFmtId="0" fontId="34" fillId="34" borderId="0" xfId="5" applyFont="1" applyFill="1" applyAlignment="1"/>
    <xf numFmtId="0" fontId="35" fillId="0" borderId="0" xfId="5" applyFont="1" applyAlignment="1">
      <alignment horizontal="center"/>
    </xf>
    <xf numFmtId="0" fontId="18" fillId="0" borderId="0" xfId="5" applyFill="1" applyBorder="1"/>
    <xf numFmtId="0" fontId="18" fillId="35" borderId="30" xfId="5" applyFill="1" applyBorder="1"/>
    <xf numFmtId="0" fontId="25" fillId="35" borderId="31" xfId="5" applyFont="1" applyFill="1" applyBorder="1" applyAlignment="1"/>
    <xf numFmtId="0" fontId="25" fillId="35" borderId="23" xfId="5" applyFont="1" applyFill="1" applyBorder="1" applyAlignment="1"/>
    <xf numFmtId="0" fontId="25" fillId="35" borderId="24" xfId="5" applyFont="1" applyFill="1" applyBorder="1" applyAlignment="1">
      <alignment horizontal="center" wrapText="1"/>
    </xf>
    <xf numFmtId="0" fontId="25" fillId="35" borderId="24" xfId="5" applyFont="1" applyFill="1" applyBorder="1" applyAlignment="1">
      <alignment horizontal="center"/>
    </xf>
    <xf numFmtId="0" fontId="25" fillId="35" borderId="24" xfId="5" applyFont="1" applyFill="1" applyBorder="1"/>
    <xf numFmtId="0" fontId="18" fillId="35" borderId="26" xfId="5" applyFill="1" applyBorder="1"/>
    <xf numFmtId="0" fontId="25" fillId="35" borderId="21" xfId="5" applyFont="1" applyFill="1" applyBorder="1" applyAlignment="1">
      <alignment horizontal="center" wrapText="1"/>
    </xf>
    <xf numFmtId="0" fontId="25" fillId="35" borderId="22" xfId="5" applyFont="1" applyFill="1" applyBorder="1" applyAlignment="1">
      <alignment horizontal="center"/>
    </xf>
    <xf numFmtId="0" fontId="25" fillId="35" borderId="22" xfId="5" applyFont="1" applyFill="1" applyBorder="1" applyAlignment="1">
      <alignment horizontal="center" wrapText="1"/>
    </xf>
    <xf numFmtId="0" fontId="18" fillId="0" borderId="24" xfId="5" applyBorder="1" applyAlignment="1">
      <alignment horizontal="center" vertical="center"/>
    </xf>
    <xf numFmtId="0" fontId="18" fillId="0" borderId="24" xfId="5" applyFont="1" applyBorder="1" applyAlignment="1">
      <alignment vertical="center" wrapText="1"/>
    </xf>
    <xf numFmtId="10" fontId="18" fillId="36" borderId="24" xfId="5" applyNumberFormat="1" applyFill="1" applyBorder="1"/>
    <xf numFmtId="164" fontId="0" fillId="0" borderId="24" xfId="2" applyNumberFormat="1" applyFont="1" applyBorder="1"/>
    <xf numFmtId="164" fontId="18" fillId="0" borderId="26" xfId="5" applyNumberFormat="1" applyBorder="1"/>
    <xf numFmtId="164" fontId="18" fillId="0" borderId="24" xfId="5" applyNumberFormat="1" applyBorder="1"/>
    <xf numFmtId="0" fontId="18" fillId="0" borderId="24" xfId="5" applyFill="1" applyBorder="1" applyAlignment="1">
      <alignment horizontal="center" vertical="center"/>
    </xf>
    <xf numFmtId="0" fontId="18" fillId="0" borderId="24" xfId="5" applyFill="1" applyBorder="1" applyAlignment="1">
      <alignment vertical="center" wrapText="1"/>
    </xf>
    <xf numFmtId="0" fontId="18" fillId="0" borderId="24" xfId="5" applyBorder="1" applyAlignment="1">
      <alignment vertical="center" wrapText="1"/>
    </xf>
    <xf numFmtId="0" fontId="18" fillId="0" borderId="24" xfId="5" applyFont="1" applyBorder="1" applyAlignment="1">
      <alignment horizontal="center" vertical="center"/>
    </xf>
    <xf numFmtId="0" fontId="18" fillId="0" borderId="24" xfId="5" applyFont="1" applyFill="1" applyBorder="1" applyAlignment="1">
      <alignment horizontal="center" vertical="center"/>
    </xf>
    <xf numFmtId="0" fontId="18" fillId="0" borderId="24" xfId="5" applyFont="1" applyFill="1" applyBorder="1" applyAlignment="1">
      <alignment vertical="center" wrapText="1"/>
    </xf>
    <xf numFmtId="0" fontId="18" fillId="0" borderId="24" xfId="5" applyBorder="1" applyAlignment="1">
      <alignment horizontal="center"/>
    </xf>
    <xf numFmtId="0" fontId="18" fillId="0" borderId="24" xfId="5" applyFont="1" applyBorder="1"/>
    <xf numFmtId="164" fontId="18" fillId="0" borderId="0" xfId="5" applyNumberFormat="1" applyBorder="1"/>
    <xf numFmtId="0" fontId="18" fillId="0" borderId="24" xfId="5" applyBorder="1"/>
    <xf numFmtId="0" fontId="25" fillId="0" borderId="24" xfId="5" applyFont="1" applyBorder="1"/>
    <xf numFmtId="164" fontId="25" fillId="0" borderId="24" xfId="5" applyNumberFormat="1" applyFont="1" applyBorder="1"/>
    <xf numFmtId="0" fontId="18" fillId="0" borderId="0" xfId="5" applyFont="1" applyAlignment="1"/>
    <xf numFmtId="0" fontId="18" fillId="0" borderId="0" xfId="5" applyAlignment="1"/>
    <xf numFmtId="164" fontId="0" fillId="34" borderId="18" xfId="2" applyNumberFormat="1" applyFont="1" applyFill="1" applyBorder="1"/>
    <xf numFmtId="164" fontId="0" fillId="34" borderId="32" xfId="2" applyNumberFormat="1" applyFont="1" applyFill="1" applyBorder="1"/>
    <xf numFmtId="0" fontId="25" fillId="0" borderId="0" xfId="5" applyFont="1" applyFill="1" applyBorder="1" applyAlignment="1"/>
    <xf numFmtId="164" fontId="0" fillId="0" borderId="31" xfId="2" applyNumberFormat="1" applyFont="1" applyBorder="1"/>
    <xf numFmtId="0" fontId="30" fillId="0" borderId="0" xfId="5" applyFont="1" applyAlignment="1">
      <alignment horizontal="center"/>
    </xf>
    <xf numFmtId="0" fontId="18" fillId="0" borderId="0" xfId="5" applyFont="1" applyAlignment="1">
      <alignment horizontal="left"/>
    </xf>
    <xf numFmtId="43" fontId="18" fillId="0" borderId="0" xfId="1"/>
    <xf numFmtId="164" fontId="0" fillId="34" borderId="23" xfId="2" applyNumberFormat="1" applyFont="1" applyFill="1" applyBorder="1"/>
    <xf numFmtId="167" fontId="0" fillId="0" borderId="24" xfId="2" applyNumberFormat="1" applyFont="1" applyBorder="1"/>
    <xf numFmtId="0" fontId="31" fillId="0" borderId="0" xfId="5" applyFont="1" applyAlignment="1">
      <alignment horizontal="left"/>
    </xf>
    <xf numFmtId="0" fontId="18" fillId="0" borderId="0" xfId="5" applyAlignment="1">
      <alignment horizontal="right"/>
    </xf>
    <xf numFmtId="164" fontId="0" fillId="0" borderId="0" xfId="2" applyNumberFormat="1" applyFont="1" applyBorder="1"/>
    <xf numFmtId="0" fontId="25" fillId="0" borderId="0" xfId="5" applyFont="1" applyFill="1"/>
    <xf numFmtId="168" fontId="18" fillId="0" borderId="0" xfId="5" applyNumberFormat="1" applyFill="1"/>
    <xf numFmtId="0" fontId="31" fillId="0" borderId="0" xfId="5" applyFont="1" applyAlignment="1">
      <alignment horizontal="center"/>
    </xf>
    <xf numFmtId="0" fontId="37" fillId="0" borderId="0" xfId="5" applyFont="1" applyAlignment="1">
      <alignment horizontal="center"/>
    </xf>
    <xf numFmtId="169" fontId="37" fillId="0" borderId="0" xfId="2" applyNumberFormat="1" applyFont="1" applyFill="1" applyBorder="1" applyAlignment="1">
      <alignment horizontal="center" vertical="center"/>
    </xf>
    <xf numFmtId="0" fontId="25" fillId="35" borderId="34" xfId="5" applyFont="1" applyFill="1" applyBorder="1" applyAlignment="1">
      <alignment horizontal="center" vertical="center" wrapText="1"/>
    </xf>
    <xf numFmtId="0" fontId="25" fillId="35" borderId="35" xfId="5" applyFont="1" applyFill="1" applyBorder="1" applyAlignment="1">
      <alignment horizontal="center" vertical="center" wrapText="1"/>
    </xf>
    <xf numFmtId="0" fontId="25" fillId="35" borderId="38" xfId="5" quotePrefix="1" applyFont="1" applyFill="1" applyBorder="1" applyAlignment="1">
      <alignment horizontal="center"/>
    </xf>
    <xf numFmtId="0" fontId="25" fillId="35" borderId="38" xfId="5" quotePrefix="1" applyFont="1" applyFill="1" applyBorder="1" applyAlignment="1">
      <alignment horizontal="center" wrapText="1"/>
    </xf>
    <xf numFmtId="0" fontId="25" fillId="35" borderId="39" xfId="5" quotePrefix="1" applyFont="1" applyFill="1" applyBorder="1" applyAlignment="1">
      <alignment horizontal="center"/>
    </xf>
    <xf numFmtId="0" fontId="0" fillId="0" borderId="41" xfId="0" applyBorder="1" applyAlignment="1">
      <alignment horizontal="center" vertical="center"/>
    </xf>
    <xf numFmtId="0" fontId="18" fillId="0" borderId="22" xfId="0" applyFont="1" applyBorder="1" applyAlignment="1">
      <alignment vertical="center" wrapText="1"/>
    </xf>
    <xf numFmtId="170" fontId="18" fillId="34" borderId="22" xfId="2" applyNumberFormat="1" applyFill="1" applyBorder="1"/>
    <xf numFmtId="170" fontId="18" fillId="0" borderId="22" xfId="2" applyNumberFormat="1" applyFill="1" applyBorder="1"/>
    <xf numFmtId="170" fontId="18" fillId="0" borderId="22" xfId="2" applyNumberFormat="1" applyBorder="1"/>
    <xf numFmtId="0" fontId="18" fillId="34" borderId="22" xfId="1" applyNumberFormat="1" applyFill="1" applyBorder="1"/>
    <xf numFmtId="4" fontId="18" fillId="0" borderId="22" xfId="3" applyNumberFormat="1" applyBorder="1"/>
    <xf numFmtId="170" fontId="18" fillId="0" borderId="42" xfId="2" applyNumberFormat="1" applyBorder="1"/>
    <xf numFmtId="0" fontId="0" fillId="0" borderId="43" xfId="0" applyBorder="1" applyAlignment="1">
      <alignment horizontal="center" vertical="center"/>
    </xf>
    <xf numFmtId="0" fontId="18" fillId="0" borderId="24" xfId="0" applyFont="1" applyBorder="1" applyAlignment="1">
      <alignment vertical="center" wrapText="1"/>
    </xf>
    <xf numFmtId="170" fontId="18" fillId="34" borderId="24" xfId="2" applyNumberFormat="1" applyFill="1" applyBorder="1"/>
    <xf numFmtId="170" fontId="18" fillId="0" borderId="24" xfId="2" applyNumberFormat="1" applyBorder="1"/>
    <xf numFmtId="0" fontId="18" fillId="34" borderId="24" xfId="1" applyNumberFormat="1" applyFill="1" applyBorder="1"/>
    <xf numFmtId="4" fontId="18" fillId="0" borderId="24" xfId="3" applyNumberFormat="1" applyBorder="1"/>
    <xf numFmtId="170" fontId="18" fillId="0" borderId="44" xfId="2" applyNumberFormat="1" applyBorder="1"/>
    <xf numFmtId="0" fontId="0" fillId="0" borderId="43" xfId="0" applyFill="1" applyBorder="1" applyAlignment="1">
      <alignment horizontal="center" vertical="center"/>
    </xf>
    <xf numFmtId="0" fontId="0" fillId="0" borderId="24" xfId="0" applyFill="1" applyBorder="1" applyAlignment="1">
      <alignment vertical="center" wrapText="1"/>
    </xf>
    <xf numFmtId="0" fontId="0" fillId="0" borderId="24" xfId="0" applyBorder="1" applyAlignment="1">
      <alignment vertical="center" wrapText="1"/>
    </xf>
    <xf numFmtId="0" fontId="18" fillId="0" borderId="43" xfId="0" applyFont="1" applyBorder="1" applyAlignment="1">
      <alignment horizontal="center" vertical="center"/>
    </xf>
    <xf numFmtId="0" fontId="18" fillId="0" borderId="43" xfId="0" applyFont="1" applyFill="1" applyBorder="1" applyAlignment="1">
      <alignment horizontal="center" vertical="center"/>
    </xf>
    <xf numFmtId="0" fontId="18" fillId="0" borderId="24" xfId="0" applyFont="1" applyFill="1" applyBorder="1" applyAlignment="1">
      <alignment vertical="center" wrapText="1"/>
    </xf>
    <xf numFmtId="170" fontId="18" fillId="0" borderId="44" xfId="2" applyNumberFormat="1" applyFont="1" applyBorder="1"/>
    <xf numFmtId="0" fontId="18" fillId="0" borderId="43" xfId="5" applyFont="1" applyBorder="1" applyAlignment="1">
      <alignment horizontal="center"/>
    </xf>
    <xf numFmtId="170" fontId="18" fillId="34" borderId="45" xfId="2" applyNumberFormat="1" applyFill="1" applyBorder="1"/>
    <xf numFmtId="170" fontId="18" fillId="0" borderId="45" xfId="2" applyNumberFormat="1" applyFill="1" applyBorder="1"/>
    <xf numFmtId="170" fontId="18" fillId="0" borderId="45" xfId="2" applyNumberFormat="1" applyBorder="1"/>
    <xf numFmtId="0" fontId="18" fillId="34" borderId="45" xfId="1" applyNumberFormat="1" applyFill="1" applyBorder="1"/>
    <xf numFmtId="4" fontId="18" fillId="0" borderId="45" xfId="3" applyNumberFormat="1" applyBorder="1"/>
    <xf numFmtId="170" fontId="18" fillId="0" borderId="46" xfId="2" applyNumberFormat="1" applyFont="1" applyBorder="1"/>
    <xf numFmtId="170" fontId="18" fillId="34" borderId="47" xfId="2" applyNumberFormat="1" applyFill="1" applyBorder="1"/>
    <xf numFmtId="170" fontId="18" fillId="0" borderId="46" xfId="2" applyNumberFormat="1" applyBorder="1"/>
    <xf numFmtId="170" fontId="18" fillId="0" borderId="38" xfId="2" applyNumberFormat="1" applyBorder="1"/>
    <xf numFmtId="0" fontId="18" fillId="0" borderId="38" xfId="1" applyNumberFormat="1" applyBorder="1"/>
    <xf numFmtId="4" fontId="18" fillId="0" borderId="38" xfId="2" applyNumberFormat="1" applyBorder="1"/>
    <xf numFmtId="0" fontId="18" fillId="0" borderId="47" xfId="0" applyFont="1" applyBorder="1" applyAlignment="1">
      <alignment horizontal="center"/>
    </xf>
    <xf numFmtId="0" fontId="18" fillId="0" borderId="45" xfId="0" applyFont="1" applyBorder="1"/>
    <xf numFmtId="170" fontId="18" fillId="34" borderId="50" xfId="2" applyNumberFormat="1" applyFill="1" applyBorder="1"/>
    <xf numFmtId="170" fontId="18" fillId="34" borderId="51" xfId="2" applyNumberFormat="1" applyFill="1" applyBorder="1"/>
    <xf numFmtId="170" fontId="18" fillId="0" borderId="52" xfId="2" applyNumberFormat="1" applyBorder="1"/>
    <xf numFmtId="44" fontId="18" fillId="0" borderId="0" xfId="5" applyNumberFormat="1"/>
    <xf numFmtId="0" fontId="18" fillId="0" borderId="0" xfId="5" applyFont="1" applyAlignment="1">
      <alignment horizontal="center" vertical="center"/>
    </xf>
    <xf numFmtId="0" fontId="18" fillId="0" borderId="0" xfId="5" applyAlignment="1">
      <alignment horizontal="center" vertical="center"/>
    </xf>
    <xf numFmtId="0" fontId="25" fillId="0" borderId="0" xfId="5" applyFont="1" applyAlignment="1">
      <alignment vertical="top" wrapText="1"/>
    </xf>
    <xf numFmtId="0" fontId="18" fillId="0" borderId="0" xfId="5" applyFont="1" applyAlignment="1">
      <alignment vertical="top" wrapText="1"/>
    </xf>
    <xf numFmtId="164" fontId="18" fillId="34" borderId="22" xfId="2" applyNumberFormat="1" applyFill="1" applyBorder="1"/>
    <xf numFmtId="164" fontId="18" fillId="0" borderId="22" xfId="2" applyNumberFormat="1" applyFill="1" applyBorder="1"/>
    <xf numFmtId="164" fontId="18" fillId="0" borderId="22" xfId="2" applyNumberFormat="1" applyBorder="1"/>
    <xf numFmtId="2" fontId="18" fillId="0" borderId="22" xfId="3" applyNumberFormat="1" applyBorder="1"/>
    <xf numFmtId="164" fontId="18" fillId="0" borderId="42" xfId="2" applyNumberFormat="1" applyBorder="1"/>
    <xf numFmtId="164" fontId="18" fillId="34" borderId="24" xfId="2" applyNumberFormat="1" applyFill="1" applyBorder="1"/>
    <xf numFmtId="164" fontId="18" fillId="0" borderId="24" xfId="2" applyNumberFormat="1" applyBorder="1"/>
    <xf numFmtId="164" fontId="18" fillId="0" borderId="44" xfId="2" applyNumberFormat="1" applyBorder="1"/>
    <xf numFmtId="164" fontId="18" fillId="0" borderId="44" xfId="2" applyNumberFormat="1" applyFont="1" applyBorder="1"/>
    <xf numFmtId="164" fontId="18" fillId="34" borderId="24" xfId="1" applyNumberFormat="1" applyFill="1" applyBorder="1"/>
    <xf numFmtId="0" fontId="18" fillId="0" borderId="47" xfId="5" applyFont="1" applyBorder="1" applyAlignment="1">
      <alignment horizontal="center"/>
    </xf>
    <xf numFmtId="0" fontId="18" fillId="0" borderId="45" xfId="5" applyFont="1" applyBorder="1"/>
    <xf numFmtId="164" fontId="18" fillId="34" borderId="45" xfId="2" applyNumberFormat="1" applyFill="1" applyBorder="1"/>
    <xf numFmtId="164" fontId="18" fillId="0" borderId="45" xfId="2" applyNumberFormat="1" applyFill="1" applyBorder="1"/>
    <xf numFmtId="164" fontId="18" fillId="0" borderId="45" xfId="2" applyNumberFormat="1" applyBorder="1"/>
    <xf numFmtId="164" fontId="18" fillId="34" borderId="45" xfId="1" applyNumberFormat="1" applyFill="1" applyBorder="1"/>
    <xf numFmtId="2" fontId="18" fillId="0" borderId="45" xfId="3" applyNumberFormat="1" applyBorder="1"/>
    <xf numFmtId="164" fontId="18" fillId="0" borderId="46" xfId="2" applyNumberFormat="1" applyFont="1" applyBorder="1"/>
    <xf numFmtId="164" fontId="18" fillId="0" borderId="46" xfId="2" applyNumberFormat="1" applyBorder="1"/>
    <xf numFmtId="171" fontId="18" fillId="0" borderId="38" xfId="2" applyNumberFormat="1" applyBorder="1"/>
    <xf numFmtId="43" fontId="18" fillId="0" borderId="38" xfId="1" applyBorder="1"/>
    <xf numFmtId="10" fontId="18" fillId="0" borderId="38" xfId="3" applyNumberFormat="1" applyBorder="1"/>
    <xf numFmtId="164" fontId="18" fillId="0" borderId="39" xfId="2" applyNumberFormat="1" applyBorder="1"/>
    <xf numFmtId="164" fontId="18" fillId="0" borderId="38" xfId="2" applyNumberFormat="1" applyBorder="1"/>
    <xf numFmtId="164" fontId="18" fillId="34" borderId="51" xfId="2" applyNumberFormat="1" applyFill="1" applyBorder="1"/>
    <xf numFmtId="164" fontId="18" fillId="0" borderId="52" xfId="2" applyNumberFormat="1" applyBorder="1"/>
    <xf numFmtId="0" fontId="37" fillId="0" borderId="0" xfId="5" applyFont="1" applyAlignment="1">
      <alignment horizontal="left"/>
    </xf>
    <xf numFmtId="0" fontId="25" fillId="35" borderId="53" xfId="5" applyFont="1" applyFill="1" applyBorder="1" applyAlignment="1">
      <alignment horizontal="center" vertical="center" wrapText="1"/>
    </xf>
    <xf numFmtId="0" fontId="25" fillId="35" borderId="38" xfId="5" applyFont="1" applyFill="1" applyBorder="1" applyAlignment="1">
      <alignment horizontal="center" wrapText="1"/>
    </xf>
    <xf numFmtId="0" fontId="25" fillId="35" borderId="54" xfId="5" applyFont="1" applyFill="1" applyBorder="1" applyAlignment="1">
      <alignment horizontal="center"/>
    </xf>
    <xf numFmtId="0" fontId="25" fillId="35" borderId="39" xfId="5" applyFont="1" applyFill="1" applyBorder="1" applyAlignment="1">
      <alignment horizontal="center"/>
    </xf>
    <xf numFmtId="43" fontId="18" fillId="34" borderId="22" xfId="1" applyFill="1" applyBorder="1"/>
    <xf numFmtId="10" fontId="18" fillId="0" borderId="22" xfId="3" applyNumberFormat="1" applyBorder="1"/>
    <xf numFmtId="44" fontId="18" fillId="0" borderId="22" xfId="2" applyBorder="1"/>
    <xf numFmtId="44" fontId="18" fillId="0" borderId="55" xfId="2" applyBorder="1"/>
    <xf numFmtId="44" fontId="18" fillId="34" borderId="22" xfId="2" applyFill="1" applyBorder="1"/>
    <xf numFmtId="44" fontId="18" fillId="0" borderId="42" xfId="2" applyBorder="1"/>
    <xf numFmtId="44" fontId="18" fillId="34" borderId="30" xfId="2" applyFill="1" applyBorder="1"/>
    <xf numFmtId="44" fontId="18" fillId="0" borderId="42" xfId="5" applyNumberFormat="1" applyBorder="1"/>
    <xf numFmtId="43" fontId="18" fillId="34" borderId="24" xfId="1" applyFill="1" applyBorder="1"/>
    <xf numFmtId="10" fontId="18" fillId="0" borderId="24" xfId="3" applyNumberFormat="1" applyBorder="1"/>
    <xf numFmtId="44" fontId="18" fillId="0" borderId="24" xfId="2" applyBorder="1"/>
    <xf numFmtId="44" fontId="18" fillId="0" borderId="44" xfId="2" applyBorder="1"/>
    <xf numFmtId="164" fontId="18" fillId="0" borderId="42" xfId="5" applyNumberFormat="1" applyBorder="1"/>
    <xf numFmtId="164" fontId="18" fillId="34" borderId="25" xfId="2" applyNumberFormat="1" applyFill="1" applyBorder="1"/>
    <xf numFmtId="43" fontId="18" fillId="34" borderId="25" xfId="1" applyFill="1" applyBorder="1"/>
    <xf numFmtId="10" fontId="18" fillId="0" borderId="25" xfId="3" applyNumberFormat="1" applyBorder="1"/>
    <xf numFmtId="44" fontId="18" fillId="0" borderId="25" xfId="2" applyBorder="1"/>
    <xf numFmtId="44" fontId="18" fillId="0" borderId="56" xfId="2" applyBorder="1"/>
    <xf numFmtId="164" fontId="18" fillId="0" borderId="29" xfId="2" applyNumberFormat="1" applyBorder="1"/>
    <xf numFmtId="44" fontId="18" fillId="0" borderId="29" xfId="2" applyBorder="1"/>
    <xf numFmtId="43" fontId="18" fillId="0" borderId="29" xfId="1" applyBorder="1"/>
    <xf numFmtId="10" fontId="18" fillId="0" borderId="29" xfId="3" applyNumberFormat="1" applyBorder="1"/>
    <xf numFmtId="44" fontId="18" fillId="0" borderId="57" xfId="2" applyBorder="1"/>
    <xf numFmtId="44" fontId="18" fillId="0" borderId="58" xfId="2" applyBorder="1"/>
    <xf numFmtId="167" fontId="18" fillId="0" borderId="29" xfId="2" applyNumberFormat="1" applyBorder="1"/>
    <xf numFmtId="44" fontId="18" fillId="0" borderId="0" xfId="2"/>
    <xf numFmtId="0" fontId="18" fillId="0" borderId="0" xfId="5" applyAlignment="1">
      <alignment horizontal="center" vertical="top"/>
    </xf>
    <xf numFmtId="0" fontId="18" fillId="0" borderId="0" xfId="5" applyAlignment="1">
      <alignment wrapText="1"/>
    </xf>
    <xf numFmtId="0" fontId="39" fillId="0" borderId="0" xfId="5" applyFont="1" applyAlignment="1">
      <alignment wrapText="1"/>
    </xf>
    <xf numFmtId="0" fontId="18" fillId="0" borderId="0" xfId="5" applyFont="1" applyAlignment="1">
      <alignment wrapText="1"/>
    </xf>
    <xf numFmtId="0" fontId="32" fillId="0" borderId="0" xfId="0" applyFont="1" applyAlignment="1">
      <alignment horizontal="right" vertical="top"/>
    </xf>
    <xf numFmtId="0" fontId="32" fillId="34" borderId="18" xfId="0" applyFont="1" applyFill="1" applyBorder="1" applyAlignment="1">
      <alignment horizontal="right" vertical="top"/>
    </xf>
    <xf numFmtId="0" fontId="32" fillId="34" borderId="0" xfId="0" applyFont="1" applyFill="1" applyAlignment="1">
      <alignment horizontal="right" vertical="top"/>
    </xf>
    <xf numFmtId="0" fontId="25" fillId="0" borderId="0" xfId="5" applyFont="1" applyAlignment="1">
      <alignment horizontal="center"/>
    </xf>
    <xf numFmtId="0" fontId="18" fillId="0" borderId="62" xfId="5" applyBorder="1"/>
    <xf numFmtId="0" fontId="25" fillId="34" borderId="35" xfId="5" applyFont="1" applyFill="1" applyBorder="1" applyAlignment="1">
      <alignment horizontal="center"/>
    </xf>
    <xf numFmtId="0" fontId="25" fillId="0" borderId="35" xfId="5" applyFont="1" applyFill="1" applyBorder="1" applyAlignment="1">
      <alignment horizontal="center"/>
    </xf>
    <xf numFmtId="0" fontId="18" fillId="0" borderId="27" xfId="5" applyBorder="1"/>
    <xf numFmtId="0" fontId="25" fillId="34" borderId="64" xfId="5" applyFont="1" applyFill="1" applyBorder="1" applyAlignment="1">
      <alignment horizontal="center"/>
    </xf>
    <xf numFmtId="0" fontId="25" fillId="0" borderId="64" xfId="5" applyFont="1" applyFill="1" applyBorder="1" applyAlignment="1">
      <alignment horizontal="center"/>
    </xf>
    <xf numFmtId="0" fontId="25" fillId="34" borderId="42" xfId="5" applyFont="1" applyFill="1" applyBorder="1" applyAlignment="1">
      <alignment horizontal="center"/>
    </xf>
    <xf numFmtId="0" fontId="25" fillId="0" borderId="42" xfId="5" applyFont="1" applyFill="1" applyBorder="1" applyAlignment="1">
      <alignment horizontal="center"/>
    </xf>
    <xf numFmtId="171" fontId="18" fillId="34" borderId="44" xfId="2" applyNumberFormat="1" applyFont="1" applyFill="1" applyBorder="1"/>
    <xf numFmtId="171" fontId="18" fillId="34" borderId="44" xfId="2" applyNumberFormat="1" applyFill="1" applyBorder="1"/>
    <xf numFmtId="171" fontId="18" fillId="0" borderId="44" xfId="2" applyNumberFormat="1" applyFill="1" applyBorder="1"/>
    <xf numFmtId="171" fontId="18" fillId="33" borderId="44" xfId="2" applyNumberFormat="1" applyFill="1" applyBorder="1"/>
    <xf numFmtId="0" fontId="18" fillId="0" borderId="70" xfId="5" applyBorder="1" applyAlignment="1">
      <alignment horizontal="left" wrapText="1"/>
    </xf>
    <xf numFmtId="0" fontId="18" fillId="0" borderId="31" xfId="5" applyBorder="1" applyAlignment="1">
      <alignment horizontal="left" wrapText="1"/>
    </xf>
    <xf numFmtId="0" fontId="18" fillId="0" borderId="71" xfId="5" applyBorder="1" applyAlignment="1">
      <alignment horizontal="left" wrapText="1"/>
    </xf>
    <xf numFmtId="0" fontId="18" fillId="0" borderId="75" xfId="5" applyBorder="1"/>
    <xf numFmtId="171" fontId="18" fillId="34" borderId="56" xfId="2" applyNumberFormat="1" applyFill="1" applyBorder="1"/>
    <xf numFmtId="171" fontId="18" fillId="0" borderId="56" xfId="2" applyNumberFormat="1" applyFill="1" applyBorder="1"/>
    <xf numFmtId="171" fontId="18" fillId="33" borderId="56" xfId="2" applyNumberFormat="1" applyFill="1" applyBorder="1"/>
    <xf numFmtId="0" fontId="18" fillId="0" borderId="78" xfId="5" applyBorder="1"/>
    <xf numFmtId="171" fontId="18" fillId="0" borderId="58" xfId="2" applyNumberFormat="1" applyBorder="1"/>
    <xf numFmtId="171" fontId="18" fillId="34" borderId="79" xfId="2" applyNumberFormat="1" applyFill="1" applyBorder="1"/>
    <xf numFmtId="0" fontId="25" fillId="0" borderId="0" xfId="5" applyFont="1" applyBorder="1" applyAlignment="1">
      <alignment horizontal="left" wrapText="1"/>
    </xf>
    <xf numFmtId="171" fontId="18" fillId="0" borderId="0" xfId="2" applyNumberFormat="1" applyBorder="1"/>
    <xf numFmtId="171" fontId="18" fillId="34" borderId="83" xfId="2" applyNumberFormat="1" applyFill="1" applyBorder="1"/>
    <xf numFmtId="0" fontId="25" fillId="0" borderId="0" xfId="5" applyFont="1" applyBorder="1" applyAlignment="1">
      <alignment horizontal="left"/>
    </xf>
    <xf numFmtId="0" fontId="18" fillId="0" borderId="0" xfId="5" applyAlignment="1">
      <alignment horizontal="left"/>
    </xf>
    <xf numFmtId="0" fontId="31" fillId="0" borderId="0" xfId="0" applyFont="1"/>
    <xf numFmtId="0" fontId="25" fillId="0" borderId="0" xfId="0" applyFont="1" applyAlignment="1">
      <alignment horizontal="left"/>
    </xf>
    <xf numFmtId="0" fontId="0" fillId="0" borderId="0" xfId="0" applyAlignment="1">
      <alignment horizontal="left"/>
    </xf>
    <xf numFmtId="0" fontId="25" fillId="0" borderId="87" xfId="0" applyFont="1" applyBorder="1"/>
    <xf numFmtId="0" fontId="25" fillId="0" borderId="20" xfId="0" applyFont="1" applyBorder="1"/>
    <xf numFmtId="0" fontId="25" fillId="0" borderId="20" xfId="0" applyFont="1" applyFill="1" applyBorder="1" applyAlignment="1">
      <alignment horizontal="center"/>
    </xf>
    <xf numFmtId="0" fontId="25" fillId="35" borderId="20" xfId="0" applyFont="1" applyFill="1" applyBorder="1" applyAlignment="1">
      <alignment horizontal="center"/>
    </xf>
    <xf numFmtId="0" fontId="25" fillId="35" borderId="88" xfId="0" applyFont="1" applyFill="1" applyBorder="1" applyAlignment="1">
      <alignment horizontal="center"/>
    </xf>
    <xf numFmtId="0" fontId="25" fillId="0" borderId="41" xfId="0" applyFont="1" applyBorder="1"/>
    <xf numFmtId="0" fontId="25" fillId="0" borderId="22" xfId="0" applyFont="1" applyBorder="1"/>
    <xf numFmtId="0" fontId="25" fillId="35" borderId="22" xfId="0" applyFont="1" applyFill="1" applyBorder="1" applyAlignment="1">
      <alignment horizontal="center"/>
    </xf>
    <xf numFmtId="0" fontId="25" fillId="35" borderId="55" xfId="0" applyFont="1" applyFill="1" applyBorder="1" applyAlignment="1">
      <alignment horizontal="center"/>
    </xf>
    <xf numFmtId="0" fontId="25" fillId="35" borderId="42" xfId="0" applyFont="1" applyFill="1" applyBorder="1" applyAlignment="1">
      <alignment horizontal="center"/>
    </xf>
    <xf numFmtId="0" fontId="30" fillId="0" borderId="22" xfId="0" applyFont="1" applyBorder="1"/>
    <xf numFmtId="0" fontId="25" fillId="33" borderId="22" xfId="0" applyFont="1" applyFill="1" applyBorder="1" applyAlignment="1">
      <alignment horizontal="center"/>
    </xf>
    <xf numFmtId="0" fontId="25" fillId="33" borderId="55" xfId="0" applyFont="1" applyFill="1" applyBorder="1" applyAlignment="1">
      <alignment horizontal="center"/>
    </xf>
    <xf numFmtId="0" fontId="25" fillId="33" borderId="42" xfId="0" applyFont="1" applyFill="1" applyBorder="1" applyAlignment="1">
      <alignment horizontal="center"/>
    </xf>
    <xf numFmtId="0" fontId="25" fillId="0" borderId="43" xfId="0" applyFont="1" applyBorder="1" applyAlignment="1">
      <alignment horizontal="center"/>
    </xf>
    <xf numFmtId="0" fontId="25" fillId="0" borderId="24" xfId="0" applyFont="1" applyBorder="1" applyAlignment="1">
      <alignment wrapText="1"/>
    </xf>
    <xf numFmtId="164" fontId="0" fillId="34" borderId="30" xfId="2" applyNumberFormat="1" applyFont="1" applyFill="1" applyBorder="1"/>
    <xf numFmtId="164" fontId="0" fillId="34" borderId="44" xfId="2" applyNumberFormat="1" applyFont="1" applyFill="1" applyBorder="1"/>
    <xf numFmtId="0" fontId="18" fillId="34" borderId="43" xfId="0" applyFont="1" applyFill="1" applyBorder="1" applyAlignment="1">
      <alignment horizontal="center"/>
    </xf>
    <xf numFmtId="0" fontId="18" fillId="34" borderId="24" xfId="0" applyFont="1" applyFill="1" applyBorder="1" applyAlignment="1">
      <alignment wrapText="1"/>
    </xf>
    <xf numFmtId="164" fontId="0" fillId="0" borderId="44" xfId="2" applyNumberFormat="1" applyFont="1" applyFill="1" applyBorder="1"/>
    <xf numFmtId="164" fontId="0" fillId="0" borderId="30" xfId="2" applyNumberFormat="1" applyFont="1" applyFill="1" applyBorder="1"/>
    <xf numFmtId="0" fontId="18" fillId="34" borderId="24" xfId="0" applyFont="1" applyFill="1" applyBorder="1"/>
    <xf numFmtId="164" fontId="0" fillId="0" borderId="24" xfId="0" applyNumberFormat="1" applyFill="1" applyBorder="1"/>
    <xf numFmtId="164" fontId="0" fillId="0" borderId="24" xfId="0" applyNumberFormat="1" applyBorder="1"/>
    <xf numFmtId="164" fontId="0" fillId="0" borderId="44" xfId="0" applyNumberFormat="1" applyBorder="1"/>
    <xf numFmtId="164" fontId="0" fillId="34" borderId="24" xfId="0" applyNumberFormat="1" applyFill="1" applyBorder="1"/>
    <xf numFmtId="164" fontId="0" fillId="34" borderId="45" xfId="0" applyNumberFormat="1" applyFill="1" applyBorder="1"/>
    <xf numFmtId="164" fontId="0" fillId="0" borderId="38" xfId="2" applyNumberFormat="1" applyFont="1" applyBorder="1"/>
    <xf numFmtId="164" fontId="0" fillId="0" borderId="39" xfId="2" applyNumberFormat="1" applyFont="1" applyBorder="1"/>
    <xf numFmtId="0" fontId="25" fillId="0" borderId="0" xfId="0" applyFont="1" applyBorder="1" applyAlignment="1">
      <alignment horizontal="left"/>
    </xf>
    <xf numFmtId="0" fontId="18" fillId="0" borderId="0" xfId="0" applyFont="1" applyFill="1"/>
    <xf numFmtId="0" fontId="0" fillId="0" borderId="0" xfId="0" applyFill="1"/>
    <xf numFmtId="0" fontId="18" fillId="0" borderId="0" xfId="0" applyFont="1" applyAlignment="1">
      <alignment wrapText="1"/>
    </xf>
    <xf numFmtId="0" fontId="0" fillId="0" borderId="89" xfId="0" applyBorder="1"/>
    <xf numFmtId="0" fontId="0" fillId="0" borderId="19" xfId="0" applyBorder="1"/>
    <xf numFmtId="0" fontId="25" fillId="0" borderId="90" xfId="0" applyFont="1" applyFill="1" applyBorder="1" applyAlignment="1">
      <alignment horizontal="center"/>
    </xf>
    <xf numFmtId="0" fontId="25" fillId="0" borderId="26" xfId="0" applyFont="1" applyFill="1" applyBorder="1" applyAlignment="1">
      <alignment horizontal="center"/>
    </xf>
    <xf numFmtId="0" fontId="25" fillId="0" borderId="44" xfId="0" applyFont="1" applyFill="1" applyBorder="1" applyAlignment="1">
      <alignment horizontal="center"/>
    </xf>
    <xf numFmtId="164" fontId="0" fillId="34" borderId="31" xfId="2" applyNumberFormat="1" applyFont="1" applyFill="1" applyBorder="1"/>
    <xf numFmtId="164" fontId="0" fillId="34" borderId="0" xfId="2" applyNumberFormat="1" applyFont="1" applyFill="1" applyBorder="1"/>
    <xf numFmtId="164" fontId="0" fillId="34" borderId="64" xfId="2" applyNumberFormat="1" applyFont="1" applyFill="1" applyBorder="1"/>
    <xf numFmtId="164" fontId="0" fillId="34" borderId="73" xfId="2" applyNumberFormat="1" applyFont="1" applyFill="1" applyBorder="1"/>
    <xf numFmtId="164" fontId="0" fillId="34" borderId="56" xfId="2" applyNumberFormat="1" applyFont="1" applyFill="1" applyBorder="1"/>
    <xf numFmtId="164" fontId="0" fillId="34" borderId="45" xfId="2" applyNumberFormat="1" applyFont="1" applyFill="1" applyBorder="1"/>
    <xf numFmtId="164" fontId="0" fillId="34" borderId="81" xfId="2" applyNumberFormat="1" applyFont="1" applyFill="1" applyBorder="1"/>
    <xf numFmtId="164" fontId="0" fillId="34" borderId="46" xfId="2" applyNumberFormat="1" applyFont="1" applyFill="1" applyBorder="1"/>
    <xf numFmtId="164" fontId="0" fillId="0" borderId="69" xfId="2" applyNumberFormat="1" applyFont="1" applyBorder="1"/>
    <xf numFmtId="164" fontId="0" fillId="34" borderId="95" xfId="2" applyNumberFormat="1" applyFont="1" applyFill="1" applyBorder="1"/>
    <xf numFmtId="164" fontId="0" fillId="34" borderId="96" xfId="2" applyNumberFormat="1" applyFont="1" applyFill="1" applyBorder="1"/>
    <xf numFmtId="164" fontId="0" fillId="34" borderId="97" xfId="2" applyNumberFormat="1" applyFont="1" applyFill="1" applyBorder="1"/>
    <xf numFmtId="0" fontId="18" fillId="0" borderId="70" xfId="0" applyFont="1" applyBorder="1" applyAlignment="1">
      <alignment horizontal="left"/>
    </xf>
    <xf numFmtId="0" fontId="0" fillId="0" borderId="23" xfId="0" applyBorder="1" applyAlignment="1">
      <alignment horizontal="left"/>
    </xf>
    <xf numFmtId="164" fontId="0" fillId="0" borderId="46" xfId="2" applyNumberFormat="1" applyFont="1" applyFill="1" applyBorder="1"/>
    <xf numFmtId="0" fontId="18" fillId="0" borderId="17" xfId="0" applyFont="1" applyBorder="1" applyAlignment="1">
      <alignment horizontal="left"/>
    </xf>
    <xf numFmtId="0" fontId="0" fillId="0" borderId="27" xfId="0" applyBorder="1" applyAlignment="1">
      <alignment horizontal="left"/>
    </xf>
    <xf numFmtId="0" fontId="0" fillId="0" borderId="0" xfId="0" applyAlignment="1">
      <alignment horizontal="center" vertical="center"/>
    </xf>
    <xf numFmtId="0" fontId="25" fillId="0" borderId="98" xfId="0" applyFont="1" applyBorder="1"/>
    <xf numFmtId="0" fontId="25" fillId="0" borderId="99" xfId="0" applyFont="1" applyBorder="1"/>
    <xf numFmtId="0" fontId="25" fillId="0" borderId="100" xfId="0" applyFont="1" applyFill="1" applyBorder="1" applyAlignment="1">
      <alignment horizontal="center" vertical="center" wrapText="1"/>
    </xf>
    <xf numFmtId="0" fontId="25" fillId="0" borderId="101" xfId="0" applyFont="1" applyFill="1" applyBorder="1" applyAlignment="1">
      <alignment horizontal="center" vertical="center" wrapText="1"/>
    </xf>
    <xf numFmtId="0" fontId="25" fillId="0" borderId="102" xfId="0" applyFont="1" applyFill="1" applyBorder="1" applyAlignment="1">
      <alignment horizontal="center" vertical="center" wrapText="1"/>
    </xf>
    <xf numFmtId="0" fontId="41" fillId="0" borderId="65" xfId="0" applyFont="1" applyBorder="1"/>
    <xf numFmtId="0" fontId="25" fillId="0" borderId="32" xfId="0" applyFont="1" applyBorder="1"/>
    <xf numFmtId="0" fontId="25" fillId="33" borderId="22" xfId="0" applyFont="1" applyFill="1" applyBorder="1" applyAlignment="1">
      <alignment horizontal="center" vertical="top" wrapText="1"/>
    </xf>
    <xf numFmtId="0" fontId="25" fillId="33" borderId="55" xfId="0" applyFont="1" applyFill="1" applyBorder="1" applyAlignment="1">
      <alignment horizontal="center" vertical="top" wrapText="1"/>
    </xf>
    <xf numFmtId="0" fontId="25" fillId="33" borderId="42" xfId="0" applyFont="1" applyFill="1" applyBorder="1" applyAlignment="1">
      <alignment horizontal="center" vertical="top" wrapText="1"/>
    </xf>
    <xf numFmtId="0" fontId="0" fillId="0" borderId="65" xfId="0" applyBorder="1"/>
    <xf numFmtId="0" fontId="0" fillId="0" borderId="21" xfId="0" applyBorder="1"/>
    <xf numFmtId="171" fontId="0" fillId="34" borderId="22" xfId="2" applyNumberFormat="1" applyFont="1" applyFill="1" applyBorder="1"/>
    <xf numFmtId="171" fontId="0" fillId="34" borderId="66" xfId="2" applyNumberFormat="1" applyFont="1" applyFill="1" applyBorder="1"/>
    <xf numFmtId="171" fontId="0" fillId="0" borderId="0" xfId="0" applyNumberFormat="1" applyFill="1"/>
    <xf numFmtId="0" fontId="0" fillId="0" borderId="70" xfId="0" applyBorder="1"/>
    <xf numFmtId="0" fontId="0" fillId="0" borderId="23" xfId="0" applyBorder="1"/>
    <xf numFmtId="171" fontId="0" fillId="34" borderId="24" xfId="2" applyNumberFormat="1" applyFont="1" applyFill="1" applyBorder="1"/>
    <xf numFmtId="0" fontId="0" fillId="0" borderId="17" xfId="0" applyBorder="1"/>
    <xf numFmtId="0" fontId="0" fillId="0" borderId="27" xfId="0" applyBorder="1"/>
    <xf numFmtId="171" fontId="0" fillId="34" borderId="26" xfId="2" applyNumberFormat="1" applyFont="1" applyFill="1" applyBorder="1"/>
    <xf numFmtId="0" fontId="0" fillId="0" borderId="93" xfId="0" applyBorder="1"/>
    <xf numFmtId="0" fontId="0" fillId="0" borderId="94" xfId="0" applyBorder="1"/>
    <xf numFmtId="171" fontId="0" fillId="34" borderId="95" xfId="2" applyNumberFormat="1" applyFont="1" applyFill="1" applyBorder="1"/>
    <xf numFmtId="171" fontId="0" fillId="0" borderId="29" xfId="2" applyNumberFormat="1" applyFont="1" applyBorder="1"/>
    <xf numFmtId="171" fontId="0" fillId="0" borderId="68" xfId="2" applyNumberFormat="1" applyFont="1" applyBorder="1"/>
    <xf numFmtId="171" fontId="0" fillId="0" borderId="69" xfId="2" applyNumberFormat="1" applyFont="1" applyBorder="1"/>
    <xf numFmtId="0" fontId="25" fillId="0" borderId="89" xfId="0" applyFont="1" applyBorder="1"/>
    <xf numFmtId="0" fontId="25" fillId="0" borderId="19" xfId="0" applyFont="1" applyBorder="1"/>
    <xf numFmtId="0" fontId="25" fillId="0" borderId="20" xfId="0" applyFont="1" applyFill="1" applyBorder="1" applyAlignment="1">
      <alignment horizontal="center" vertical="center" wrapText="1"/>
    </xf>
    <xf numFmtId="0" fontId="25" fillId="0" borderId="90" xfId="0" applyFont="1" applyFill="1" applyBorder="1" applyAlignment="1">
      <alignment horizontal="center" vertical="center" wrapText="1"/>
    </xf>
    <xf numFmtId="0" fontId="0" fillId="0" borderId="80" xfId="0" applyBorder="1"/>
    <xf numFmtId="171" fontId="0" fillId="0" borderId="58" xfId="2" applyNumberFormat="1" applyFont="1" applyBorder="1"/>
    <xf numFmtId="171" fontId="0" fillId="34" borderId="25" xfId="2" applyNumberFormat="1" applyFont="1" applyFill="1" applyBorder="1"/>
    <xf numFmtId="171" fontId="0" fillId="34" borderId="46" xfId="2" applyNumberFormat="1" applyFont="1" applyFill="1" applyBorder="1"/>
    <xf numFmtId="0" fontId="25" fillId="0" borderId="48" xfId="0" applyFont="1" applyBorder="1"/>
    <xf numFmtId="0" fontId="0" fillId="0" borderId="49" xfId="0" applyBorder="1"/>
    <xf numFmtId="164" fontId="0" fillId="34" borderId="22" xfId="2" applyNumberFormat="1" applyFont="1" applyFill="1" applyBorder="1"/>
    <xf numFmtId="164" fontId="0" fillId="38" borderId="22" xfId="2" applyNumberFormat="1" applyFont="1" applyFill="1" applyBorder="1"/>
    <xf numFmtId="164" fontId="0" fillId="38" borderId="24" xfId="2" applyNumberFormat="1" applyFont="1" applyFill="1" applyBorder="1"/>
    <xf numFmtId="164" fontId="0" fillId="38" borderId="26" xfId="2" applyNumberFormat="1" applyFont="1" applyFill="1" applyBorder="1"/>
    <xf numFmtId="0" fontId="18" fillId="0" borderId="21" xfId="0" applyFont="1" applyBorder="1"/>
    <xf numFmtId="0" fontId="18" fillId="0" borderId="65" xfId="0" applyFont="1" applyBorder="1"/>
    <xf numFmtId="0" fontId="18" fillId="0" borderId="27" xfId="0" applyFont="1" applyBorder="1"/>
    <xf numFmtId="0" fontId="25" fillId="0" borderId="67" xfId="0" applyFont="1" applyBorder="1"/>
    <xf numFmtId="171" fontId="0" fillId="0" borderId="101" xfId="2" applyNumberFormat="1" applyFont="1" applyFill="1" applyBorder="1"/>
    <xf numFmtId="171" fontId="0" fillId="0" borderId="100" xfId="2" applyNumberFormat="1" applyFont="1" applyFill="1" applyBorder="1"/>
    <xf numFmtId="171" fontId="0" fillId="0" borderId="102" xfId="2" applyNumberFormat="1" applyFont="1" applyFill="1" applyBorder="1"/>
    <xf numFmtId="0" fontId="0" fillId="0" borderId="0" xfId="0" applyBorder="1"/>
    <xf numFmtId="0" fontId="0" fillId="0" borderId="103" xfId="0" applyBorder="1"/>
    <xf numFmtId="0" fontId="0" fillId="0" borderId="63" xfId="0" applyBorder="1"/>
    <xf numFmtId="0" fontId="18" fillId="0" borderId="89" xfId="0" applyFont="1" applyBorder="1"/>
    <xf numFmtId="0" fontId="18" fillId="0" borderId="19" xfId="0" applyFont="1" applyBorder="1"/>
    <xf numFmtId="171" fontId="0" fillId="34" borderId="20" xfId="2" applyNumberFormat="1" applyFont="1" applyFill="1" applyBorder="1"/>
    <xf numFmtId="171" fontId="0" fillId="34" borderId="88" xfId="2" applyNumberFormat="1" applyFont="1" applyFill="1" applyBorder="1"/>
    <xf numFmtId="171" fontId="0" fillId="34" borderId="44" xfId="2" applyNumberFormat="1" applyFont="1" applyFill="1" applyBorder="1"/>
    <xf numFmtId="0" fontId="0" fillId="34" borderId="70" xfId="0" applyFill="1" applyBorder="1" applyAlignment="1"/>
    <xf numFmtId="0" fontId="0" fillId="34" borderId="23" xfId="0" applyFill="1" applyBorder="1" applyAlignment="1"/>
    <xf numFmtId="171" fontId="0" fillId="34" borderId="71" xfId="2" applyNumberFormat="1" applyFont="1" applyFill="1" applyBorder="1"/>
    <xf numFmtId="0" fontId="0" fillId="34" borderId="84" xfId="0" applyFill="1" applyBorder="1" applyAlignment="1"/>
    <xf numFmtId="0" fontId="0" fillId="34" borderId="104" xfId="0" applyFill="1" applyBorder="1" applyAlignment="1"/>
    <xf numFmtId="171" fontId="0" fillId="34" borderId="105" xfId="2" applyNumberFormat="1" applyFont="1" applyFill="1" applyBorder="1"/>
    <xf numFmtId="171" fontId="0" fillId="34" borderId="86" xfId="2" applyNumberFormat="1" applyFont="1" applyFill="1" applyBorder="1"/>
    <xf numFmtId="0" fontId="39" fillId="0" borderId="0" xfId="0" applyFont="1"/>
    <xf numFmtId="0" fontId="25" fillId="0" borderId="0" xfId="0" applyFont="1" applyAlignment="1">
      <alignment vertical="top"/>
    </xf>
    <xf numFmtId="0" fontId="25" fillId="35" borderId="32" xfId="0" applyFont="1" applyFill="1" applyBorder="1" applyAlignment="1">
      <alignment horizontal="center" vertical="center" wrapText="1"/>
    </xf>
    <xf numFmtId="0" fontId="25" fillId="35" borderId="70" xfId="0" applyFont="1" applyFill="1" applyBorder="1" applyAlignment="1">
      <alignment horizontal="center" vertical="center" wrapText="1"/>
    </xf>
    <xf numFmtId="0" fontId="25" fillId="35" borderId="66" xfId="0" applyFont="1" applyFill="1" applyBorder="1" applyAlignment="1">
      <alignment horizontal="center" vertical="center" wrapText="1"/>
    </xf>
    <xf numFmtId="0" fontId="25" fillId="35" borderId="0" xfId="0" applyFont="1" applyFill="1" applyBorder="1" applyAlignment="1">
      <alignment horizontal="center" vertical="center" wrapText="1"/>
    </xf>
    <xf numFmtId="0" fontId="36" fillId="35" borderId="17" xfId="0" applyFont="1" applyFill="1" applyBorder="1" applyAlignment="1">
      <alignment horizontal="left"/>
    </xf>
    <xf numFmtId="0" fontId="36" fillId="35" borderId="0" xfId="0" applyFont="1" applyFill="1" applyBorder="1" applyAlignment="1">
      <alignment horizontal="left"/>
    </xf>
    <xf numFmtId="0" fontId="25" fillId="33" borderId="20" xfId="0" applyFont="1" applyFill="1" applyBorder="1" applyAlignment="1">
      <alignment horizontal="center" vertical="top" wrapText="1"/>
    </xf>
    <xf numFmtId="0" fontId="25" fillId="39" borderId="0" xfId="0" applyFont="1" applyFill="1" applyBorder="1" applyAlignment="1">
      <alignment horizontal="center" wrapText="1"/>
    </xf>
    <xf numFmtId="0" fontId="25" fillId="39" borderId="73" xfId="0" applyFont="1" applyFill="1" applyBorder="1" applyAlignment="1">
      <alignment horizontal="center" wrapText="1"/>
    </xf>
    <xf numFmtId="0" fontId="25" fillId="39" borderId="63" xfId="0" applyFont="1" applyFill="1" applyBorder="1" applyAlignment="1">
      <alignment horizontal="center" wrapText="1"/>
    </xf>
    <xf numFmtId="164" fontId="18" fillId="34" borderId="44" xfId="2" applyNumberFormat="1" applyFill="1" applyBorder="1"/>
    <xf numFmtId="164" fontId="18" fillId="0" borderId="21" xfId="2" applyNumberFormat="1" applyFill="1" applyBorder="1"/>
    <xf numFmtId="172" fontId="18" fillId="0" borderId="44" xfId="3" applyNumberFormat="1" applyFill="1" applyBorder="1"/>
    <xf numFmtId="172" fontId="18" fillId="0" borderId="66" xfId="3" applyNumberFormat="1" applyFill="1" applyBorder="1"/>
    <xf numFmtId="164" fontId="18" fillId="0" borderId="23" xfId="2" applyNumberFormat="1" applyFill="1" applyBorder="1"/>
    <xf numFmtId="172" fontId="18" fillId="0" borderId="71" xfId="3" applyNumberFormat="1" applyFill="1" applyBorder="1"/>
    <xf numFmtId="164" fontId="18" fillId="34" borderId="64" xfId="2" applyNumberFormat="1" applyFill="1" applyBorder="1"/>
    <xf numFmtId="164" fontId="18" fillId="0" borderId="27" xfId="2" applyNumberFormat="1" applyFill="1" applyBorder="1"/>
    <xf numFmtId="172" fontId="18" fillId="0" borderId="64" xfId="3" applyNumberFormat="1" applyFill="1" applyBorder="1"/>
    <xf numFmtId="172" fontId="18" fillId="0" borderId="63" xfId="3" applyNumberFormat="1" applyFill="1" applyBorder="1"/>
    <xf numFmtId="164" fontId="18" fillId="34" borderId="97" xfId="2" applyNumberFormat="1" applyFill="1" applyBorder="1"/>
    <xf numFmtId="164" fontId="18" fillId="0" borderId="94" xfId="2" applyNumberFormat="1" applyFill="1" applyBorder="1"/>
    <xf numFmtId="172" fontId="18" fillId="0" borderId="97" xfId="3" applyNumberFormat="1" applyFill="1" applyBorder="1"/>
    <xf numFmtId="172" fontId="18" fillId="0" borderId="106" xfId="3" applyNumberFormat="1" applyFill="1" applyBorder="1"/>
    <xf numFmtId="164" fontId="18" fillId="0" borderId="68" xfId="2" applyNumberFormat="1" applyBorder="1"/>
    <xf numFmtId="164" fontId="18" fillId="0" borderId="58" xfId="2" applyNumberFormat="1" applyBorder="1"/>
    <xf numFmtId="164" fontId="18" fillId="0" borderId="49" xfId="2" applyNumberFormat="1" applyFill="1" applyBorder="1"/>
    <xf numFmtId="172" fontId="18" fillId="0" borderId="58" xfId="3" applyNumberFormat="1" applyFill="1" applyBorder="1"/>
    <xf numFmtId="172" fontId="18" fillId="0" borderId="69" xfId="3" applyNumberFormat="1" applyFill="1" applyBorder="1"/>
    <xf numFmtId="172" fontId="18" fillId="0" borderId="29" xfId="3" applyNumberFormat="1" applyFill="1" applyBorder="1"/>
    <xf numFmtId="172" fontId="18" fillId="0" borderId="74" xfId="3" applyNumberFormat="1" applyFill="1" applyBorder="1"/>
    <xf numFmtId="172" fontId="18" fillId="0" borderId="46" xfId="3" applyNumberFormat="1" applyFill="1" applyBorder="1"/>
    <xf numFmtId="164" fontId="18" fillId="0" borderId="103" xfId="2" applyNumberFormat="1" applyBorder="1"/>
    <xf numFmtId="164" fontId="18" fillId="0" borderId="101" xfId="2" applyNumberFormat="1" applyBorder="1"/>
    <xf numFmtId="164" fontId="18" fillId="0" borderId="102" xfId="2" applyNumberFormat="1" applyBorder="1"/>
    <xf numFmtId="164" fontId="18" fillId="0" borderId="103" xfId="2" applyNumberFormat="1" applyFill="1" applyBorder="1"/>
    <xf numFmtId="172" fontId="18" fillId="0" borderId="102" xfId="3" applyNumberFormat="1" applyFill="1" applyBorder="1"/>
    <xf numFmtId="172" fontId="0" fillId="0" borderId="0" xfId="0" applyNumberFormat="1"/>
    <xf numFmtId="164" fontId="18" fillId="34" borderId="20" xfId="2" applyNumberFormat="1" applyFill="1" applyBorder="1"/>
    <xf numFmtId="164" fontId="18" fillId="34" borderId="108" xfId="2" applyNumberFormat="1" applyFill="1" applyBorder="1"/>
    <xf numFmtId="164" fontId="18" fillId="0" borderId="87" xfId="2" applyNumberFormat="1" applyFill="1" applyBorder="1"/>
    <xf numFmtId="172" fontId="18" fillId="0" borderId="88" xfId="3" applyNumberFormat="1" applyFill="1" applyBorder="1"/>
    <xf numFmtId="164" fontId="18" fillId="0" borderId="19" xfId="2" applyNumberFormat="1" applyFill="1" applyBorder="1"/>
    <xf numFmtId="172" fontId="18" fillId="0" borderId="90" xfId="3" applyNumberFormat="1" applyFill="1" applyBorder="1"/>
    <xf numFmtId="164" fontId="18" fillId="34" borderId="30" xfId="2" applyNumberFormat="1" applyFill="1" applyBorder="1"/>
    <xf numFmtId="164" fontId="18" fillId="0" borderId="43" xfId="2" applyNumberFormat="1" applyFill="1" applyBorder="1"/>
    <xf numFmtId="0" fontId="0" fillId="34" borderId="70" xfId="0" applyFill="1" applyBorder="1" applyAlignment="1">
      <alignment horizontal="left" vertical="center"/>
    </xf>
    <xf numFmtId="0" fontId="0" fillId="34" borderId="23" xfId="0" applyFill="1" applyBorder="1" applyAlignment="1">
      <alignment horizontal="left" vertical="center"/>
    </xf>
    <xf numFmtId="0" fontId="0" fillId="34" borderId="84" xfId="0" applyFill="1" applyBorder="1" applyAlignment="1">
      <alignment horizontal="left" vertical="center"/>
    </xf>
    <xf numFmtId="0" fontId="0" fillId="34" borderId="104" xfId="0" applyFill="1" applyBorder="1" applyAlignment="1">
      <alignment horizontal="left" vertical="center"/>
    </xf>
    <xf numFmtId="164" fontId="18" fillId="34" borderId="105" xfId="2" applyNumberFormat="1" applyFill="1" applyBorder="1"/>
    <xf numFmtId="164" fontId="18" fillId="34" borderId="109" xfId="2" applyNumberFormat="1" applyFill="1" applyBorder="1"/>
    <xf numFmtId="164" fontId="18" fillId="0" borderId="110" xfId="2" applyNumberFormat="1" applyFill="1" applyBorder="1"/>
    <xf numFmtId="172" fontId="18" fillId="0" borderId="111" xfId="3" applyNumberFormat="1" applyFill="1" applyBorder="1"/>
    <xf numFmtId="164" fontId="18" fillId="0" borderId="104" xfId="2" applyNumberFormat="1" applyFill="1" applyBorder="1"/>
    <xf numFmtId="172" fontId="18" fillId="0" borderId="86" xfId="3" applyNumberFormat="1" applyFill="1" applyBorder="1"/>
    <xf numFmtId="164" fontId="0" fillId="0" borderId="100" xfId="0" applyNumberFormat="1" applyBorder="1"/>
    <xf numFmtId="0" fontId="25" fillId="0" borderId="0" xfId="0" applyFont="1" applyAlignment="1">
      <alignment horizontal="left" vertical="top"/>
    </xf>
    <xf numFmtId="0" fontId="0" fillId="0" borderId="0" xfId="0" applyAlignment="1">
      <alignment horizontal="center"/>
    </xf>
    <xf numFmtId="0" fontId="18" fillId="0" borderId="0" xfId="0" applyFont="1" applyAlignment="1">
      <alignment horizontal="center"/>
    </xf>
    <xf numFmtId="0" fontId="18" fillId="0" borderId="0" xfId="0" applyFont="1" applyAlignment="1">
      <alignment horizontal="center" vertical="top"/>
    </xf>
    <xf numFmtId="0" fontId="43" fillId="0" borderId="33" xfId="5" applyFont="1" applyFill="1" applyBorder="1" applyAlignment="1">
      <alignment vertical="center" wrapText="1"/>
    </xf>
    <xf numFmtId="0" fontId="44" fillId="0" borderId="34" xfId="5" applyFont="1" applyFill="1" applyBorder="1" applyAlignment="1">
      <alignment horizontal="center" vertical="center" wrapText="1"/>
    </xf>
    <xf numFmtId="0" fontId="25" fillId="0" borderId="34" xfId="0" applyFont="1" applyFill="1" applyBorder="1" applyAlignment="1">
      <alignment horizontal="center" vertical="center" wrapText="1"/>
    </xf>
    <xf numFmtId="0" fontId="25" fillId="0" borderId="88" xfId="0" applyFont="1" applyFill="1" applyBorder="1" applyAlignment="1">
      <alignment horizontal="center" vertical="center" wrapText="1"/>
    </xf>
    <xf numFmtId="0" fontId="0" fillId="0" borderId="0" xfId="0" applyAlignment="1">
      <alignment vertical="center" wrapText="1"/>
    </xf>
    <xf numFmtId="0" fontId="45" fillId="0" borderId="112" xfId="5" applyFont="1" applyFill="1" applyBorder="1" applyAlignment="1">
      <alignment vertical="center" wrapText="1"/>
    </xf>
    <xf numFmtId="0" fontId="25" fillId="33" borderId="100" xfId="0" applyFont="1" applyFill="1" applyBorder="1" applyAlignment="1">
      <alignment horizontal="center" vertical="top" wrapText="1"/>
    </xf>
    <xf numFmtId="0" fontId="25" fillId="33" borderId="102" xfId="0" applyFont="1" applyFill="1" applyBorder="1" applyAlignment="1">
      <alignment horizontal="center" vertical="top" wrapText="1"/>
    </xf>
    <xf numFmtId="0" fontId="44" fillId="0" borderId="0" xfId="5" applyFont="1" applyFill="1" applyBorder="1" applyAlignment="1">
      <alignment horizontal="center" vertical="center" wrapText="1"/>
    </xf>
    <xf numFmtId="0" fontId="43" fillId="0" borderId="87" xfId="5" applyFont="1" applyBorder="1" applyAlignment="1">
      <alignment vertical="center" wrapText="1"/>
    </xf>
    <xf numFmtId="164" fontId="43" fillId="34" borderId="20" xfId="2" applyNumberFormat="1" applyFont="1" applyFill="1" applyBorder="1" applyAlignment="1">
      <alignment vertical="center" wrapText="1"/>
    </xf>
    <xf numFmtId="3" fontId="43" fillId="0" borderId="0" xfId="5" applyNumberFormat="1" applyFont="1" applyFill="1" applyBorder="1" applyAlignment="1">
      <alignment vertical="center" wrapText="1"/>
    </xf>
    <xf numFmtId="0" fontId="43" fillId="0" borderId="43" xfId="5" applyFont="1" applyBorder="1" applyAlignment="1">
      <alignment vertical="center" wrapText="1"/>
    </xf>
    <xf numFmtId="164" fontId="43" fillId="34" borderId="24" xfId="2" applyNumberFormat="1" applyFont="1" applyFill="1" applyBorder="1" applyAlignment="1">
      <alignment vertical="center" wrapText="1"/>
    </xf>
    <xf numFmtId="0" fontId="44" fillId="0" borderId="43" xfId="5" applyFont="1" applyBorder="1" applyAlignment="1">
      <alignment vertical="center" wrapText="1"/>
    </xf>
    <xf numFmtId="164" fontId="44" fillId="0" borderId="24" xfId="2" applyNumberFormat="1" applyFont="1" applyBorder="1" applyAlignment="1">
      <alignment vertical="center" wrapText="1"/>
    </xf>
    <xf numFmtId="164" fontId="44" fillId="0" borderId="44" xfId="2" applyNumberFormat="1" applyFont="1" applyBorder="1" applyAlignment="1">
      <alignment vertical="center" wrapText="1"/>
    </xf>
    <xf numFmtId="3" fontId="44" fillId="0" borderId="0" xfId="1" applyNumberFormat="1" applyFont="1" applyFill="1" applyBorder="1" applyAlignment="1">
      <alignment vertical="center" wrapText="1"/>
    </xf>
    <xf numFmtId="173" fontId="43" fillId="40" borderId="24" xfId="3" applyNumberFormat="1" applyFont="1" applyFill="1" applyBorder="1" applyAlignment="1">
      <alignment vertical="center" wrapText="1"/>
    </xf>
    <xf numFmtId="174" fontId="43" fillId="0" borderId="24" xfId="3" applyNumberFormat="1" applyFont="1" applyBorder="1" applyAlignment="1">
      <alignment vertical="center" wrapText="1"/>
    </xf>
    <xf numFmtId="174" fontId="43" fillId="0" borderId="44" xfId="3" applyNumberFormat="1" applyFont="1" applyBorder="1" applyAlignment="1">
      <alignment vertical="center" wrapText="1"/>
    </xf>
    <xf numFmtId="3" fontId="43" fillId="0" borderId="0" xfId="3" applyNumberFormat="1" applyFont="1" applyFill="1" applyBorder="1" applyAlignment="1">
      <alignment vertical="center" wrapText="1"/>
    </xf>
    <xf numFmtId="173" fontId="43" fillId="0" borderId="30" xfId="3" applyNumberFormat="1" applyFont="1" applyBorder="1" applyAlignment="1">
      <alignment vertical="center" wrapText="1"/>
    </xf>
    <xf numFmtId="173" fontId="43" fillId="0" borderId="31" xfId="3" applyNumberFormat="1" applyFont="1" applyBorder="1" applyAlignment="1">
      <alignment vertical="center" wrapText="1"/>
    </xf>
    <xf numFmtId="173" fontId="43" fillId="0" borderId="23" xfId="3" applyNumberFormat="1" applyFont="1" applyBorder="1" applyAlignment="1">
      <alignment vertical="center" wrapText="1"/>
    </xf>
    <xf numFmtId="0" fontId="43" fillId="0" borderId="110" xfId="5" applyFont="1" applyBorder="1" applyAlignment="1">
      <alignment vertical="center" wrapText="1"/>
    </xf>
    <xf numFmtId="3" fontId="43" fillId="40" borderId="105" xfId="1" applyNumberFormat="1" applyFont="1" applyFill="1" applyBorder="1" applyAlignment="1">
      <alignment vertical="center" wrapText="1"/>
    </xf>
    <xf numFmtId="173" fontId="43" fillId="40" borderId="105" xfId="3" applyNumberFormat="1" applyFont="1" applyFill="1" applyBorder="1" applyAlignment="1">
      <alignment vertical="center" wrapText="1"/>
    </xf>
    <xf numFmtId="174" fontId="43" fillId="0" borderId="105" xfId="3" applyNumberFormat="1" applyFont="1" applyBorder="1" applyAlignment="1">
      <alignment vertical="center" wrapText="1"/>
    </xf>
    <xf numFmtId="174" fontId="43" fillId="0" borderId="111" xfId="3" applyNumberFormat="1" applyFont="1" applyBorder="1" applyAlignment="1">
      <alignment vertical="center" wrapText="1"/>
    </xf>
    <xf numFmtId="0" fontId="18" fillId="0" borderId="0" xfId="5" applyAlignment="1">
      <alignment vertical="center" wrapText="1"/>
    </xf>
    <xf numFmtId="165" fontId="18" fillId="0" borderId="0" xfId="1" applyNumberFormat="1" applyFont="1" applyAlignment="1">
      <alignment vertical="center" wrapText="1"/>
    </xf>
    <xf numFmtId="165" fontId="32" fillId="0" borderId="0" xfId="1" applyNumberFormat="1" applyFont="1" applyAlignment="1">
      <alignment vertical="center" wrapText="1"/>
    </xf>
    <xf numFmtId="0" fontId="0" fillId="0" borderId="0" xfId="0" applyFill="1" applyBorder="1" applyAlignment="1">
      <alignment vertical="center" wrapText="1"/>
    </xf>
    <xf numFmtId="0" fontId="43" fillId="0" borderId="87" xfId="5" applyFont="1" applyFill="1" applyBorder="1" applyAlignment="1">
      <alignment vertical="center" wrapText="1"/>
    </xf>
    <xf numFmtId="0" fontId="44" fillId="0" borderId="20" xfId="5" applyFont="1" applyFill="1" applyBorder="1" applyAlignment="1">
      <alignment horizontal="center" vertical="center" wrapText="1"/>
    </xf>
    <xf numFmtId="0" fontId="44" fillId="0" borderId="88" xfId="5" applyFont="1" applyFill="1" applyBorder="1" applyAlignment="1">
      <alignment horizontal="center" vertical="center" wrapText="1"/>
    </xf>
    <xf numFmtId="164" fontId="43" fillId="0" borderId="24" xfId="2" applyNumberFormat="1" applyFont="1" applyBorder="1" applyAlignment="1">
      <alignment vertical="center" wrapText="1"/>
    </xf>
    <xf numFmtId="164" fontId="43" fillId="0" borderId="44" xfId="2" applyNumberFormat="1" applyFont="1" applyBorder="1" applyAlignment="1">
      <alignment vertical="center" wrapText="1"/>
    </xf>
    <xf numFmtId="0" fontId="46" fillId="0" borderId="112" xfId="7" applyFont="1" applyBorder="1" applyAlignment="1">
      <alignment horizontal="center" vertical="center" wrapText="1"/>
    </xf>
    <xf numFmtId="0" fontId="47" fillId="0" borderId="100" xfId="7" applyFont="1" applyBorder="1" applyAlignment="1">
      <alignment horizontal="center" vertical="center" wrapText="1"/>
    </xf>
    <xf numFmtId="0" fontId="47" fillId="0" borderId="102" xfId="7" applyFont="1" applyBorder="1" applyAlignment="1">
      <alignment horizontal="center" vertical="center" wrapText="1"/>
    </xf>
    <xf numFmtId="0" fontId="47" fillId="0" borderId="41" xfId="7" applyFont="1" applyBorder="1" applyAlignment="1">
      <alignment vertical="center" wrapText="1"/>
    </xf>
    <xf numFmtId="164" fontId="43" fillId="0" borderId="22" xfId="2" applyNumberFormat="1" applyFont="1" applyBorder="1" applyAlignment="1">
      <alignment vertical="center" wrapText="1"/>
    </xf>
    <xf numFmtId="164" fontId="46" fillId="0" borderId="22" xfId="2" applyNumberFormat="1" applyFont="1" applyBorder="1" applyAlignment="1">
      <alignment vertical="center" wrapText="1"/>
    </xf>
    <xf numFmtId="164" fontId="46" fillId="0" borderId="42" xfId="2" applyNumberFormat="1" applyFont="1" applyBorder="1" applyAlignment="1">
      <alignment vertical="center" wrapText="1"/>
    </xf>
    <xf numFmtId="0" fontId="47" fillId="0" borderId="43" xfId="7" applyFont="1" applyBorder="1" applyAlignment="1">
      <alignment vertical="center" wrapText="1"/>
    </xf>
    <xf numFmtId="164" fontId="46" fillId="0" borderId="24" xfId="2" applyNumberFormat="1" applyFont="1" applyBorder="1" applyAlignment="1">
      <alignment vertical="center" wrapText="1"/>
    </xf>
    <xf numFmtId="164" fontId="46" fillId="0" borderId="44" xfId="2" applyNumberFormat="1" applyFont="1" applyBorder="1" applyAlignment="1">
      <alignment vertical="center" wrapText="1"/>
    </xf>
    <xf numFmtId="10" fontId="46" fillId="0" borderId="113" xfId="7" applyNumberFormat="1" applyFont="1" applyFill="1" applyBorder="1" applyAlignment="1">
      <alignment vertical="center" wrapText="1"/>
    </xf>
    <xf numFmtId="10" fontId="46" fillId="0" borderId="73" xfId="7" applyNumberFormat="1" applyFont="1" applyFill="1" applyBorder="1" applyAlignment="1">
      <alignment vertical="center" wrapText="1"/>
    </xf>
    <xf numFmtId="0" fontId="46" fillId="0" borderId="114" xfId="7" applyFont="1" applyFill="1" applyBorder="1" applyAlignment="1">
      <alignment vertical="center" wrapText="1"/>
    </xf>
    <xf numFmtId="0" fontId="46" fillId="0" borderId="113" xfId="7" applyFont="1" applyFill="1" applyBorder="1" applyAlignment="1">
      <alignment vertical="center" wrapText="1"/>
    </xf>
    <xf numFmtId="0" fontId="46" fillId="0" borderId="73" xfId="7" applyFont="1" applyFill="1" applyBorder="1" applyAlignment="1">
      <alignment vertical="center" wrapText="1"/>
    </xf>
    <xf numFmtId="0" fontId="46" fillId="0" borderId="74" xfId="7" applyFont="1" applyFill="1" applyBorder="1" applyAlignment="1">
      <alignment vertical="center" wrapText="1"/>
    </xf>
    <xf numFmtId="10" fontId="46" fillId="0" borderId="115" xfId="7" applyNumberFormat="1" applyFont="1" applyFill="1" applyBorder="1" applyAlignment="1">
      <alignment vertical="center" wrapText="1"/>
    </xf>
    <xf numFmtId="10" fontId="46" fillId="0" borderId="0" xfId="7" applyNumberFormat="1" applyFont="1" applyFill="1" applyBorder="1" applyAlignment="1">
      <alignment vertical="center" wrapText="1"/>
    </xf>
    <xf numFmtId="174" fontId="46" fillId="0" borderId="24" xfId="3" applyNumberFormat="1" applyFont="1" applyBorder="1" applyAlignment="1">
      <alignment vertical="center" wrapText="1"/>
    </xf>
    <xf numFmtId="0" fontId="46" fillId="0" borderId="27" xfId="7" applyFont="1" applyFill="1" applyBorder="1" applyAlignment="1">
      <alignment vertical="center" wrapText="1"/>
    </xf>
    <xf numFmtId="0" fontId="46" fillId="0" borderId="115" xfId="7" applyFont="1" applyFill="1" applyBorder="1" applyAlignment="1">
      <alignment vertical="center" wrapText="1"/>
    </xf>
    <xf numFmtId="0" fontId="46" fillId="0" borderId="0" xfId="7" applyFont="1" applyFill="1" applyBorder="1" applyAlignment="1">
      <alignment vertical="center" wrapText="1"/>
    </xf>
    <xf numFmtId="0" fontId="46" fillId="0" borderId="63" xfId="7" applyFont="1" applyFill="1" applyBorder="1" applyAlignment="1">
      <alignment vertical="center" wrapText="1"/>
    </xf>
    <xf numFmtId="10" fontId="46" fillId="0" borderId="55" xfId="7" applyNumberFormat="1" applyFont="1" applyFill="1" applyBorder="1" applyAlignment="1">
      <alignment vertical="center" wrapText="1"/>
    </xf>
    <xf numFmtId="10" fontId="46" fillId="0" borderId="32" xfId="7" applyNumberFormat="1" applyFont="1" applyFill="1" applyBorder="1" applyAlignment="1">
      <alignment vertical="center" wrapText="1"/>
    </xf>
    <xf numFmtId="0" fontId="46" fillId="0" borderId="31" xfId="7" applyFont="1" applyFill="1" applyBorder="1" applyAlignment="1">
      <alignment vertical="center" wrapText="1"/>
    </xf>
    <xf numFmtId="0" fontId="46" fillId="0" borderId="21" xfId="7" applyFont="1" applyFill="1" applyBorder="1" applyAlignment="1">
      <alignment vertical="center" wrapText="1"/>
    </xf>
    <xf numFmtId="174" fontId="46" fillId="0" borderId="24" xfId="7" applyNumberFormat="1" applyFont="1" applyBorder="1" applyAlignment="1">
      <alignment vertical="center" wrapText="1"/>
    </xf>
    <xf numFmtId="0" fontId="46" fillId="0" borderId="55" xfId="7" applyFont="1" applyFill="1" applyBorder="1" applyAlignment="1">
      <alignment vertical="center" wrapText="1"/>
    </xf>
    <xf numFmtId="0" fontId="46" fillId="0" borderId="32" xfId="7" applyFont="1" applyFill="1" applyBorder="1" applyAlignment="1">
      <alignment vertical="center" wrapText="1"/>
    </xf>
    <xf numFmtId="0" fontId="46" fillId="0" borderId="66" xfId="7" applyFont="1" applyFill="1" applyBorder="1" applyAlignment="1">
      <alignment vertical="center" wrapText="1"/>
    </xf>
    <xf numFmtId="174" fontId="46" fillId="0" borderId="31" xfId="7" applyNumberFormat="1" applyFont="1" applyBorder="1" applyAlignment="1">
      <alignment vertical="center" wrapText="1"/>
    </xf>
    <xf numFmtId="174" fontId="46" fillId="0" borderId="44" xfId="3" applyNumberFormat="1" applyFont="1" applyFill="1" applyBorder="1" applyAlignment="1">
      <alignment vertical="center" wrapText="1"/>
    </xf>
    <xf numFmtId="10" fontId="46" fillId="0" borderId="31" xfId="7" applyNumberFormat="1" applyFont="1" applyBorder="1" applyAlignment="1">
      <alignment vertical="center" wrapText="1"/>
    </xf>
    <xf numFmtId="0" fontId="47" fillId="0" borderId="110" xfId="7" applyFont="1" applyBorder="1" applyAlignment="1">
      <alignment vertical="center" wrapText="1"/>
    </xf>
    <xf numFmtId="10" fontId="46" fillId="0" borderId="54" xfId="7" applyNumberFormat="1" applyFont="1" applyFill="1" applyBorder="1" applyAlignment="1">
      <alignment vertical="center" wrapText="1"/>
    </xf>
    <xf numFmtId="10" fontId="46" fillId="0" borderId="68" xfId="7" applyNumberFormat="1" applyFont="1" applyFill="1" applyBorder="1" applyAlignment="1">
      <alignment vertical="center" wrapText="1"/>
    </xf>
    <xf numFmtId="0" fontId="46" fillId="0" borderId="68" xfId="7" applyFont="1" applyFill="1" applyBorder="1" applyAlignment="1">
      <alignment vertical="center" wrapText="1"/>
    </xf>
    <xf numFmtId="0" fontId="46" fillId="0" borderId="78" xfId="7" applyFont="1" applyFill="1" applyBorder="1" applyAlignment="1">
      <alignment vertical="center" wrapText="1"/>
    </xf>
    <xf numFmtId="174" fontId="46" fillId="0" borderId="105" xfId="7" applyNumberFormat="1" applyFont="1" applyBorder="1" applyAlignment="1">
      <alignment vertical="center" wrapText="1"/>
    </xf>
    <xf numFmtId="0" fontId="46" fillId="0" borderId="54" xfId="7" applyFont="1" applyFill="1" applyBorder="1" applyAlignment="1">
      <alignment vertical="center" wrapText="1"/>
    </xf>
    <xf numFmtId="0" fontId="46" fillId="0" borderId="69" xfId="7" applyFont="1" applyFill="1" applyBorder="1" applyAlignment="1">
      <alignment vertical="center" wrapText="1"/>
    </xf>
    <xf numFmtId="0" fontId="25" fillId="0" borderId="0" xfId="0" applyFont="1" applyAlignment="1">
      <alignment vertical="center" wrapText="1"/>
    </xf>
    <xf numFmtId="0" fontId="18" fillId="0" borderId="0" xfId="0" applyFont="1" applyAlignment="1">
      <alignment vertical="center" wrapText="1"/>
    </xf>
    <xf numFmtId="0" fontId="18" fillId="0" borderId="0" xfId="0" applyFont="1" applyAlignment="1">
      <alignment horizontal="left" vertical="top"/>
    </xf>
    <xf numFmtId="0" fontId="18" fillId="0" borderId="0" xfId="0" applyFont="1" applyAlignment="1">
      <alignment vertical="top" wrapText="1"/>
    </xf>
    <xf numFmtId="0" fontId="45" fillId="0" borderId="0" xfId="5" applyFont="1" applyFill="1" applyBorder="1" applyAlignment="1">
      <alignment vertical="center" wrapText="1"/>
    </xf>
    <xf numFmtId="164" fontId="0" fillId="34" borderId="16" xfId="2" applyNumberFormat="1" applyFont="1" applyFill="1" applyBorder="1"/>
    <xf numFmtId="164" fontId="0" fillId="0" borderId="23" xfId="2" applyNumberFormat="1" applyFont="1" applyBorder="1"/>
    <xf numFmtId="164" fontId="0" fillId="0" borderId="71" xfId="2" applyNumberFormat="1" applyFont="1" applyBorder="1"/>
    <xf numFmtId="0" fontId="25" fillId="34" borderId="43" xfId="0" applyFont="1" applyFill="1" applyBorder="1"/>
    <xf numFmtId="0" fontId="18" fillId="34" borderId="43" xfId="0" applyFont="1" applyFill="1" applyBorder="1"/>
    <xf numFmtId="0" fontId="25" fillId="34" borderId="116" xfId="0" applyFont="1" applyFill="1" applyBorder="1"/>
    <xf numFmtId="0" fontId="18" fillId="34" borderId="116" xfId="0" applyFont="1" applyFill="1" applyBorder="1"/>
    <xf numFmtId="0" fontId="25" fillId="34" borderId="47" xfId="0" applyFont="1" applyFill="1" applyBorder="1"/>
    <xf numFmtId="0" fontId="18" fillId="34" borderId="47" xfId="0" applyFont="1" applyFill="1" applyBorder="1"/>
    <xf numFmtId="0" fontId="0" fillId="0" borderId="112" xfId="0" applyBorder="1"/>
    <xf numFmtId="0" fontId="0" fillId="0" borderId="0" xfId="0" applyAlignment="1">
      <alignment horizontal="center" vertical="center" wrapText="1"/>
    </xf>
    <xf numFmtId="0" fontId="41" fillId="0" borderId="98" xfId="0" applyFont="1" applyBorder="1"/>
    <xf numFmtId="0" fontId="25" fillId="33" borderId="101" xfId="0" applyFont="1" applyFill="1" applyBorder="1" applyAlignment="1">
      <alignment horizontal="center" vertical="top" wrapText="1"/>
    </xf>
    <xf numFmtId="0" fontId="0" fillId="0" borderId="43" xfId="0" applyBorder="1"/>
    <xf numFmtId="175" fontId="18" fillId="34" borderId="24" xfId="2" applyNumberFormat="1" applyFill="1" applyBorder="1"/>
    <xf numFmtId="175" fontId="18" fillId="34" borderId="30" xfId="2" applyNumberFormat="1" applyFill="1" applyBorder="1"/>
    <xf numFmtId="175" fontId="18" fillId="34" borderId="44" xfId="2" applyNumberFormat="1" applyFill="1" applyBorder="1"/>
    <xf numFmtId="176" fontId="18" fillId="0" borderId="24" xfId="1" applyNumberFormat="1" applyBorder="1"/>
    <xf numFmtId="176" fontId="18" fillId="0" borderId="44" xfId="1" applyNumberFormat="1" applyBorder="1"/>
    <xf numFmtId="171" fontId="18" fillId="34" borderId="24" xfId="2" applyNumberFormat="1" applyFill="1" applyBorder="1"/>
    <xf numFmtId="171" fontId="18" fillId="34" borderId="30" xfId="2" applyNumberFormat="1" applyFill="1" applyBorder="1"/>
    <xf numFmtId="165" fontId="18" fillId="0" borderId="24" xfId="1" applyNumberFormat="1" applyBorder="1"/>
    <xf numFmtId="165" fontId="18" fillId="0" borderId="44" xfId="1" applyNumberFormat="1" applyBorder="1"/>
    <xf numFmtId="171" fontId="18" fillId="0" borderId="24" xfId="2" applyNumberFormat="1" applyBorder="1"/>
    <xf numFmtId="171" fontId="18" fillId="0" borderId="44" xfId="2" applyNumberFormat="1" applyBorder="1"/>
    <xf numFmtId="171" fontId="18" fillId="0" borderId="0" xfId="2" applyNumberFormat="1" applyFill="1" applyBorder="1"/>
    <xf numFmtId="44" fontId="0" fillId="0" borderId="0" xfId="0" applyNumberFormat="1"/>
    <xf numFmtId="171" fontId="0" fillId="0" borderId="0" xfId="0" applyNumberFormat="1"/>
    <xf numFmtId="0" fontId="25" fillId="0" borderId="43" xfId="0" applyFont="1" applyBorder="1"/>
    <xf numFmtId="0" fontId="25" fillId="0" borderId="43" xfId="0" applyFont="1" applyBorder="1" applyAlignment="1">
      <alignment wrapText="1"/>
    </xf>
    <xf numFmtId="0" fontId="25" fillId="0" borderId="110" xfId="0" applyFont="1" applyBorder="1" applyAlignment="1">
      <alignment vertical="center" wrapText="1"/>
    </xf>
    <xf numFmtId="44" fontId="18" fillId="35" borderId="105" xfId="2" applyFill="1" applyBorder="1"/>
    <xf numFmtId="44" fontId="18" fillId="35" borderId="111" xfId="2" applyFill="1" applyBorder="1"/>
    <xf numFmtId="0" fontId="25" fillId="37" borderId="41" xfId="0" applyFont="1" applyFill="1" applyBorder="1" applyAlignment="1">
      <alignment vertical="center" wrapText="1"/>
    </xf>
    <xf numFmtId="44" fontId="18" fillId="37" borderId="22" xfId="2" applyFill="1" applyBorder="1"/>
    <xf numFmtId="44" fontId="18" fillId="37" borderId="55" xfId="2" applyFill="1" applyBorder="1"/>
    <xf numFmtId="44" fontId="18" fillId="37" borderId="42" xfId="2" applyFill="1" applyBorder="1"/>
    <xf numFmtId="171" fontId="18" fillId="39" borderId="24" xfId="2" applyNumberFormat="1" applyFill="1" applyBorder="1"/>
    <xf numFmtId="44" fontId="18" fillId="39" borderId="105" xfId="2" applyFill="1" applyBorder="1"/>
    <xf numFmtId="44" fontId="18" fillId="35" borderId="109" xfId="2" applyFill="1" applyBorder="1"/>
    <xf numFmtId="0" fontId="38" fillId="0" borderId="0" xfId="0" applyFont="1" applyFill="1" applyBorder="1"/>
    <xf numFmtId="0" fontId="18" fillId="0" borderId="0" xfId="0" applyFont="1" applyFill="1" applyBorder="1"/>
    <xf numFmtId="0" fontId="25" fillId="0" borderId="0" xfId="0" applyFont="1" applyFill="1" applyBorder="1" applyAlignment="1">
      <alignment vertical="top"/>
    </xf>
    <xf numFmtId="0" fontId="25" fillId="0" borderId="59" xfId="0" applyFont="1" applyBorder="1" applyAlignment="1"/>
    <xf numFmtId="0" fontId="0" fillId="0" borderId="62" xfId="0" applyBorder="1" applyAlignment="1"/>
    <xf numFmtId="0" fontId="25" fillId="0" borderId="35" xfId="0" applyFont="1" applyFill="1" applyBorder="1" applyAlignment="1">
      <alignment horizontal="center" vertical="center" wrapText="1"/>
    </xf>
    <xf numFmtId="43" fontId="25" fillId="34" borderId="22" xfId="1" applyFont="1" applyFill="1" applyBorder="1"/>
    <xf numFmtId="43" fontId="25" fillId="34" borderId="42" xfId="1" applyFont="1" applyFill="1" applyBorder="1"/>
    <xf numFmtId="171" fontId="25" fillId="34" borderId="24" xfId="2" applyNumberFormat="1" applyFont="1" applyFill="1" applyBorder="1"/>
    <xf numFmtId="171" fontId="25" fillId="34" borderId="44" xfId="2" applyNumberFormat="1" applyFont="1" applyFill="1" applyBorder="1"/>
    <xf numFmtId="44" fontId="25" fillId="0" borderId="24" xfId="2" applyFont="1" applyBorder="1"/>
    <xf numFmtId="2" fontId="25" fillId="0" borderId="24" xfId="0" applyNumberFormat="1" applyFont="1" applyBorder="1"/>
    <xf numFmtId="2" fontId="25" fillId="0" borderId="44" xfId="0" applyNumberFormat="1" applyFont="1" applyBorder="1"/>
    <xf numFmtId="0" fontId="25" fillId="34" borderId="24" xfId="0" applyFont="1" applyFill="1" applyBorder="1"/>
    <xf numFmtId="2" fontId="25" fillId="34" borderId="24" xfId="0" applyNumberFormat="1" applyFont="1" applyFill="1" applyBorder="1"/>
    <xf numFmtId="2" fontId="25" fillId="34" borderId="44" xfId="0" applyNumberFormat="1" applyFont="1" applyFill="1" applyBorder="1"/>
    <xf numFmtId="43" fontId="25" fillId="0" borderId="24" xfId="1" applyFont="1" applyBorder="1"/>
    <xf numFmtId="43" fontId="25" fillId="0" borderId="44" xfId="1" applyFont="1" applyBorder="1"/>
    <xf numFmtId="43" fontId="25" fillId="0" borderId="105" xfId="1" applyFont="1" applyBorder="1"/>
    <xf numFmtId="43" fontId="25" fillId="0" borderId="111" xfId="1" applyFont="1" applyBorder="1"/>
    <xf numFmtId="0" fontId="25" fillId="0" borderId="0" xfId="0" applyFont="1" applyFill="1" applyBorder="1"/>
    <xf numFmtId="0" fontId="18" fillId="0" borderId="0" xfId="0" quotePrefix="1" applyFont="1" applyAlignment="1">
      <alignment horizontal="center"/>
    </xf>
    <xf numFmtId="0" fontId="51" fillId="0" borderId="0" xfId="5" applyFont="1"/>
    <xf numFmtId="0" fontId="25" fillId="0" borderId="20" xfId="5" applyFont="1" applyBorder="1" applyAlignment="1">
      <alignment horizontal="center" vertical="center" wrapText="1"/>
    </xf>
    <xf numFmtId="0" fontId="25" fillId="0" borderId="88" xfId="5" applyFont="1" applyBorder="1" applyAlignment="1">
      <alignment horizontal="center" vertical="center" wrapText="1"/>
    </xf>
    <xf numFmtId="0" fontId="18" fillId="0" borderId="24" xfId="5" quotePrefix="1" applyBorder="1" applyAlignment="1">
      <alignment horizontal="center"/>
    </xf>
    <xf numFmtId="0" fontId="18" fillId="0" borderId="44" xfId="5" quotePrefix="1" applyBorder="1" applyAlignment="1">
      <alignment horizontal="center"/>
    </xf>
    <xf numFmtId="0" fontId="25" fillId="0" borderId="43" xfId="5" applyFont="1" applyBorder="1" applyAlignment="1">
      <alignment horizontal="center" vertical="top"/>
    </xf>
    <xf numFmtId="0" fontId="18" fillId="0" borderId="24" xfId="5" applyBorder="1" applyAlignment="1">
      <alignment vertical="top" wrapText="1"/>
    </xf>
    <xf numFmtId="0" fontId="18" fillId="34" borderId="24" xfId="5" applyFill="1" applyBorder="1" applyAlignment="1">
      <alignment vertical="top"/>
    </xf>
    <xf numFmtId="171" fontId="0" fillId="34" borderId="24" xfId="8" applyNumberFormat="1" applyFont="1" applyFill="1" applyBorder="1" applyAlignment="1">
      <alignment vertical="top"/>
    </xf>
    <xf numFmtId="0" fontId="18" fillId="33" borderId="24" xfId="5" applyFill="1" applyBorder="1" applyAlignment="1">
      <alignment vertical="top"/>
    </xf>
    <xf numFmtId="10" fontId="0" fillId="0" borderId="24" xfId="9" applyNumberFormat="1" applyFont="1" applyBorder="1" applyAlignment="1">
      <alignment vertical="top"/>
    </xf>
    <xf numFmtId="10" fontId="0" fillId="0" borderId="44" xfId="9" applyNumberFormat="1" applyFont="1" applyBorder="1" applyAlignment="1">
      <alignment vertical="top"/>
    </xf>
    <xf numFmtId="0" fontId="18" fillId="0" borderId="0" xfId="5" applyAlignment="1">
      <alignment vertical="top"/>
    </xf>
    <xf numFmtId="0" fontId="18" fillId="0" borderId="24" xfId="5" applyFont="1" applyBorder="1" applyAlignment="1">
      <alignment vertical="top" wrapText="1"/>
    </xf>
    <xf numFmtId="0" fontId="25" fillId="0" borderId="110" xfId="5" applyFont="1" applyBorder="1" applyAlignment="1">
      <alignment horizontal="center" vertical="top"/>
    </xf>
    <xf numFmtId="0" fontId="18" fillId="0" borderId="105" xfId="5" applyBorder="1" applyAlignment="1">
      <alignment vertical="top" wrapText="1"/>
    </xf>
    <xf numFmtId="0" fontId="18" fillId="34" borderId="105" xfId="5" applyFill="1" applyBorder="1" applyAlignment="1">
      <alignment vertical="top"/>
    </xf>
    <xf numFmtId="171" fontId="0" fillId="34" borderId="105" xfId="8" applyNumberFormat="1" applyFont="1" applyFill="1" applyBorder="1" applyAlignment="1">
      <alignment vertical="top"/>
    </xf>
    <xf numFmtId="0" fontId="18" fillId="33" borderId="105" xfId="5" applyFill="1" applyBorder="1" applyAlignment="1">
      <alignment vertical="top"/>
    </xf>
    <xf numFmtId="10" fontId="0" fillId="0" borderId="105" xfId="9" applyNumberFormat="1" applyFont="1" applyBorder="1" applyAlignment="1">
      <alignment vertical="top"/>
    </xf>
    <xf numFmtId="10" fontId="0" fillId="0" borderId="111" xfId="9" applyNumberFormat="1" applyFont="1" applyBorder="1" applyAlignment="1">
      <alignment vertical="top"/>
    </xf>
    <xf numFmtId="0" fontId="25" fillId="0" borderId="41" xfId="5" applyFont="1" applyBorder="1" applyAlignment="1">
      <alignment horizontal="center" vertical="top"/>
    </xf>
    <xf numFmtId="0" fontId="18" fillId="0" borderId="22" xfId="5" applyBorder="1" applyAlignment="1">
      <alignment vertical="top" wrapText="1"/>
    </xf>
    <xf numFmtId="0" fontId="18" fillId="40" borderId="22" xfId="5" applyFill="1" applyBorder="1" applyAlignment="1">
      <alignment vertical="top"/>
    </xf>
    <xf numFmtId="171" fontId="0" fillId="0" borderId="22" xfId="8" applyNumberFormat="1" applyFont="1" applyBorder="1" applyAlignment="1">
      <alignment vertical="top"/>
    </xf>
    <xf numFmtId="10" fontId="0" fillId="0" borderId="22" xfId="9" applyNumberFormat="1" applyFont="1" applyBorder="1" applyAlignment="1">
      <alignment vertical="top"/>
    </xf>
    <xf numFmtId="10" fontId="0" fillId="0" borderId="42" xfId="9" applyNumberFormat="1" applyFont="1" applyBorder="1" applyAlignment="1">
      <alignment vertical="top"/>
    </xf>
    <xf numFmtId="0" fontId="25" fillId="0" borderId="47" xfId="5" applyFont="1" applyBorder="1" applyAlignment="1">
      <alignment horizontal="center" vertical="top"/>
    </xf>
    <xf numFmtId="0" fontId="18" fillId="0" borderId="45" xfId="5" applyBorder="1" applyAlignment="1">
      <alignment vertical="top" wrapText="1"/>
    </xf>
    <xf numFmtId="0" fontId="18" fillId="40" borderId="45" xfId="5" applyFill="1" applyBorder="1" applyAlignment="1">
      <alignment vertical="top"/>
    </xf>
    <xf numFmtId="171" fontId="0" fillId="0" borderId="45" xfId="8" applyNumberFormat="1" applyFont="1" applyBorder="1" applyAlignment="1">
      <alignment vertical="top"/>
    </xf>
    <xf numFmtId="10" fontId="0" fillId="0" borderId="45" xfId="9" applyNumberFormat="1" applyFont="1" applyBorder="1" applyAlignment="1">
      <alignment vertical="top"/>
    </xf>
    <xf numFmtId="10" fontId="0" fillId="0" borderId="46" xfId="9" applyNumberFormat="1" applyFont="1" applyBorder="1" applyAlignment="1">
      <alignment vertical="top"/>
    </xf>
    <xf numFmtId="0" fontId="25" fillId="0" borderId="37" xfId="5" applyFont="1" applyBorder="1" applyAlignment="1">
      <alignment horizontal="center" vertical="top"/>
    </xf>
    <xf numFmtId="0" fontId="18" fillId="0" borderId="38" xfId="5" applyBorder="1" applyAlignment="1">
      <alignment vertical="top" wrapText="1"/>
    </xf>
    <xf numFmtId="0" fontId="18" fillId="40" borderId="38" xfId="5" applyFill="1" applyBorder="1" applyAlignment="1">
      <alignment vertical="top"/>
    </xf>
    <xf numFmtId="171" fontId="0" fillId="0" borderId="38" xfId="8" applyNumberFormat="1" applyFont="1" applyBorder="1" applyAlignment="1">
      <alignment vertical="top"/>
    </xf>
    <xf numFmtId="10" fontId="0" fillId="0" borderId="38" xfId="9" applyNumberFormat="1" applyFont="1" applyBorder="1" applyAlignment="1">
      <alignment vertical="top"/>
    </xf>
    <xf numFmtId="10" fontId="0" fillId="0" borderId="39" xfId="9" applyNumberFormat="1" applyFont="1" applyBorder="1" applyAlignment="1">
      <alignment vertical="top"/>
    </xf>
    <xf numFmtId="0" fontId="38" fillId="0" borderId="0" xfId="5" quotePrefix="1" applyFont="1"/>
    <xf numFmtId="0" fontId="25" fillId="35" borderId="112" xfId="5" applyFont="1" applyFill="1" applyBorder="1" applyAlignment="1">
      <alignment horizontal="center" vertical="center" wrapText="1"/>
    </xf>
    <xf numFmtId="0" fontId="25" fillId="35" borderId="102" xfId="5" applyFont="1" applyFill="1" applyBorder="1" applyAlignment="1">
      <alignment horizontal="center" vertical="center" wrapText="1"/>
    </xf>
    <xf numFmtId="0" fontId="25" fillId="34" borderId="36" xfId="5" applyFont="1" applyFill="1" applyBorder="1" applyAlignment="1">
      <alignment horizontal="center" vertical="center" wrapText="1"/>
    </xf>
    <xf numFmtId="0" fontId="25" fillId="0" borderId="87" xfId="5" applyFont="1" applyBorder="1" applyAlignment="1">
      <alignment horizontal="center" vertical="top"/>
    </xf>
    <xf numFmtId="0" fontId="18" fillId="0" borderId="108" xfId="5" applyBorder="1" applyAlignment="1">
      <alignment vertical="top" wrapText="1"/>
    </xf>
    <xf numFmtId="171" fontId="18" fillId="0" borderId="20" xfId="5" applyNumberFormat="1" applyFill="1" applyBorder="1" applyAlignment="1">
      <alignment horizontal="right" vertical="center"/>
    </xf>
    <xf numFmtId="171" fontId="18" fillId="0" borderId="90" xfId="5" applyNumberFormat="1" applyFill="1" applyBorder="1" applyAlignment="1">
      <alignment horizontal="right" vertical="center"/>
    </xf>
    <xf numFmtId="171" fontId="18" fillId="34" borderId="117" xfId="5" applyNumberFormat="1" applyFill="1" applyBorder="1" applyAlignment="1">
      <alignment horizontal="right" vertical="center"/>
    </xf>
    <xf numFmtId="0" fontId="18" fillId="0" borderId="55" xfId="5" applyBorder="1" applyAlignment="1">
      <alignment vertical="top" wrapText="1"/>
    </xf>
    <xf numFmtId="171" fontId="18" fillId="0" borderId="22" xfId="5" applyNumberFormat="1" applyFill="1" applyBorder="1" applyAlignment="1">
      <alignment horizontal="right" vertical="center"/>
    </xf>
    <xf numFmtId="171" fontId="18" fillId="0" borderId="66" xfId="5" applyNumberFormat="1" applyFill="1" applyBorder="1" applyAlignment="1">
      <alignment horizontal="right" vertical="center"/>
    </xf>
    <xf numFmtId="171" fontId="18" fillId="34" borderId="118" xfId="5" applyNumberFormat="1" applyFill="1" applyBorder="1" applyAlignment="1">
      <alignment horizontal="right" vertical="center"/>
    </xf>
    <xf numFmtId="0" fontId="18" fillId="0" borderId="30" xfId="5" applyBorder="1" applyAlignment="1">
      <alignment vertical="top" wrapText="1"/>
    </xf>
    <xf numFmtId="171" fontId="18" fillId="0" borderId="24" xfId="5" applyNumberFormat="1" applyFill="1" applyBorder="1" applyAlignment="1">
      <alignment horizontal="right" vertical="center"/>
    </xf>
    <xf numFmtId="171" fontId="18" fillId="0" borderId="71" xfId="5" applyNumberFormat="1" applyFill="1" applyBorder="1" applyAlignment="1">
      <alignment horizontal="right" vertical="center"/>
    </xf>
    <xf numFmtId="0" fontId="25" fillId="0" borderId="116" xfId="5" applyFont="1" applyBorder="1" applyAlignment="1">
      <alignment horizontal="center" vertical="top"/>
    </xf>
    <xf numFmtId="0" fontId="18" fillId="0" borderId="113" xfId="5" applyBorder="1" applyAlignment="1">
      <alignment vertical="top" wrapText="1"/>
    </xf>
    <xf numFmtId="171" fontId="18" fillId="0" borderId="25" xfId="5" applyNumberFormat="1" applyFill="1" applyBorder="1" applyAlignment="1">
      <alignment horizontal="right" vertical="center"/>
    </xf>
    <xf numFmtId="171" fontId="18" fillId="0" borderId="74" xfId="5" applyNumberFormat="1" applyFill="1" applyBorder="1" applyAlignment="1">
      <alignment horizontal="right" vertical="center"/>
    </xf>
    <xf numFmtId="0" fontId="18" fillId="0" borderId="109" xfId="5" applyBorder="1" applyAlignment="1">
      <alignment vertical="top" wrapText="1"/>
    </xf>
    <xf numFmtId="171" fontId="18" fillId="0" borderId="105" xfId="5" applyNumberFormat="1" applyFill="1" applyBorder="1" applyAlignment="1">
      <alignment horizontal="right" vertical="center"/>
    </xf>
    <xf numFmtId="171" fontId="18" fillId="0" borderId="86" xfId="5" applyNumberFormat="1" applyFill="1" applyBorder="1" applyAlignment="1">
      <alignment horizontal="right" vertical="center"/>
    </xf>
    <xf numFmtId="171" fontId="18" fillId="34" borderId="83" xfId="5" applyNumberFormat="1" applyFill="1" applyBorder="1" applyAlignment="1">
      <alignment horizontal="right" vertical="center"/>
    </xf>
    <xf numFmtId="0" fontId="18" fillId="0" borderId="98" xfId="5" applyBorder="1"/>
    <xf numFmtId="0" fontId="18" fillId="0" borderId="103" xfId="5" applyBorder="1"/>
    <xf numFmtId="171" fontId="18" fillId="0" borderId="119" xfId="5" applyNumberFormat="1" applyBorder="1"/>
    <xf numFmtId="43" fontId="0" fillId="0" borderId="16" xfId="10" applyFont="1" applyBorder="1"/>
    <xf numFmtId="0" fontId="25" fillId="0" borderId="0" xfId="0" applyFont="1" applyAlignment="1">
      <alignment horizontal="right"/>
    </xf>
    <xf numFmtId="0" fontId="25" fillId="0" borderId="0" xfId="0" applyFont="1" applyFill="1" applyAlignment="1">
      <alignment horizontal="center"/>
    </xf>
    <xf numFmtId="0" fontId="52" fillId="35" borderId="0" xfId="0" applyFont="1" applyFill="1" applyAlignment="1">
      <alignment horizontal="center"/>
    </xf>
    <xf numFmtId="0" fontId="25" fillId="35" borderId="34" xfId="0" applyFont="1" applyFill="1" applyBorder="1" applyAlignment="1">
      <alignment horizontal="center" vertical="center" wrapText="1"/>
    </xf>
    <xf numFmtId="0" fontId="25" fillId="35" borderId="26" xfId="0" applyFont="1" applyFill="1" applyBorder="1" applyAlignment="1">
      <alignment horizontal="center" vertical="center" wrapText="1"/>
    </xf>
    <xf numFmtId="0" fontId="0" fillId="35" borderId="22" xfId="0" applyFill="1" applyBorder="1" applyAlignment="1">
      <alignment horizontal="center" vertical="center" wrapText="1"/>
    </xf>
    <xf numFmtId="0" fontId="25" fillId="35" borderId="24" xfId="0" applyFont="1" applyFill="1" applyBorder="1" applyAlignment="1">
      <alignment horizontal="center"/>
    </xf>
    <xf numFmtId="0" fontId="25" fillId="35" borderId="44" xfId="0" applyFont="1" applyFill="1" applyBorder="1" applyAlignment="1">
      <alignment horizontal="center"/>
    </xf>
    <xf numFmtId="0" fontId="0" fillId="34" borderId="43" xfId="0" applyFill="1" applyBorder="1"/>
    <xf numFmtId="0" fontId="0" fillId="34" borderId="24" xfId="0" applyFill="1" applyBorder="1"/>
    <xf numFmtId="0" fontId="0" fillId="34" borderId="24" xfId="0" applyFill="1" applyBorder="1" applyAlignment="1">
      <alignment wrapText="1"/>
    </xf>
    <xf numFmtId="0" fontId="0" fillId="34" borderId="24" xfId="0" applyFill="1" applyBorder="1" applyAlignment="1">
      <alignment horizontal="center" wrapText="1"/>
    </xf>
    <xf numFmtId="9" fontId="0" fillId="34" borderId="24" xfId="3" applyFont="1" applyFill="1" applyBorder="1" applyAlignment="1">
      <alignment horizontal="center" wrapText="1"/>
    </xf>
    <xf numFmtId="0" fontId="0" fillId="34" borderId="24" xfId="0" applyFill="1" applyBorder="1" applyAlignment="1">
      <alignment horizontal="center"/>
    </xf>
    <xf numFmtId="171" fontId="0" fillId="34" borderId="24" xfId="2" applyNumberFormat="1" applyFont="1" applyFill="1" applyBorder="1" applyAlignment="1">
      <alignment horizontal="center" wrapText="1"/>
    </xf>
    <xf numFmtId="0" fontId="18" fillId="34" borderId="24" xfId="0" applyFont="1" applyFill="1" applyBorder="1" applyAlignment="1">
      <alignment horizontal="center" wrapText="1"/>
    </xf>
    <xf numFmtId="0" fontId="0" fillId="34" borderId="110" xfId="0" applyFill="1" applyBorder="1"/>
    <xf numFmtId="0" fontId="0" fillId="34" borderId="105" xfId="0" applyFill="1" applyBorder="1"/>
    <xf numFmtId="0" fontId="0" fillId="34" borderId="105" xfId="0" applyFill="1" applyBorder="1" applyAlignment="1">
      <alignment wrapText="1"/>
    </xf>
    <xf numFmtId="0" fontId="18" fillId="34" borderId="105" xfId="0" applyFont="1" applyFill="1" applyBorder="1" applyAlignment="1">
      <alignment horizontal="center" wrapText="1"/>
    </xf>
    <xf numFmtId="9" fontId="0" fillId="34" borderId="105" xfId="3" applyFont="1" applyFill="1" applyBorder="1" applyAlignment="1">
      <alignment horizontal="center" wrapText="1"/>
    </xf>
    <xf numFmtId="171" fontId="0" fillId="34" borderId="105" xfId="2" applyNumberFormat="1" applyFont="1" applyFill="1" applyBorder="1" applyAlignment="1">
      <alignment wrapText="1"/>
    </xf>
    <xf numFmtId="171" fontId="0" fillId="34" borderId="111" xfId="2" applyNumberFormat="1" applyFont="1" applyFill="1" applyBorder="1"/>
    <xf numFmtId="0" fontId="33" fillId="34" borderId="110" xfId="0" applyFont="1" applyFill="1" applyBorder="1"/>
    <xf numFmtId="0" fontId="33" fillId="34" borderId="105" xfId="0" applyFont="1" applyFill="1" applyBorder="1"/>
    <xf numFmtId="0" fontId="0" fillId="34" borderId="105" xfId="0" applyFill="1" applyBorder="1" applyAlignment="1">
      <alignment horizontal="center" wrapText="1"/>
    </xf>
    <xf numFmtId="10" fontId="0" fillId="34" borderId="111" xfId="3" applyNumberFormat="1" applyFont="1" applyFill="1" applyBorder="1"/>
    <xf numFmtId="0" fontId="0" fillId="34" borderId="41" xfId="0" applyFill="1" applyBorder="1"/>
    <xf numFmtId="0" fontId="0" fillId="34" borderId="22" xfId="0" applyFill="1" applyBorder="1"/>
    <xf numFmtId="0" fontId="0" fillId="34" borderId="22" xfId="0" applyFill="1" applyBorder="1" applyAlignment="1">
      <alignment horizontal="center"/>
    </xf>
    <xf numFmtId="0" fontId="0" fillId="34" borderId="42" xfId="0" applyFill="1" applyBorder="1"/>
    <xf numFmtId="0" fontId="0" fillId="34" borderId="44" xfId="0" applyFill="1" applyBorder="1"/>
    <xf numFmtId="0" fontId="0" fillId="34" borderId="105" xfId="0" applyFill="1" applyBorder="1" applyAlignment="1">
      <alignment horizontal="center"/>
    </xf>
    <xf numFmtId="0" fontId="0" fillId="34" borderId="111" xfId="0" applyFill="1" applyBorder="1"/>
    <xf numFmtId="171" fontId="1" fillId="34" borderId="44" xfId="2" applyNumberFormat="1" applyFont="1" applyFill="1" applyBorder="1"/>
    <xf numFmtId="171" fontId="16" fillId="34" borderId="44" xfId="2" applyNumberFormat="1" applyFont="1" applyFill="1" applyBorder="1"/>
    <xf numFmtId="9" fontId="0" fillId="34" borderId="111" xfId="3" applyFont="1" applyFill="1" applyBorder="1"/>
    <xf numFmtId="0" fontId="25" fillId="0" borderId="0" xfId="5" applyFont="1" applyAlignment="1">
      <alignment horizontal="left"/>
    </xf>
    <xf numFmtId="0" fontId="18" fillId="0" borderId="0" xfId="5" applyProtection="1"/>
    <xf numFmtId="0" fontId="18" fillId="0" borderId="0" xfId="5" applyBorder="1" applyProtection="1"/>
    <xf numFmtId="0" fontId="25" fillId="0" borderId="32" xfId="5" applyFont="1" applyBorder="1" applyAlignment="1" applyProtection="1">
      <alignment horizontal="center" vertical="center"/>
    </xf>
    <xf numFmtId="0" fontId="25" fillId="0" borderId="0" xfId="5" applyFont="1" applyBorder="1" applyAlignment="1" applyProtection="1">
      <alignment vertical="center"/>
    </xf>
    <xf numFmtId="0" fontId="25" fillId="0" borderId="0" xfId="5" applyFont="1" applyBorder="1" applyAlignment="1" applyProtection="1">
      <alignment horizontal="center" vertical="center"/>
    </xf>
    <xf numFmtId="0" fontId="25" fillId="0" borderId="0" xfId="5" applyFont="1" applyProtection="1"/>
    <xf numFmtId="0" fontId="18" fillId="0" borderId="0" xfId="5" applyBorder="1" applyAlignment="1" applyProtection="1">
      <alignment horizontal="center"/>
    </xf>
    <xf numFmtId="0" fontId="25" fillId="0" borderId="0" xfId="5" applyFont="1" applyBorder="1" applyProtection="1"/>
    <xf numFmtId="49" fontId="18" fillId="0" borderId="0" xfId="5" applyNumberFormat="1" applyBorder="1" applyProtection="1"/>
    <xf numFmtId="0" fontId="18" fillId="0" borderId="0" xfId="5" quotePrefix="1" applyBorder="1" applyAlignment="1" applyProtection="1">
      <alignment horizontal="center"/>
    </xf>
    <xf numFmtId="0" fontId="18" fillId="0" borderId="0" xfId="5" quotePrefix="1" applyBorder="1" applyAlignment="1" applyProtection="1">
      <alignment horizontal="right"/>
    </xf>
    <xf numFmtId="0" fontId="25" fillId="0" borderId="32" xfId="5" applyFont="1" applyBorder="1" applyProtection="1"/>
    <xf numFmtId="0" fontId="18" fillId="0" borderId="0" xfId="5" quotePrefix="1" applyBorder="1" applyProtection="1"/>
    <xf numFmtId="10" fontId="18" fillId="34" borderId="0" xfId="3" applyNumberFormat="1" applyFont="1" applyFill="1" applyBorder="1" applyProtection="1"/>
    <xf numFmtId="10" fontId="18" fillId="0" borderId="0" xfId="3" applyNumberFormat="1" applyFont="1" applyFill="1" applyBorder="1" applyProtection="1"/>
    <xf numFmtId="177" fontId="18" fillId="34" borderId="0" xfId="5" applyNumberFormat="1" applyFill="1" applyBorder="1" applyProtection="1">
      <protection locked="0"/>
    </xf>
    <xf numFmtId="177" fontId="18" fillId="0" borderId="0" xfId="5" applyNumberFormat="1" applyFill="1" applyBorder="1" applyProtection="1">
      <protection locked="0"/>
    </xf>
    <xf numFmtId="178" fontId="18" fillId="0" borderId="0" xfId="2" applyNumberFormat="1" applyFont="1" applyBorder="1" applyProtection="1"/>
    <xf numFmtId="10" fontId="18" fillId="34" borderId="32" xfId="3" applyNumberFormat="1" applyFont="1" applyFill="1" applyBorder="1" applyProtection="1"/>
    <xf numFmtId="177" fontId="18" fillId="0" borderId="0" xfId="5" quotePrefix="1" applyNumberFormat="1" applyFill="1" applyBorder="1" applyProtection="1">
      <protection locked="0"/>
    </xf>
    <xf numFmtId="178" fontId="18" fillId="0" borderId="32" xfId="2" applyNumberFormat="1" applyFont="1" applyBorder="1" applyProtection="1"/>
    <xf numFmtId="173" fontId="18" fillId="0" borderId="81" xfId="3" applyNumberFormat="1" applyFont="1" applyBorder="1" applyProtection="1"/>
    <xf numFmtId="173" fontId="18" fillId="0" borderId="81" xfId="3" applyNumberFormat="1" applyFont="1" applyFill="1" applyBorder="1" applyProtection="1"/>
    <xf numFmtId="178" fontId="18" fillId="0" borderId="81" xfId="2" applyNumberFormat="1" applyFont="1" applyBorder="1" applyProtection="1"/>
    <xf numFmtId="10" fontId="18" fillId="0" borderId="81" xfId="3" applyNumberFormat="1" applyFont="1" applyBorder="1" applyProtection="1"/>
    <xf numFmtId="0" fontId="18" fillId="42" borderId="0" xfId="5" applyFill="1" applyBorder="1" applyProtection="1"/>
    <xf numFmtId="0" fontId="18" fillId="0" borderId="0" xfId="5" applyFill="1" applyBorder="1" applyProtection="1"/>
    <xf numFmtId="43" fontId="1" fillId="0" borderId="0" xfId="11" applyNumberFormat="1" applyBorder="1"/>
    <xf numFmtId="43" fontId="18" fillId="0" borderId="0" xfId="5" applyNumberFormat="1"/>
    <xf numFmtId="173" fontId="18" fillId="0" borderId="0" xfId="3" applyNumberFormat="1" applyFont="1" applyBorder="1" applyProtection="1"/>
    <xf numFmtId="173" fontId="18" fillId="0" borderId="0" xfId="3" applyNumberFormat="1" applyFont="1" applyFill="1" applyBorder="1" applyProtection="1"/>
    <xf numFmtId="178" fontId="18" fillId="0" borderId="0" xfId="5" applyNumberFormat="1" applyBorder="1" applyProtection="1"/>
    <xf numFmtId="10" fontId="18" fillId="0" borderId="0" xfId="3" applyNumberFormat="1" applyFont="1" applyBorder="1" applyProtection="1"/>
    <xf numFmtId="0" fontId="25" fillId="0" borderId="0" xfId="5" applyFont="1" applyBorder="1" applyAlignment="1" applyProtection="1"/>
    <xf numFmtId="0" fontId="18" fillId="0" borderId="0" xfId="5" applyBorder="1" applyAlignment="1" applyProtection="1"/>
    <xf numFmtId="0" fontId="18" fillId="0" borderId="0" xfId="5" quotePrefix="1" applyBorder="1" applyAlignment="1" applyProtection="1"/>
    <xf numFmtId="10" fontId="18" fillId="34" borderId="0" xfId="3" applyNumberFormat="1" applyFont="1" applyFill="1" applyBorder="1" applyAlignment="1" applyProtection="1"/>
    <xf numFmtId="10" fontId="18" fillId="0" borderId="0" xfId="3" applyNumberFormat="1" applyFont="1" applyFill="1" applyBorder="1" applyAlignment="1" applyProtection="1"/>
    <xf numFmtId="178" fontId="18" fillId="0" borderId="0" xfId="2" applyNumberFormat="1" applyFont="1" applyBorder="1" applyAlignment="1" applyProtection="1"/>
    <xf numFmtId="10" fontId="18" fillId="34" borderId="32" xfId="3" applyNumberFormat="1" applyFont="1" applyFill="1" applyBorder="1" applyAlignment="1" applyProtection="1"/>
    <xf numFmtId="178" fontId="18" fillId="0" borderId="32" xfId="2" applyNumberFormat="1" applyFont="1" applyBorder="1" applyAlignment="1" applyProtection="1"/>
    <xf numFmtId="173" fontId="18" fillId="0" borderId="96" xfId="5" applyNumberFormat="1" applyBorder="1" applyProtection="1"/>
    <xf numFmtId="9" fontId="18" fillId="0" borderId="96" xfId="5" applyNumberFormat="1" applyBorder="1" applyProtection="1"/>
    <xf numFmtId="178" fontId="18" fillId="34" borderId="96" xfId="2" applyNumberFormat="1" applyFont="1" applyFill="1" applyBorder="1" applyProtection="1"/>
    <xf numFmtId="10" fontId="18" fillId="0" borderId="96" xfId="3" applyNumberFormat="1" applyFont="1" applyBorder="1" applyProtection="1"/>
    <xf numFmtId="178" fontId="18" fillId="0" borderId="96" xfId="2" applyNumberFormat="1" applyFont="1" applyBorder="1" applyProtection="1"/>
    <xf numFmtId="0" fontId="25" fillId="0" borderId="0" xfId="5" quotePrefix="1" applyFont="1" applyAlignment="1" applyProtection="1">
      <alignment horizontal="center" vertical="center"/>
    </xf>
    <xf numFmtId="177" fontId="18" fillId="34" borderId="0" xfId="5" applyNumberFormat="1" applyFill="1" applyAlignment="1" applyProtection="1">
      <alignment horizontal="center" vertical="center"/>
      <protection locked="0"/>
    </xf>
    <xf numFmtId="177" fontId="18" fillId="0" borderId="0" xfId="5" applyNumberFormat="1" applyFill="1" applyAlignment="1" applyProtection="1">
      <alignment horizontal="center" vertical="center"/>
      <protection locked="0"/>
    </xf>
    <xf numFmtId="0" fontId="18" fillId="0" borderId="0" xfId="5" applyFill="1" applyProtection="1"/>
    <xf numFmtId="0" fontId="25" fillId="0" borderId="0" xfId="5" applyFont="1" applyAlignment="1"/>
    <xf numFmtId="0" fontId="25" fillId="0" borderId="0" xfId="5" applyFont="1" applyAlignment="1">
      <alignment horizontal="left" indent="4"/>
    </xf>
    <xf numFmtId="0" fontId="37" fillId="0" borderId="0" xfId="5" applyFont="1" applyAlignment="1">
      <alignment horizontal="center" vertical="center"/>
    </xf>
    <xf numFmtId="0" fontId="18" fillId="33" borderId="24" xfId="5" applyFill="1" applyBorder="1"/>
    <xf numFmtId="0" fontId="18" fillId="0" borderId="87" xfId="5" applyFont="1" applyBorder="1" applyAlignment="1">
      <alignment horizontal="right" vertical="top"/>
    </xf>
    <xf numFmtId="0" fontId="18" fillId="0" borderId="20" xfId="5" applyBorder="1" applyAlignment="1">
      <alignment horizontal="left" vertical="top"/>
    </xf>
    <xf numFmtId="0" fontId="18" fillId="0" borderId="20" xfId="5" applyBorder="1" applyAlignment="1">
      <alignment horizontal="center" vertical="top"/>
    </xf>
    <xf numFmtId="0" fontId="18" fillId="0" borderId="20" xfId="5" applyBorder="1" applyAlignment="1">
      <alignment horizontal="center" vertical="top" wrapText="1"/>
    </xf>
    <xf numFmtId="0" fontId="18" fillId="0" borderId="20" xfId="5" applyFont="1" applyBorder="1" applyAlignment="1">
      <alignment horizontal="center" vertical="top" wrapText="1"/>
    </xf>
    <xf numFmtId="0" fontId="18" fillId="0" borderId="88" xfId="5" applyBorder="1"/>
    <xf numFmtId="0" fontId="18" fillId="0" borderId="43" xfId="5" applyBorder="1"/>
    <xf numFmtId="0" fontId="18" fillId="34" borderId="24" xfId="5" applyFont="1" applyFill="1" applyBorder="1"/>
    <xf numFmtId="179" fontId="18" fillId="34" borderId="24" xfId="5" applyNumberFormat="1" applyFill="1" applyBorder="1"/>
    <xf numFmtId="0" fontId="18" fillId="34" borderId="24" xfId="5" applyFill="1" applyBorder="1"/>
    <xf numFmtId="10" fontId="18" fillId="34" borderId="24" xfId="3" applyNumberFormat="1" applyFill="1" applyBorder="1"/>
    <xf numFmtId="44" fontId="0" fillId="0" borderId="24" xfId="2" applyFont="1" applyFill="1" applyBorder="1"/>
    <xf numFmtId="0" fontId="18" fillId="0" borderId="44" xfId="5" applyBorder="1"/>
    <xf numFmtId="0" fontId="18" fillId="33" borderId="24" xfId="5" applyFont="1" applyFill="1" applyBorder="1"/>
    <xf numFmtId="0" fontId="18" fillId="0" borderId="0" xfId="5" applyAlignment="1">
      <alignment horizontal="left" indent="4"/>
    </xf>
    <xf numFmtId="0" fontId="18" fillId="0" borderId="47" xfId="5" applyBorder="1"/>
    <xf numFmtId="0" fontId="18" fillId="0" borderId="45" xfId="5" applyBorder="1"/>
    <xf numFmtId="0" fontId="18" fillId="0" borderId="25" xfId="5" applyBorder="1"/>
    <xf numFmtId="0" fontId="18" fillId="0" borderId="37" xfId="5" applyBorder="1"/>
    <xf numFmtId="0" fontId="18" fillId="0" borderId="38" xfId="5" applyBorder="1"/>
    <xf numFmtId="0" fontId="18" fillId="0" borderId="29" xfId="5" applyBorder="1"/>
    <xf numFmtId="180" fontId="18" fillId="0" borderId="29" xfId="5" applyNumberFormat="1" applyBorder="1"/>
    <xf numFmtId="44" fontId="18" fillId="0" borderId="38" xfId="5" applyNumberFormat="1" applyBorder="1"/>
    <xf numFmtId="0" fontId="18" fillId="0" borderId="111" xfId="5" applyBorder="1"/>
    <xf numFmtId="173" fontId="0" fillId="34" borderId="24" xfId="3" applyNumberFormat="1" applyFont="1" applyFill="1" applyBorder="1"/>
    <xf numFmtId="10" fontId="0" fillId="0" borderId="24" xfId="3" applyNumberFormat="1" applyFont="1" applyBorder="1"/>
    <xf numFmtId="10" fontId="0" fillId="0" borderId="44" xfId="3" applyNumberFormat="1" applyFont="1" applyBorder="1"/>
    <xf numFmtId="171" fontId="0" fillId="0" borderId="105" xfId="2" applyNumberFormat="1" applyFont="1" applyBorder="1"/>
    <xf numFmtId="171" fontId="0" fillId="34" borderId="56" xfId="2" applyNumberFormat="1" applyFont="1" applyFill="1" applyBorder="1"/>
    <xf numFmtId="171" fontId="0" fillId="0" borderId="121" xfId="2" applyNumberFormat="1" applyFont="1" applyBorder="1"/>
    <xf numFmtId="171" fontId="0" fillId="0" borderId="122" xfId="2" applyNumberFormat="1" applyFont="1" applyBorder="1"/>
    <xf numFmtId="43" fontId="0" fillId="34" borderId="24" xfId="1" applyFont="1" applyFill="1" applyBorder="1"/>
    <xf numFmtId="43" fontId="0" fillId="0" borderId="24" xfId="1" applyFont="1" applyBorder="1"/>
    <xf numFmtId="43" fontId="0" fillId="34" borderId="105" xfId="1" applyFont="1" applyFill="1" applyBorder="1"/>
    <xf numFmtId="43" fontId="0" fillId="0" borderId="105" xfId="1" applyFont="1" applyBorder="1"/>
    <xf numFmtId="0" fontId="25" fillId="0" borderId="24" xfId="0" applyFont="1" applyFill="1" applyBorder="1" applyAlignment="1">
      <alignment horizontal="center"/>
    </xf>
    <xf numFmtId="0" fontId="25" fillId="34" borderId="24" xfId="0" applyFont="1" applyFill="1" applyBorder="1" applyAlignment="1">
      <alignment horizontal="center" vertical="center"/>
    </xf>
    <xf numFmtId="0" fontId="0" fillId="0" borderId="43" xfId="0" applyFill="1" applyBorder="1"/>
    <xf numFmtId="0" fontId="25" fillId="0" borderId="43" xfId="0" applyFont="1" applyBorder="1" applyAlignment="1">
      <alignment vertical="top"/>
    </xf>
    <xf numFmtId="0" fontId="0" fillId="0" borderId="24" xfId="0" applyBorder="1" applyAlignment="1">
      <alignment vertical="top" wrapText="1"/>
    </xf>
    <xf numFmtId="41" fontId="0" fillId="34" borderId="24" xfId="1" applyNumberFormat="1" applyFont="1" applyFill="1" applyBorder="1" applyAlignment="1">
      <alignment vertical="top"/>
    </xf>
    <xf numFmtId="165" fontId="0" fillId="0" borderId="44" xfId="1" applyNumberFormat="1" applyFont="1" applyBorder="1" applyAlignment="1">
      <alignment vertical="top"/>
    </xf>
    <xf numFmtId="43" fontId="0" fillId="0" borderId="44" xfId="0" applyNumberFormat="1" applyBorder="1" applyAlignment="1">
      <alignment vertical="top"/>
    </xf>
    <xf numFmtId="165" fontId="0" fillId="0" borderId="24" xfId="1" applyNumberFormat="1" applyFont="1" applyFill="1" applyBorder="1" applyAlignment="1">
      <alignment vertical="top"/>
    </xf>
    <xf numFmtId="165" fontId="0" fillId="0" borderId="44" xfId="1" applyNumberFormat="1" applyFont="1" applyFill="1" applyBorder="1" applyAlignment="1">
      <alignment vertical="top"/>
    </xf>
    <xf numFmtId="165" fontId="0" fillId="0" borderId="44" xfId="0" applyNumberFormat="1" applyBorder="1" applyAlignment="1">
      <alignment vertical="top"/>
    </xf>
    <xf numFmtId="0" fontId="0" fillId="0" borderId="24" xfId="0" applyFill="1" applyBorder="1" applyAlignment="1">
      <alignment vertical="top"/>
    </xf>
    <xf numFmtId="0" fontId="0" fillId="0" borderId="44" xfId="0" applyFill="1" applyBorder="1" applyAlignment="1">
      <alignment vertical="top"/>
    </xf>
    <xf numFmtId="0" fontId="0" fillId="0" borderId="43" xfId="0" applyFill="1" applyBorder="1" applyAlignment="1">
      <alignment vertical="top"/>
    </xf>
    <xf numFmtId="181" fontId="0" fillId="34" borderId="24" xfId="1" applyNumberFormat="1" applyFont="1" applyFill="1" applyBorder="1" applyAlignment="1">
      <alignment vertical="top"/>
    </xf>
    <xf numFmtId="0" fontId="0" fillId="0" borderId="44" xfId="0" applyBorder="1" applyAlignment="1">
      <alignment vertical="top"/>
    </xf>
    <xf numFmtId="0" fontId="0" fillId="0" borderId="110" xfId="0" applyBorder="1" applyAlignment="1">
      <alignment vertical="top"/>
    </xf>
    <xf numFmtId="0" fontId="0" fillId="0" borderId="105" xfId="0" applyBorder="1" applyAlignment="1">
      <alignment vertical="top" wrapText="1"/>
    </xf>
    <xf numFmtId="180" fontId="0" fillId="0" borderId="105" xfId="0" applyNumberFormat="1" applyBorder="1" applyAlignment="1">
      <alignment vertical="top"/>
    </xf>
    <xf numFmtId="180" fontId="0" fillId="0" borderId="111" xfId="0" applyNumberFormat="1" applyBorder="1" applyAlignment="1">
      <alignment vertical="top"/>
    </xf>
    <xf numFmtId="0" fontId="30" fillId="0" borderId="0" xfId="0" applyFont="1"/>
    <xf numFmtId="0" fontId="25" fillId="0" borderId="87" xfId="0" applyFont="1" applyFill="1" applyBorder="1" applyAlignment="1">
      <alignment horizontal="center" vertical="center"/>
    </xf>
    <xf numFmtId="0" fontId="25" fillId="0" borderId="20" xfId="0" applyFont="1" applyFill="1" applyBorder="1" applyAlignment="1">
      <alignment horizontal="center" vertical="center"/>
    </xf>
    <xf numFmtId="0" fontId="25" fillId="0" borderId="43" xfId="0" applyFont="1" applyFill="1" applyBorder="1" applyAlignment="1">
      <alignment horizontal="center"/>
    </xf>
    <xf numFmtId="0" fontId="25" fillId="0" borderId="24" xfId="0" quotePrefix="1" applyFont="1" applyFill="1" applyBorder="1" applyAlignment="1">
      <alignment horizontal="center"/>
    </xf>
    <xf numFmtId="0" fontId="25" fillId="0" borderId="44" xfId="0" quotePrefix="1" applyFont="1" applyFill="1" applyBorder="1" applyAlignment="1">
      <alignment horizontal="center"/>
    </xf>
    <xf numFmtId="0" fontId="0" fillId="0" borderId="43" xfId="0" applyBorder="1" applyAlignment="1">
      <alignment horizontal="center"/>
    </xf>
    <xf numFmtId="0" fontId="0" fillId="0" borderId="24" xfId="0" applyBorder="1" applyAlignment="1">
      <alignment horizontal="center"/>
    </xf>
    <xf numFmtId="171" fontId="0" fillId="0" borderId="24" xfId="2" applyNumberFormat="1" applyFont="1" applyBorder="1"/>
    <xf numFmtId="171" fontId="0" fillId="0" borderId="44" xfId="2" applyNumberFormat="1" applyFont="1" applyBorder="1"/>
    <xf numFmtId="0" fontId="0" fillId="0" borderId="110" xfId="0" applyBorder="1" applyAlignment="1">
      <alignment horizontal="center"/>
    </xf>
    <xf numFmtId="0" fontId="0" fillId="0" borderId="105" xfId="0" quotePrefix="1" applyBorder="1" applyAlignment="1">
      <alignment horizontal="center"/>
    </xf>
    <xf numFmtId="171" fontId="0" fillId="0" borderId="111" xfId="2" applyNumberFormat="1" applyFont="1" applyBorder="1"/>
    <xf numFmtId="0" fontId="0" fillId="0" borderId="0" xfId="0" quotePrefix="1"/>
    <xf numFmtId="0" fontId="33" fillId="0" borderId="0" xfId="0" applyFont="1"/>
    <xf numFmtId="0" fontId="30" fillId="45" borderId="0" xfId="0" applyFont="1" applyFill="1"/>
    <xf numFmtId="0" fontId="0" fillId="0" borderId="0" xfId="0" applyAlignment="1">
      <alignment vertical="top" wrapText="1"/>
    </xf>
    <xf numFmtId="0" fontId="0" fillId="0" borderId="0" xfId="0" applyFill="1" applyAlignment="1">
      <alignment horizontal="left"/>
    </xf>
    <xf numFmtId="0" fontId="25" fillId="0" borderId="0" xfId="0" applyFont="1" applyFill="1" applyAlignment="1">
      <alignment horizontal="left" vertical="center" wrapText="1"/>
    </xf>
    <xf numFmtId="0" fontId="18" fillId="0" borderId="0" xfId="0" applyFont="1" applyFill="1" applyAlignment="1">
      <alignment wrapText="1"/>
    </xf>
    <xf numFmtId="0" fontId="0" fillId="0" borderId="62" xfId="0" applyBorder="1"/>
    <xf numFmtId="0" fontId="25" fillId="0" borderId="35" xfId="0" applyFont="1" applyFill="1" applyBorder="1" applyAlignment="1">
      <alignment horizontal="center"/>
    </xf>
    <xf numFmtId="0" fontId="25" fillId="0" borderId="64" xfId="0" applyFont="1" applyFill="1" applyBorder="1" applyAlignment="1">
      <alignment horizontal="center"/>
    </xf>
    <xf numFmtId="0" fontId="25" fillId="34" borderId="42" xfId="0" applyFont="1" applyFill="1" applyBorder="1" applyAlignment="1">
      <alignment horizontal="center"/>
    </xf>
    <xf numFmtId="0" fontId="0" fillId="0" borderId="26" xfId="0" applyBorder="1"/>
    <xf numFmtId="167" fontId="0" fillId="34" borderId="44" xfId="2" applyNumberFormat="1" applyFont="1" applyFill="1" applyBorder="1"/>
    <xf numFmtId="167" fontId="18" fillId="34" borderId="56" xfId="2" applyNumberFormat="1" applyFont="1" applyFill="1" applyBorder="1"/>
    <xf numFmtId="167" fontId="0" fillId="34" borderId="56" xfId="2" applyNumberFormat="1" applyFont="1" applyFill="1" applyBorder="1"/>
    <xf numFmtId="0" fontId="0" fillId="0" borderId="38" xfId="0" applyBorder="1"/>
    <xf numFmtId="167" fontId="0" fillId="0" borderId="58" xfId="2" applyNumberFormat="1" applyFont="1" applyBorder="1"/>
    <xf numFmtId="0" fontId="0" fillId="0" borderId="0" xfId="0" applyAlignment="1">
      <alignment horizontal="left" wrapText="1"/>
    </xf>
    <xf numFmtId="0" fontId="54" fillId="0" borderId="0" xfId="0" applyFont="1" applyAlignment="1">
      <alignment horizontal="left" wrapText="1"/>
    </xf>
    <xf numFmtId="0" fontId="18" fillId="0" borderId="0" xfId="0" applyFont="1" applyAlignment="1">
      <alignment horizontal="left" wrapText="1"/>
    </xf>
    <xf numFmtId="0" fontId="18" fillId="0" borderId="0" xfId="0" applyFont="1" applyAlignment="1">
      <alignment horizontal="center" vertical="top" wrapText="1"/>
    </xf>
    <xf numFmtId="0" fontId="54" fillId="0" borderId="0" xfId="0" applyFont="1"/>
    <xf numFmtId="43" fontId="0" fillId="0" borderId="0" xfId="1" applyFont="1"/>
    <xf numFmtId="0" fontId="0" fillId="0" borderId="32" xfId="0" applyBorder="1" applyAlignment="1">
      <alignment horizontal="center"/>
    </xf>
    <xf numFmtId="171" fontId="0" fillId="0" borderId="0" xfId="2" applyNumberFormat="1" applyFont="1"/>
    <xf numFmtId="182" fontId="0" fillId="0" borderId="32" xfId="2" applyNumberFormat="1" applyFont="1" applyBorder="1"/>
    <xf numFmtId="183" fontId="0" fillId="0" borderId="0" xfId="1" applyNumberFormat="1" applyFont="1"/>
    <xf numFmtId="171" fontId="0" fillId="0" borderId="85" xfId="2" applyNumberFormat="1" applyFont="1" applyBorder="1"/>
    <xf numFmtId="184" fontId="0" fillId="0" borderId="96" xfId="2" applyNumberFormat="1" applyFont="1" applyBorder="1"/>
    <xf numFmtId="171" fontId="0" fillId="0" borderId="32" xfId="2" applyNumberFormat="1" applyFont="1" applyBorder="1"/>
    <xf numFmtId="10" fontId="0" fillId="0" borderId="32" xfId="3" applyNumberFormat="1" applyFont="1" applyBorder="1"/>
    <xf numFmtId="43" fontId="0" fillId="0" borderId="85" xfId="1" applyFont="1" applyBorder="1"/>
    <xf numFmtId="184" fontId="0" fillId="0" borderId="0" xfId="0" applyNumberFormat="1"/>
    <xf numFmtId="43" fontId="0" fillId="0" borderId="0" xfId="0" quotePrefix="1" applyNumberFormat="1" applyAlignment="1">
      <alignment horizontal="right"/>
    </xf>
    <xf numFmtId="0" fontId="18" fillId="0" borderId="32" xfId="0" applyFont="1" applyBorder="1" applyAlignment="1">
      <alignment horizontal="center"/>
    </xf>
    <xf numFmtId="165" fontId="0" fillId="0" borderId="85" xfId="1" applyNumberFormat="1" applyFont="1" applyBorder="1"/>
    <xf numFmtId="184" fontId="0" fillId="0" borderId="85" xfId="2" applyNumberFormat="1" applyFont="1" applyBorder="1"/>
    <xf numFmtId="0" fontId="32" fillId="0" borderId="0" xfId="5" applyFont="1" applyFill="1" applyBorder="1" applyAlignment="1">
      <alignment horizontal="right" vertical="top"/>
    </xf>
    <xf numFmtId="0" fontId="32" fillId="0" borderId="0" xfId="5" applyFont="1" applyFill="1" applyAlignment="1">
      <alignment horizontal="right" vertical="top"/>
    </xf>
    <xf numFmtId="0" fontId="25" fillId="34" borderId="61" xfId="5" applyFont="1" applyFill="1" applyBorder="1" applyAlignment="1">
      <alignment horizontal="center"/>
    </xf>
    <xf numFmtId="0" fontId="25" fillId="34" borderId="63" xfId="5" applyFont="1" applyFill="1" applyBorder="1" applyAlignment="1">
      <alignment horizontal="center"/>
    </xf>
    <xf numFmtId="15" fontId="25" fillId="0" borderId="42" xfId="5" applyNumberFormat="1" applyFont="1" applyFill="1" applyBorder="1" applyAlignment="1">
      <alignment horizontal="center"/>
    </xf>
    <xf numFmtId="15" fontId="25" fillId="34" borderId="42" xfId="5" applyNumberFormat="1" applyFont="1" applyFill="1" applyBorder="1" applyAlignment="1">
      <alignment horizontal="center"/>
    </xf>
    <xf numFmtId="0" fontId="25" fillId="34" borderId="66" xfId="5" applyFont="1" applyFill="1" applyBorder="1" applyAlignment="1">
      <alignment horizontal="center"/>
    </xf>
    <xf numFmtId="0" fontId="18" fillId="0" borderId="26" xfId="5" applyBorder="1"/>
    <xf numFmtId="171" fontId="18" fillId="46" borderId="124" xfId="2" applyNumberFormat="1" applyFill="1" applyBorder="1" applyAlignment="1"/>
    <xf numFmtId="0" fontId="18" fillId="46" borderId="123" xfId="5" applyFill="1" applyBorder="1" applyAlignment="1"/>
    <xf numFmtId="171" fontId="18" fillId="34" borderId="83" xfId="2" applyNumberFormat="1" applyFill="1" applyBorder="1" applyAlignment="1"/>
    <xf numFmtId="171" fontId="18" fillId="0" borderId="83" xfId="2" applyNumberFormat="1" applyFill="1" applyBorder="1" applyAlignment="1"/>
    <xf numFmtId="171" fontId="18" fillId="34" borderId="111" xfId="2" applyNumberFormat="1" applyFill="1" applyBorder="1"/>
    <xf numFmtId="0" fontId="18" fillId="0" borderId="0" xfId="5" applyFont="1" applyAlignment="1">
      <alignment horizontal="center"/>
    </xf>
    <xf numFmtId="43" fontId="18" fillId="34" borderId="123" xfId="1" applyFill="1" applyBorder="1"/>
    <xf numFmtId="43" fontId="18" fillId="0" borderId="123" xfId="1" applyBorder="1"/>
    <xf numFmtId="165" fontId="18" fillId="34" borderId="123" xfId="1" applyNumberFormat="1" applyFill="1" applyBorder="1"/>
    <xf numFmtId="165" fontId="18" fillId="34" borderId="63" xfId="1" applyNumberFormat="1" applyFill="1" applyBorder="1"/>
    <xf numFmtId="44" fontId="18" fillId="34" borderId="123" xfId="2" applyFill="1" applyBorder="1"/>
    <xf numFmtId="185" fontId="18" fillId="34" borderId="123" xfId="2" applyNumberFormat="1" applyFill="1" applyBorder="1"/>
    <xf numFmtId="44" fontId="18" fillId="0" borderId="123" xfId="2" applyNumberFormat="1" applyBorder="1"/>
    <xf numFmtId="171" fontId="18" fillId="34" borderId="123" xfId="2" applyNumberFormat="1" applyFill="1" applyBorder="1"/>
    <xf numFmtId="171" fontId="18" fillId="0" borderId="123" xfId="2" applyNumberFormat="1" applyBorder="1"/>
    <xf numFmtId="171" fontId="18" fillId="0" borderId="63" xfId="2" applyNumberFormat="1" applyBorder="1"/>
    <xf numFmtId="44" fontId="18" fillId="0" borderId="125" xfId="2" applyNumberFormat="1" applyBorder="1"/>
    <xf numFmtId="171" fontId="18" fillId="0" borderId="125" xfId="2" applyNumberFormat="1" applyBorder="1"/>
    <xf numFmtId="0" fontId="31" fillId="35" borderId="0" xfId="5" applyFont="1" applyFill="1" applyAlignment="1" applyProtection="1">
      <alignment vertical="top"/>
    </xf>
    <xf numFmtId="0" fontId="56" fillId="35" borderId="0" xfId="5" applyFont="1" applyFill="1" applyAlignment="1" applyProtection="1">
      <alignment vertical="top" wrapText="1"/>
    </xf>
    <xf numFmtId="0" fontId="18" fillId="35" borderId="0" xfId="5" applyFill="1" applyBorder="1" applyProtection="1"/>
    <xf numFmtId="0" fontId="57" fillId="35" borderId="0" xfId="5" applyFont="1" applyFill="1" applyBorder="1" applyAlignment="1" applyProtection="1"/>
    <xf numFmtId="0" fontId="18" fillId="35" borderId="0" xfId="5" applyFill="1" applyBorder="1" applyAlignment="1" applyProtection="1">
      <alignment horizontal="left" indent="1"/>
    </xf>
    <xf numFmtId="0" fontId="37" fillId="35" borderId="0" xfId="5" applyFont="1" applyFill="1" applyBorder="1" applyAlignment="1" applyProtection="1"/>
    <xf numFmtId="0" fontId="25" fillId="0" borderId="0" xfId="5" applyFont="1" applyAlignment="1" applyProtection="1">
      <alignment horizontal="right"/>
    </xf>
    <xf numFmtId="0" fontId="18" fillId="0" borderId="0" xfId="5" applyFont="1" applyAlignment="1" applyProtection="1">
      <alignment horizontal="right"/>
    </xf>
    <xf numFmtId="0" fontId="37" fillId="0" borderId="0" xfId="5" applyFont="1" applyAlignment="1" applyProtection="1">
      <alignment horizontal="center"/>
    </xf>
    <xf numFmtId="0" fontId="18" fillId="0" borderId="0" xfId="5" applyFont="1" applyProtection="1"/>
    <xf numFmtId="0" fontId="25" fillId="34" borderId="24" xfId="5" applyFont="1" applyFill="1" applyBorder="1" applyProtection="1">
      <protection locked="0"/>
    </xf>
    <xf numFmtId="0" fontId="25" fillId="0" borderId="0" xfId="5" applyFont="1" applyAlignment="1" applyProtection="1"/>
    <xf numFmtId="0" fontId="25" fillId="0" borderId="0" xfId="5" applyFont="1" applyAlignment="1" applyProtection="1">
      <alignment horizontal="center"/>
    </xf>
    <xf numFmtId="0" fontId="25" fillId="0" borderId="25" xfId="5" applyFont="1" applyBorder="1" applyAlignment="1" applyProtection="1">
      <alignment horizontal="center"/>
    </xf>
    <xf numFmtId="0" fontId="25" fillId="0" borderId="27" xfId="5" applyFont="1" applyBorder="1" applyAlignment="1" applyProtection="1">
      <alignment horizontal="center"/>
    </xf>
    <xf numFmtId="0" fontId="25" fillId="0" borderId="114" xfId="5" applyFont="1" applyBorder="1" applyAlignment="1" applyProtection="1">
      <alignment horizontal="center"/>
    </xf>
    <xf numFmtId="0" fontId="25" fillId="0" borderId="22" xfId="5" quotePrefix="1" applyFont="1" applyBorder="1" applyAlignment="1" applyProtection="1">
      <alignment horizontal="center"/>
    </xf>
    <xf numFmtId="0" fontId="25" fillId="0" borderId="21" xfId="5" quotePrefix="1" applyFont="1" applyBorder="1" applyAlignment="1" applyProtection="1">
      <alignment horizontal="center"/>
    </xf>
    <xf numFmtId="0" fontId="18" fillId="0" borderId="0" xfId="5" applyAlignment="1" applyProtection="1">
      <alignment vertical="top"/>
    </xf>
    <xf numFmtId="0" fontId="18" fillId="33" borderId="0" xfId="5" applyFill="1" applyAlignment="1" applyProtection="1">
      <alignment vertical="top"/>
      <protection locked="0"/>
    </xf>
    <xf numFmtId="0" fontId="18" fillId="0" borderId="0" xfId="5" applyFill="1" applyAlignment="1" applyProtection="1">
      <alignment vertical="top"/>
    </xf>
    <xf numFmtId="185" fontId="18" fillId="34" borderId="26" xfId="12" applyNumberFormat="1" applyFont="1" applyFill="1" applyBorder="1" applyAlignment="1" applyProtection="1">
      <alignment vertical="top"/>
      <protection locked="0"/>
    </xf>
    <xf numFmtId="0" fontId="18" fillId="0" borderId="26" xfId="5" applyFill="1" applyBorder="1" applyAlignment="1" applyProtection="1">
      <alignment vertical="center"/>
    </xf>
    <xf numFmtId="44" fontId="0" fillId="0" borderId="27" xfId="12" applyNumberFormat="1" applyFont="1" applyBorder="1" applyAlignment="1" applyProtection="1">
      <alignment vertical="center"/>
    </xf>
    <xf numFmtId="0" fontId="18" fillId="0" borderId="0" xfId="5" applyAlignment="1" applyProtection="1">
      <alignment vertical="center"/>
    </xf>
    <xf numFmtId="185" fontId="18" fillId="34" borderId="26" xfId="12" applyNumberFormat="1" applyFont="1" applyFill="1" applyBorder="1" applyAlignment="1" applyProtection="1">
      <alignment vertical="center"/>
      <protection locked="0"/>
    </xf>
    <xf numFmtId="0" fontId="18" fillId="0" borderId="27" xfId="5" applyFill="1" applyBorder="1" applyAlignment="1" applyProtection="1">
      <alignment vertical="center"/>
    </xf>
    <xf numFmtId="44" fontId="18" fillId="0" borderId="26" xfId="5" applyNumberFormat="1" applyBorder="1" applyAlignment="1" applyProtection="1">
      <alignment vertical="center"/>
    </xf>
    <xf numFmtId="10" fontId="0" fillId="0" borderId="27" xfId="3" applyNumberFormat="1" applyFont="1" applyBorder="1" applyAlignment="1" applyProtection="1">
      <alignment vertical="center"/>
    </xf>
    <xf numFmtId="0" fontId="18" fillId="34" borderId="0" xfId="5" applyFill="1" applyAlignment="1" applyProtection="1">
      <alignment vertical="top"/>
    </xf>
    <xf numFmtId="0" fontId="18" fillId="34" borderId="0" xfId="5" applyFill="1" applyAlignment="1" applyProtection="1">
      <alignment vertical="top"/>
      <protection locked="0"/>
    </xf>
    <xf numFmtId="0" fontId="25" fillId="47" borderId="30" xfId="5" applyFont="1" applyFill="1" applyBorder="1" applyAlignment="1" applyProtection="1">
      <alignment vertical="top"/>
      <protection locked="0"/>
    </xf>
    <xf numFmtId="0" fontId="18" fillId="47" borderId="31" xfId="5" applyFill="1" applyBorder="1" applyAlignment="1" applyProtection="1">
      <alignment vertical="top"/>
    </xf>
    <xf numFmtId="0" fontId="18" fillId="47" borderId="31" xfId="5" applyFill="1" applyBorder="1" applyAlignment="1" applyProtection="1">
      <alignment vertical="top"/>
      <protection locked="0"/>
    </xf>
    <xf numFmtId="185" fontId="18" fillId="47" borderId="24" xfId="12" applyNumberFormat="1" applyFont="1" applyFill="1" applyBorder="1" applyAlignment="1" applyProtection="1">
      <alignment vertical="top"/>
      <protection locked="0"/>
    </xf>
    <xf numFmtId="0" fontId="18" fillId="47" borderId="24" xfId="5" applyFill="1" applyBorder="1" applyAlignment="1" applyProtection="1">
      <alignment vertical="center"/>
      <protection locked="0"/>
    </xf>
    <xf numFmtId="44" fontId="18" fillId="47" borderId="23" xfId="12" applyNumberFormat="1" applyFont="1" applyFill="1" applyBorder="1" applyAlignment="1" applyProtection="1">
      <alignment vertical="center"/>
    </xf>
    <xf numFmtId="0" fontId="18" fillId="47" borderId="0" xfId="5" applyFill="1" applyAlignment="1" applyProtection="1">
      <alignment vertical="center"/>
    </xf>
    <xf numFmtId="185" fontId="18" fillId="47" borderId="24" xfId="12" applyNumberFormat="1" applyFont="1" applyFill="1" applyBorder="1" applyAlignment="1" applyProtection="1">
      <alignment vertical="center"/>
      <protection locked="0"/>
    </xf>
    <xf numFmtId="0" fontId="18" fillId="47" borderId="23" xfId="5" applyFill="1" applyBorder="1" applyAlignment="1" applyProtection="1">
      <alignment vertical="center"/>
      <protection locked="0"/>
    </xf>
    <xf numFmtId="44" fontId="25" fillId="47" borderId="24" xfId="5" applyNumberFormat="1" applyFont="1" applyFill="1" applyBorder="1" applyAlignment="1" applyProtection="1">
      <alignment vertical="center"/>
    </xf>
    <xf numFmtId="10" fontId="25" fillId="47" borderId="23" xfId="3" applyNumberFormat="1" applyFont="1" applyFill="1" applyBorder="1" applyAlignment="1" applyProtection="1">
      <alignment vertical="center"/>
    </xf>
    <xf numFmtId="0" fontId="18" fillId="34" borderId="0" xfId="5" applyFont="1" applyFill="1" applyAlignment="1" applyProtection="1">
      <alignment vertical="top" wrapText="1"/>
    </xf>
    <xf numFmtId="0" fontId="18" fillId="0" borderId="0" xfId="5" applyFont="1" applyAlignment="1" applyProtection="1">
      <alignment vertical="top"/>
    </xf>
    <xf numFmtId="0" fontId="18" fillId="40" borderId="24" xfId="5" applyFill="1" applyBorder="1" applyAlignment="1" applyProtection="1">
      <alignment vertical="top"/>
    </xf>
    <xf numFmtId="0" fontId="18" fillId="40" borderId="24" xfId="5" applyFill="1" applyBorder="1" applyAlignment="1" applyProtection="1">
      <alignment vertical="center"/>
    </xf>
    <xf numFmtId="44" fontId="18" fillId="40" borderId="23" xfId="12" applyNumberFormat="1" applyFont="1" applyFill="1" applyBorder="1" applyAlignment="1" applyProtection="1">
      <alignment vertical="center"/>
    </xf>
    <xf numFmtId="0" fontId="25" fillId="47" borderId="30" xfId="5" applyFont="1" applyFill="1" applyBorder="1" applyAlignment="1" applyProtection="1">
      <alignment vertical="top" wrapText="1"/>
    </xf>
    <xf numFmtId="0" fontId="18" fillId="47" borderId="31" xfId="5" applyFill="1" applyBorder="1" applyProtection="1"/>
    <xf numFmtId="0" fontId="18" fillId="47" borderId="24" xfId="5" applyFill="1" applyBorder="1" applyProtection="1"/>
    <xf numFmtId="0" fontId="18" fillId="47" borderId="24" xfId="5" applyFill="1" applyBorder="1" applyAlignment="1" applyProtection="1">
      <alignment vertical="center"/>
    </xf>
    <xf numFmtId="44" fontId="25" fillId="47" borderId="23" xfId="5" applyNumberFormat="1" applyFont="1" applyFill="1" applyBorder="1" applyAlignment="1" applyProtection="1">
      <alignment vertical="center"/>
    </xf>
    <xf numFmtId="0" fontId="18" fillId="47" borderId="23" xfId="5" applyFill="1" applyBorder="1" applyAlignment="1" applyProtection="1">
      <alignment vertical="center"/>
    </xf>
    <xf numFmtId="0" fontId="18" fillId="33" borderId="0" xfId="5" applyFill="1" applyAlignment="1" applyProtection="1">
      <alignment vertical="center"/>
      <protection locked="0"/>
    </xf>
    <xf numFmtId="0" fontId="18" fillId="0" borderId="0" xfId="5" applyFill="1" applyAlignment="1" applyProtection="1">
      <alignment vertical="center"/>
    </xf>
    <xf numFmtId="1" fontId="18" fillId="0" borderId="26" xfId="5" applyNumberFormat="1" applyFill="1" applyBorder="1" applyAlignment="1" applyProtection="1">
      <alignment vertical="center"/>
    </xf>
    <xf numFmtId="1" fontId="18" fillId="0" borderId="27" xfId="5" applyNumberFormat="1" applyFill="1" applyBorder="1" applyAlignment="1" applyProtection="1">
      <alignment vertical="center"/>
    </xf>
    <xf numFmtId="0" fontId="18" fillId="0" borderId="0" xfId="5" applyAlignment="1" applyProtection="1">
      <alignment vertical="center" wrapText="1"/>
    </xf>
    <xf numFmtId="0" fontId="18" fillId="47" borderId="24" xfId="5" applyFill="1" applyBorder="1" applyAlignment="1" applyProtection="1">
      <alignment vertical="top"/>
    </xf>
    <xf numFmtId="0" fontId="25" fillId="47" borderId="0" xfId="5" applyFont="1" applyFill="1" applyAlignment="1" applyProtection="1">
      <alignment vertical="center"/>
    </xf>
    <xf numFmtId="0" fontId="25" fillId="47" borderId="24" xfId="5" applyFont="1" applyFill="1" applyBorder="1" applyAlignment="1" applyProtection="1">
      <alignment vertical="center"/>
    </xf>
    <xf numFmtId="0" fontId="25" fillId="47" borderId="23" xfId="5" applyFont="1" applyFill="1" applyBorder="1" applyAlignment="1" applyProtection="1">
      <alignment vertical="center"/>
    </xf>
    <xf numFmtId="0" fontId="18" fillId="0" borderId="0" xfId="5" applyAlignment="1" applyProtection="1">
      <alignment vertical="top" wrapText="1"/>
    </xf>
    <xf numFmtId="185" fontId="18" fillId="34" borderId="26" xfId="12" applyNumberFormat="1" applyFill="1" applyBorder="1" applyAlignment="1" applyProtection="1">
      <alignment vertical="top"/>
      <protection locked="0"/>
    </xf>
    <xf numFmtId="44" fontId="18" fillId="0" borderId="27" xfId="12" applyNumberFormat="1" applyBorder="1" applyAlignment="1" applyProtection="1">
      <alignment vertical="center"/>
    </xf>
    <xf numFmtId="185" fontId="18" fillId="34" borderId="26" xfId="12" applyNumberFormat="1" applyFill="1" applyBorder="1" applyAlignment="1" applyProtection="1">
      <alignment vertical="center"/>
      <protection locked="0"/>
    </xf>
    <xf numFmtId="10" fontId="18" fillId="0" borderId="27" xfId="3" applyNumberFormat="1" applyBorder="1" applyAlignment="1" applyProtection="1">
      <alignment vertical="center"/>
    </xf>
    <xf numFmtId="185" fontId="18" fillId="0" borderId="26" xfId="12" applyNumberFormat="1" applyFill="1" applyBorder="1" applyAlignment="1" applyProtection="1">
      <alignment vertical="top"/>
      <protection locked="0"/>
    </xf>
    <xf numFmtId="1" fontId="18" fillId="0" borderId="26" xfId="5" applyNumberFormat="1" applyFont="1" applyFill="1" applyBorder="1" applyAlignment="1" applyProtection="1">
      <alignment vertical="center"/>
    </xf>
    <xf numFmtId="0" fontId="18" fillId="48" borderId="98" xfId="5" applyFont="1" applyFill="1" applyBorder="1" applyProtection="1"/>
    <xf numFmtId="0" fontId="18" fillId="48" borderId="103" xfId="5" applyFill="1" applyBorder="1" applyAlignment="1" applyProtection="1">
      <alignment vertical="top"/>
    </xf>
    <xf numFmtId="0" fontId="18" fillId="48" borderId="103" xfId="5" applyFill="1" applyBorder="1" applyAlignment="1" applyProtection="1">
      <alignment vertical="top"/>
      <protection locked="0"/>
    </xf>
    <xf numFmtId="185" fontId="18" fillId="48" borderId="99" xfId="12" applyNumberFormat="1" applyFill="1" applyBorder="1" applyAlignment="1" applyProtection="1">
      <alignment vertical="top"/>
      <protection locked="0"/>
    </xf>
    <xf numFmtId="0" fontId="18" fillId="48" borderId="100" xfId="5" applyFill="1" applyBorder="1" applyAlignment="1" applyProtection="1">
      <alignment vertical="center"/>
      <protection locked="0"/>
    </xf>
    <xf numFmtId="44" fontId="18" fillId="48" borderId="103" xfId="12" applyNumberFormat="1" applyFill="1" applyBorder="1" applyAlignment="1" applyProtection="1">
      <alignment vertical="center"/>
    </xf>
    <xf numFmtId="0" fontId="18" fillId="48" borderId="103" xfId="5" applyFill="1" applyBorder="1" applyAlignment="1" applyProtection="1">
      <alignment vertical="center"/>
    </xf>
    <xf numFmtId="0" fontId="18" fillId="48" borderId="99" xfId="5" applyFill="1" applyBorder="1" applyAlignment="1" applyProtection="1">
      <alignment vertical="center"/>
      <protection locked="0"/>
    </xf>
    <xf numFmtId="44" fontId="18" fillId="48" borderId="99" xfId="5" applyNumberFormat="1" applyFill="1" applyBorder="1" applyAlignment="1" applyProtection="1">
      <alignment vertical="center"/>
    </xf>
    <xf numFmtId="10" fontId="18" fillId="48" borderId="119" xfId="3" applyNumberFormat="1" applyFill="1" applyBorder="1" applyAlignment="1" applyProtection="1">
      <alignment vertical="center"/>
    </xf>
    <xf numFmtId="0" fontId="25" fillId="0" borderId="0" xfId="5" applyFont="1" applyFill="1" applyAlignment="1" applyProtection="1">
      <alignment vertical="top"/>
    </xf>
    <xf numFmtId="9" fontId="18" fillId="0" borderId="26" xfId="5" applyNumberFormat="1" applyFill="1" applyBorder="1" applyAlignment="1" applyProtection="1">
      <alignment vertical="top"/>
    </xf>
    <xf numFmtId="9" fontId="18" fillId="0" borderId="0" xfId="5" applyNumberFormat="1" applyFill="1" applyBorder="1" applyAlignment="1" applyProtection="1">
      <alignment vertical="center"/>
    </xf>
    <xf numFmtId="44" fontId="25" fillId="0" borderId="115" xfId="5" applyNumberFormat="1" applyFont="1" applyFill="1" applyBorder="1" applyAlignment="1" applyProtection="1">
      <alignment vertical="center"/>
    </xf>
    <xf numFmtId="0" fontId="25" fillId="0" borderId="26" xfId="5" applyFont="1" applyFill="1" applyBorder="1" applyAlignment="1" applyProtection="1">
      <alignment vertical="center"/>
    </xf>
    <xf numFmtId="9" fontId="25" fillId="0" borderId="26" xfId="5" applyNumberFormat="1" applyFont="1" applyFill="1" applyBorder="1" applyAlignment="1" applyProtection="1">
      <alignment vertical="center"/>
    </xf>
    <xf numFmtId="44" fontId="25" fillId="0" borderId="27" xfId="5" applyNumberFormat="1" applyFont="1" applyFill="1" applyBorder="1" applyAlignment="1" applyProtection="1">
      <alignment vertical="center"/>
    </xf>
    <xf numFmtId="0" fontId="25" fillId="0" borderId="0" xfId="5" applyFont="1" applyFill="1" applyBorder="1" applyAlignment="1" applyProtection="1">
      <alignment vertical="center"/>
    </xf>
    <xf numFmtId="44" fontId="25" fillId="0" borderId="26" xfId="5" applyNumberFormat="1" applyFont="1" applyFill="1" applyBorder="1" applyAlignment="1" applyProtection="1">
      <alignment vertical="center"/>
    </xf>
    <xf numFmtId="10" fontId="25" fillId="0" borderId="27" xfId="3" applyNumberFormat="1" applyFont="1" applyFill="1" applyBorder="1" applyAlignment="1" applyProtection="1">
      <alignment vertical="center"/>
    </xf>
    <xf numFmtId="0" fontId="18" fillId="0" borderId="0" xfId="5" applyFont="1" applyFill="1" applyAlignment="1" applyProtection="1">
      <alignment horizontal="left" vertical="top" indent="1"/>
    </xf>
    <xf numFmtId="9" fontId="18" fillId="0" borderId="26" xfId="5" applyNumberFormat="1" applyFill="1" applyBorder="1" applyAlignment="1" applyProtection="1">
      <alignment vertical="top"/>
      <protection locked="0"/>
    </xf>
    <xf numFmtId="44" fontId="18" fillId="0" borderId="115" xfId="5" applyNumberFormat="1" applyFont="1" applyFill="1" applyBorder="1" applyAlignment="1" applyProtection="1">
      <alignment vertical="center"/>
    </xf>
    <xf numFmtId="0" fontId="18" fillId="0" borderId="26" xfId="5" applyFont="1" applyFill="1" applyBorder="1" applyAlignment="1" applyProtection="1">
      <alignment vertical="center"/>
    </xf>
    <xf numFmtId="9" fontId="18" fillId="0" borderId="26" xfId="5" applyNumberFormat="1" applyFont="1" applyFill="1" applyBorder="1" applyAlignment="1" applyProtection="1">
      <alignment vertical="top"/>
      <protection locked="0"/>
    </xf>
    <xf numFmtId="9" fontId="18" fillId="0" borderId="26" xfId="5" applyNumberFormat="1" applyFont="1" applyFill="1" applyBorder="1" applyAlignment="1" applyProtection="1">
      <alignment vertical="center"/>
    </xf>
    <xf numFmtId="44" fontId="18" fillId="0" borderId="27" xfId="5" applyNumberFormat="1" applyFont="1" applyFill="1" applyBorder="1" applyAlignment="1" applyProtection="1">
      <alignment vertical="center"/>
    </xf>
    <xf numFmtId="0" fontId="18" fillId="0" borderId="0" xfId="5" applyFont="1" applyFill="1" applyBorder="1" applyAlignment="1" applyProtection="1">
      <alignment vertical="center"/>
    </xf>
    <xf numFmtId="44" fontId="18" fillId="0" borderId="26" xfId="5" applyNumberFormat="1" applyFont="1" applyFill="1" applyBorder="1" applyAlignment="1" applyProtection="1">
      <alignment vertical="center"/>
    </xf>
    <xf numFmtId="10" fontId="18" fillId="0" borderId="27" xfId="3" applyNumberFormat="1" applyFont="1" applyFill="1" applyBorder="1" applyAlignment="1" applyProtection="1">
      <alignment vertical="center"/>
    </xf>
    <xf numFmtId="0" fontId="25" fillId="0" borderId="0" xfId="5" applyFont="1" applyAlignment="1" applyProtection="1">
      <alignment horizontal="left" vertical="top" wrapText="1" indent="1"/>
    </xf>
    <xf numFmtId="0" fontId="18" fillId="0" borderId="26" xfId="5" applyFill="1" applyBorder="1" applyAlignment="1" applyProtection="1">
      <alignment vertical="top"/>
    </xf>
    <xf numFmtId="0" fontId="18" fillId="0" borderId="0" xfId="5" applyFill="1" applyBorder="1" applyAlignment="1" applyProtection="1">
      <alignment vertical="center"/>
    </xf>
    <xf numFmtId="44" fontId="54" fillId="0" borderId="115" xfId="5" applyNumberFormat="1" applyFont="1" applyFill="1" applyBorder="1" applyAlignment="1" applyProtection="1">
      <alignment vertical="center"/>
    </xf>
    <xf numFmtId="44" fontId="54" fillId="0" borderId="27" xfId="5" applyNumberFormat="1" applyFont="1" applyFill="1" applyBorder="1" applyAlignment="1" applyProtection="1">
      <alignment vertical="center"/>
    </xf>
    <xf numFmtId="44" fontId="54" fillId="0" borderId="26" xfId="5" applyNumberFormat="1" applyFont="1" applyFill="1" applyBorder="1" applyAlignment="1" applyProtection="1">
      <alignment vertical="center"/>
    </xf>
    <xf numFmtId="10" fontId="54" fillId="0" borderId="27" xfId="3" applyNumberFormat="1" applyFont="1" applyFill="1" applyBorder="1" applyAlignment="1" applyProtection="1">
      <alignment vertical="center"/>
    </xf>
    <xf numFmtId="0" fontId="18" fillId="49" borderId="0" xfId="5" applyFill="1" applyAlignment="1" applyProtection="1">
      <alignment vertical="top"/>
    </xf>
    <xf numFmtId="0" fontId="18" fillId="49" borderId="26" xfId="5" applyFill="1" applyBorder="1" applyAlignment="1" applyProtection="1">
      <alignment vertical="top"/>
    </xf>
    <xf numFmtId="0" fontId="18" fillId="49" borderId="0" xfId="5" applyFill="1" applyBorder="1" applyAlignment="1" applyProtection="1">
      <alignment vertical="center"/>
    </xf>
    <xf numFmtId="44" fontId="25" fillId="49" borderId="115" xfId="5" applyNumberFormat="1" applyFont="1" applyFill="1" applyBorder="1" applyAlignment="1" applyProtection="1">
      <alignment vertical="center"/>
    </xf>
    <xf numFmtId="0" fontId="25" fillId="49" borderId="26" xfId="5" applyFont="1" applyFill="1" applyBorder="1" applyAlignment="1" applyProtection="1">
      <alignment vertical="center"/>
    </xf>
    <xf numFmtId="44" fontId="25" fillId="49" borderId="27" xfId="5" applyNumberFormat="1" applyFont="1" applyFill="1" applyBorder="1" applyAlignment="1" applyProtection="1">
      <alignment vertical="center"/>
    </xf>
    <xf numFmtId="0" fontId="25" fillId="49" borderId="0" xfId="5" applyFont="1" applyFill="1" applyBorder="1" applyAlignment="1" applyProtection="1">
      <alignment vertical="center"/>
    </xf>
    <xf numFmtId="44" fontId="25" fillId="49" borderId="26" xfId="5" applyNumberFormat="1" applyFont="1" applyFill="1" applyBorder="1" applyAlignment="1" applyProtection="1">
      <alignment vertical="center"/>
    </xf>
    <xf numFmtId="10" fontId="25" fillId="49" borderId="27" xfId="3" applyNumberFormat="1" applyFont="1" applyFill="1" applyBorder="1" applyAlignment="1" applyProtection="1">
      <alignment vertical="center"/>
    </xf>
    <xf numFmtId="185" fontId="18" fillId="48" borderId="100" xfId="12" applyNumberFormat="1" applyFill="1" applyBorder="1" applyAlignment="1" applyProtection="1">
      <alignment vertical="top"/>
      <protection locked="0"/>
    </xf>
    <xf numFmtId="0" fontId="18" fillId="48" borderId="103" xfId="5" applyFill="1" applyBorder="1" applyAlignment="1" applyProtection="1">
      <alignment vertical="center"/>
      <protection locked="0"/>
    </xf>
    <xf numFmtId="44" fontId="18" fillId="48" borderId="101" xfId="12" applyNumberFormat="1" applyFill="1" applyBorder="1" applyAlignment="1" applyProtection="1">
      <alignment vertical="center"/>
    </xf>
    <xf numFmtId="0" fontId="18" fillId="48" borderId="100" xfId="5" applyFill="1" applyBorder="1" applyAlignment="1" applyProtection="1">
      <alignment vertical="center"/>
    </xf>
    <xf numFmtId="44" fontId="18" fillId="48" borderId="99" xfId="12" applyNumberFormat="1" applyFill="1" applyBorder="1" applyAlignment="1" applyProtection="1">
      <alignment vertical="center"/>
    </xf>
    <xf numFmtId="44" fontId="18" fillId="48" borderId="100" xfId="5" applyNumberFormat="1" applyFill="1" applyBorder="1" applyAlignment="1" applyProtection="1">
      <alignment vertical="center"/>
    </xf>
    <xf numFmtId="44" fontId="25" fillId="0" borderId="34" xfId="5" applyNumberFormat="1" applyFont="1" applyFill="1" applyBorder="1" applyAlignment="1" applyProtection="1">
      <alignment vertical="center"/>
    </xf>
    <xf numFmtId="9" fontId="18" fillId="0" borderId="26" xfId="5" applyNumberFormat="1" applyFont="1" applyFill="1" applyBorder="1" applyAlignment="1" applyProtection="1">
      <alignment vertical="center"/>
      <protection locked="0"/>
    </xf>
    <xf numFmtId="0" fontId="18" fillId="49" borderId="22" xfId="5" applyFill="1" applyBorder="1" applyAlignment="1" applyProtection="1">
      <alignment vertical="top"/>
    </xf>
    <xf numFmtId="0" fontId="18" fillId="49" borderId="32" xfId="5" applyFill="1" applyBorder="1" applyAlignment="1" applyProtection="1">
      <alignment vertical="center"/>
    </xf>
    <xf numFmtId="44" fontId="25" fillId="49" borderId="55" xfId="5" applyNumberFormat="1" applyFont="1" applyFill="1" applyBorder="1" applyAlignment="1" applyProtection="1">
      <alignment vertical="center"/>
    </xf>
    <xf numFmtId="0" fontId="25" fillId="49" borderId="22" xfId="5" applyFont="1" applyFill="1" applyBorder="1" applyAlignment="1" applyProtection="1">
      <alignment vertical="center"/>
    </xf>
    <xf numFmtId="44" fontId="25" fillId="49" borderId="21" xfId="5" applyNumberFormat="1" applyFont="1" applyFill="1" applyBorder="1" applyAlignment="1" applyProtection="1">
      <alignment vertical="center"/>
    </xf>
    <xf numFmtId="0" fontId="25" fillId="49" borderId="32" xfId="5" applyFont="1" applyFill="1" applyBorder="1" applyAlignment="1" applyProtection="1">
      <alignment vertical="center"/>
    </xf>
    <xf numFmtId="44" fontId="25" fillId="49" borderId="22" xfId="5" applyNumberFormat="1" applyFont="1" applyFill="1" applyBorder="1" applyAlignment="1" applyProtection="1">
      <alignment vertical="center"/>
    </xf>
    <xf numFmtId="10" fontId="25" fillId="49" borderId="21" xfId="3" applyNumberFormat="1" applyFont="1" applyFill="1" applyBorder="1" applyAlignment="1" applyProtection="1">
      <alignment vertical="center"/>
    </xf>
    <xf numFmtId="44" fontId="18" fillId="0" borderId="0" xfId="5" applyNumberFormat="1" applyProtection="1"/>
    <xf numFmtId="10" fontId="18" fillId="34" borderId="24" xfId="3" applyNumberFormat="1" applyFill="1" applyBorder="1" applyProtection="1">
      <protection locked="0"/>
    </xf>
    <xf numFmtId="0" fontId="39" fillId="0" borderId="0" xfId="5" applyFont="1" applyProtection="1"/>
    <xf numFmtId="0" fontId="18" fillId="34" borderId="0" xfId="5" applyFont="1" applyFill="1" applyAlignment="1" applyProtection="1">
      <alignment vertical="center" wrapText="1"/>
    </xf>
    <xf numFmtId="0" fontId="75" fillId="0" borderId="0" xfId="198"/>
    <xf numFmtId="0" fontId="25" fillId="0" borderId="0" xfId="198" applyFont="1"/>
    <xf numFmtId="0" fontId="32" fillId="0" borderId="0" xfId="198" applyFont="1" applyAlignment="1">
      <alignment horizontal="right" vertical="top"/>
    </xf>
    <xf numFmtId="0" fontId="32" fillId="34" borderId="18" xfId="198" applyFont="1" applyFill="1" applyBorder="1" applyAlignment="1">
      <alignment horizontal="right" vertical="top"/>
    </xf>
    <xf numFmtId="0" fontId="32" fillId="34" borderId="0" xfId="198" applyFont="1" applyFill="1" applyAlignment="1">
      <alignment horizontal="right" vertical="top"/>
    </xf>
    <xf numFmtId="0" fontId="25" fillId="0" borderId="59" xfId="5" applyFont="1" applyFill="1" applyBorder="1" applyAlignment="1">
      <alignment horizontal="center" vertical="center"/>
    </xf>
    <xf numFmtId="0" fontId="25" fillId="37" borderId="36" xfId="5" applyFont="1" applyFill="1" applyBorder="1"/>
    <xf numFmtId="0" fontId="25" fillId="0" borderId="67" xfId="5" applyFont="1" applyFill="1" applyBorder="1" applyAlignment="1">
      <alignment horizontal="center" vertical="center"/>
    </xf>
    <xf numFmtId="0" fontId="25" fillId="0" borderId="40" xfId="5" applyFont="1" applyFill="1" applyBorder="1" applyAlignment="1">
      <alignment horizontal="center" vertical="center" wrapText="1"/>
    </xf>
    <xf numFmtId="0" fontId="25" fillId="0" borderId="40" xfId="5" applyFont="1" applyFill="1" applyBorder="1" applyAlignment="1">
      <alignment horizontal="center" vertical="center"/>
    </xf>
    <xf numFmtId="0" fontId="25" fillId="0" borderId="69" xfId="5" applyFont="1" applyFill="1" applyBorder="1" applyAlignment="1">
      <alignment horizontal="center" vertical="center"/>
    </xf>
    <xf numFmtId="0" fontId="25" fillId="37" borderId="123" xfId="5" applyFont="1" applyFill="1" applyBorder="1"/>
    <xf numFmtId="0" fontId="18" fillId="0" borderId="123" xfId="5" applyBorder="1"/>
    <xf numFmtId="0" fontId="18" fillId="0" borderId="63" xfId="5" applyBorder="1"/>
    <xf numFmtId="0" fontId="18" fillId="0" borderId="36" xfId="5" applyBorder="1" applyAlignment="1">
      <alignment horizontal="center"/>
    </xf>
    <xf numFmtId="0" fontId="18" fillId="0" borderId="36" xfId="5" applyBorder="1"/>
    <xf numFmtId="0" fontId="18" fillId="37" borderId="123" xfId="5" applyFill="1" applyBorder="1"/>
    <xf numFmtId="0" fontId="18" fillId="34" borderId="123" xfId="5" applyFill="1" applyBorder="1"/>
    <xf numFmtId="0" fontId="18" fillId="33" borderId="123" xfId="5" applyFill="1" applyBorder="1" applyAlignment="1">
      <alignment vertical="center"/>
    </xf>
    <xf numFmtId="44" fontId="18" fillId="0" borderId="123" xfId="5" applyNumberFormat="1" applyBorder="1"/>
    <xf numFmtId="0" fontId="18" fillId="0" borderId="126" xfId="5" applyBorder="1"/>
    <xf numFmtId="0" fontId="25" fillId="0" borderId="40" xfId="5" applyFont="1" applyBorder="1"/>
    <xf numFmtId="0" fontId="18" fillId="0" borderId="40" xfId="5" applyBorder="1"/>
    <xf numFmtId="0" fontId="18" fillId="0" borderId="69" xfId="5" applyBorder="1"/>
    <xf numFmtId="44" fontId="18" fillId="0" borderId="40" xfId="5" applyNumberFormat="1" applyBorder="1"/>
    <xf numFmtId="0" fontId="18" fillId="37" borderId="40" xfId="5" applyFill="1" applyBorder="1"/>
    <xf numFmtId="171" fontId="18" fillId="0" borderId="40" xfId="5" applyNumberFormat="1" applyBorder="1"/>
    <xf numFmtId="171" fontId="18" fillId="0" borderId="69" xfId="5" applyNumberFormat="1" applyBorder="1"/>
    <xf numFmtId="0" fontId="25" fillId="0" borderId="0" xfId="5" applyFont="1" applyAlignment="1">
      <alignment horizontal="left" vertical="center" wrapText="1"/>
    </xf>
    <xf numFmtId="0" fontId="18" fillId="0" borderId="0" xfId="5" applyAlignment="1">
      <alignment horizontal="left" vertical="center" wrapText="1"/>
    </xf>
    <xf numFmtId="0" fontId="25" fillId="0" borderId="0" xfId="198" applyFont="1" applyAlignment="1">
      <alignment horizontal="left"/>
    </xf>
    <xf numFmtId="0" fontId="25" fillId="0" borderId="89" xfId="198" applyFont="1" applyFill="1" applyBorder="1" applyAlignment="1">
      <alignment vertical="center" wrapText="1"/>
    </xf>
    <xf numFmtId="0" fontId="25" fillId="0" borderId="20" xfId="198" applyFont="1" applyFill="1" applyBorder="1" applyAlignment="1">
      <alignment horizontal="center" vertical="center" wrapText="1"/>
    </xf>
    <xf numFmtId="0" fontId="75" fillId="0" borderId="88" xfId="198" applyFill="1" applyBorder="1" applyAlignment="1">
      <alignment horizontal="center" vertical="center" wrapText="1"/>
    </xf>
    <xf numFmtId="0" fontId="75" fillId="0" borderId="70" xfId="198" applyBorder="1" applyAlignment="1">
      <alignment horizontal="left" vertical="center" wrapText="1"/>
    </xf>
    <xf numFmtId="0" fontId="75" fillId="34" borderId="70" xfId="198" applyFill="1" applyBorder="1" applyAlignment="1">
      <alignment horizontal="left" vertical="center" wrapText="1"/>
    </xf>
    <xf numFmtId="0" fontId="18" fillId="34" borderId="70" xfId="198" applyFont="1" applyFill="1" applyBorder="1" applyAlignment="1">
      <alignment horizontal="left" vertical="center" wrapText="1"/>
    </xf>
    <xf numFmtId="0" fontId="25" fillId="0" borderId="84" xfId="198" applyFont="1" applyBorder="1" applyAlignment="1"/>
    <xf numFmtId="10" fontId="75" fillId="0" borderId="105" xfId="198" applyNumberFormat="1" applyBorder="1"/>
    <xf numFmtId="10" fontId="75" fillId="0" borderId="111" xfId="198" applyNumberFormat="1" applyBorder="1"/>
    <xf numFmtId="0" fontId="18" fillId="0" borderId="0" xfId="198" applyFont="1" applyFill="1" applyAlignment="1">
      <alignment vertical="top" wrapText="1"/>
    </xf>
    <xf numFmtId="0" fontId="18" fillId="0" borderId="0" xfId="198" applyFont="1" applyFill="1" applyAlignment="1">
      <alignment horizontal="left" vertical="top" wrapText="1"/>
    </xf>
    <xf numFmtId="0" fontId="18" fillId="0" borderId="0" xfId="198" applyFont="1" applyFill="1" applyAlignment="1">
      <alignment horizontal="left" vertical="top"/>
    </xf>
    <xf numFmtId="0" fontId="75" fillId="0" borderId="0" xfId="198" applyFill="1" applyAlignment="1">
      <alignment horizontal="left" vertical="top" wrapText="1"/>
    </xf>
    <xf numFmtId="0" fontId="25" fillId="0" borderId="0" xfId="198" applyFont="1" applyAlignment="1">
      <alignment vertical="top"/>
    </xf>
    <xf numFmtId="0" fontId="25" fillId="0" borderId="0" xfId="198" applyFont="1" applyAlignment="1">
      <alignment wrapText="1"/>
    </xf>
    <xf numFmtId="0" fontId="25" fillId="0" borderId="20" xfId="198" applyFont="1" applyFill="1" applyBorder="1" applyAlignment="1">
      <alignment horizontal="center"/>
    </xf>
    <xf numFmtId="0" fontId="25" fillId="0" borderId="88" xfId="198" applyFont="1" applyFill="1" applyBorder="1" applyAlignment="1">
      <alignment horizontal="center"/>
    </xf>
    <xf numFmtId="0" fontId="18" fillId="0" borderId="0" xfId="198" applyFont="1"/>
    <xf numFmtId="0" fontId="75" fillId="0" borderId="0" xfId="198" applyFill="1"/>
    <xf numFmtId="0" fontId="53" fillId="0" borderId="0" xfId="198" applyFont="1"/>
    <xf numFmtId="0" fontId="53" fillId="0" borderId="0" xfId="198" applyFont="1" applyFill="1"/>
    <xf numFmtId="0" fontId="18" fillId="0" borderId="0" xfId="198" applyFont="1" applyAlignment="1"/>
    <xf numFmtId="0" fontId="25" fillId="0" borderId="20" xfId="198" applyFont="1" applyFill="1" applyBorder="1" applyAlignment="1">
      <alignment horizontal="center" wrapText="1"/>
    </xf>
    <xf numFmtId="0" fontId="25" fillId="0" borderId="25" xfId="198" applyFont="1" applyFill="1" applyBorder="1" applyAlignment="1">
      <alignment horizontal="center" vertical="center" wrapText="1"/>
    </xf>
    <xf numFmtId="0" fontId="25" fillId="34" borderId="22" xfId="198" applyFont="1" applyFill="1" applyBorder="1" applyAlignment="1">
      <alignment horizontal="center" vertical="center"/>
    </xf>
    <xf numFmtId="0" fontId="25" fillId="0" borderId="22" xfId="198" applyFont="1" applyFill="1" applyBorder="1" applyAlignment="1">
      <alignment horizontal="center"/>
    </xf>
    <xf numFmtId="0" fontId="25" fillId="0" borderId="24" xfId="198" applyFont="1" applyFill="1" applyBorder="1" applyAlignment="1">
      <alignment horizontal="center" vertical="top" wrapText="1"/>
    </xf>
    <xf numFmtId="0" fontId="25" fillId="0" borderId="44" xfId="198" applyFont="1" applyFill="1" applyBorder="1" applyAlignment="1">
      <alignment horizontal="center" vertical="top" wrapText="1"/>
    </xf>
    <xf numFmtId="0" fontId="75" fillId="0" borderId="44" xfId="198" applyBorder="1"/>
    <xf numFmtId="0" fontId="75" fillId="34" borderId="44" xfId="198" applyFill="1" applyBorder="1"/>
    <xf numFmtId="0" fontId="75" fillId="43" borderId="111" xfId="198" applyFill="1" applyBorder="1"/>
    <xf numFmtId="0" fontId="18" fillId="0" borderId="0" xfId="198" applyFont="1" applyAlignment="1">
      <alignment vertical="top" wrapText="1"/>
    </xf>
    <xf numFmtId="0" fontId="25" fillId="0" borderId="0" xfId="198" applyFont="1" applyAlignment="1">
      <alignment horizontal="left" vertical="center"/>
    </xf>
    <xf numFmtId="0" fontId="25" fillId="0" borderId="0" xfId="198" applyFont="1" applyAlignment="1"/>
    <xf numFmtId="0" fontId="25" fillId="0" borderId="24" xfId="198" applyFont="1" applyFill="1" applyBorder="1" applyAlignment="1">
      <alignment horizontal="center"/>
    </xf>
    <xf numFmtId="0" fontId="25" fillId="0" borderId="44" xfId="198" applyFont="1" applyFill="1" applyBorder="1" applyAlignment="1">
      <alignment horizontal="center"/>
    </xf>
    <xf numFmtId="43" fontId="75" fillId="0" borderId="24" xfId="198" applyNumberFormat="1" applyBorder="1"/>
    <xf numFmtId="0" fontId="75" fillId="34" borderId="24" xfId="198" applyFill="1" applyBorder="1"/>
    <xf numFmtId="0" fontId="75" fillId="0" borderId="44" xfId="198" applyBorder="1" applyAlignment="1">
      <alignment horizontal="center"/>
    </xf>
    <xf numFmtId="0" fontId="75" fillId="0" borderId="44" xfId="198" applyFill="1" applyBorder="1" applyAlignment="1">
      <alignment horizontal="center"/>
    </xf>
    <xf numFmtId="43" fontId="75" fillId="0" borderId="105" xfId="198" applyNumberFormat="1" applyBorder="1"/>
    <xf numFmtId="0" fontId="75" fillId="34" borderId="105" xfId="198" applyFill="1" applyBorder="1"/>
    <xf numFmtId="0" fontId="75" fillId="44" borderId="111" xfId="198" applyFill="1" applyBorder="1" applyAlignment="1">
      <alignment horizontal="center"/>
    </xf>
    <xf numFmtId="15" fontId="32" fillId="34" borderId="0" xfId="0" applyNumberFormat="1" applyFont="1" applyFill="1" applyAlignment="1">
      <alignment horizontal="right" vertical="top"/>
    </xf>
    <xf numFmtId="0" fontId="18" fillId="0" borderId="0" xfId="0" applyFont="1" applyAlignment="1">
      <alignment horizontal="left" wrapText="1"/>
    </xf>
    <xf numFmtId="0" fontId="0" fillId="0" borderId="0" xfId="0" applyAlignment="1">
      <alignment horizontal="left" wrapText="1"/>
    </xf>
    <xf numFmtId="0" fontId="0" fillId="33" borderId="10" xfId="0" applyFill="1" applyBorder="1" applyAlignment="1" applyProtection="1">
      <alignment horizontal="left" vertical="center" wrapText="1"/>
      <protection locked="0"/>
    </xf>
    <xf numFmtId="0" fontId="0" fillId="33" borderId="11" xfId="0" applyFill="1" applyBorder="1" applyAlignment="1" applyProtection="1">
      <alignment horizontal="left" vertical="center" wrapText="1"/>
      <protection locked="0"/>
    </xf>
    <xf numFmtId="0" fontId="0" fillId="33" borderId="12" xfId="0" applyFill="1" applyBorder="1" applyAlignment="1" applyProtection="1">
      <alignment horizontal="left" vertical="center" wrapText="1"/>
      <protection locked="0"/>
    </xf>
    <xf numFmtId="0" fontId="0" fillId="34" borderId="10" xfId="0" applyFill="1" applyBorder="1" applyAlignment="1" applyProtection="1">
      <alignment vertical="center"/>
      <protection locked="0"/>
    </xf>
    <xf numFmtId="0" fontId="0" fillId="34" borderId="11" xfId="0" applyFill="1" applyBorder="1" applyAlignment="1" applyProtection="1">
      <alignment vertical="center"/>
      <protection locked="0"/>
    </xf>
    <xf numFmtId="0" fontId="0" fillId="34" borderId="12" xfId="0" applyFill="1" applyBorder="1" applyAlignment="1" applyProtection="1">
      <alignment vertical="center"/>
      <protection locked="0"/>
    </xf>
    <xf numFmtId="0" fontId="18" fillId="34" borderId="10" xfId="0" applyFont="1" applyFill="1" applyBorder="1" applyAlignment="1" applyProtection="1">
      <alignment vertical="center"/>
      <protection locked="0"/>
    </xf>
    <xf numFmtId="0" fontId="18" fillId="34" borderId="13" xfId="0" applyFont="1" applyFill="1" applyBorder="1" applyAlignment="1" applyProtection="1">
      <alignment vertical="center"/>
      <protection locked="0"/>
    </xf>
    <xf numFmtId="0" fontId="0" fillId="34" borderId="14" xfId="0" applyFill="1" applyBorder="1" applyAlignment="1" applyProtection="1">
      <alignment vertical="center"/>
      <protection locked="0"/>
    </xf>
    <xf numFmtId="0" fontId="0" fillId="34" borderId="15" xfId="0" applyFill="1" applyBorder="1" applyAlignment="1" applyProtection="1">
      <alignment vertical="center"/>
      <protection locked="0"/>
    </xf>
    <xf numFmtId="0" fontId="22" fillId="34" borderId="10" xfId="4" applyNumberFormat="1" applyFill="1" applyBorder="1" applyAlignment="1" applyProtection="1">
      <alignment vertical="center"/>
      <protection locked="0"/>
    </xf>
    <xf numFmtId="0" fontId="0" fillId="34" borderId="11" xfId="0" applyNumberFormat="1" applyFill="1" applyBorder="1" applyAlignment="1" applyProtection="1">
      <alignment vertical="center"/>
      <protection locked="0"/>
    </xf>
    <xf numFmtId="0" fontId="0" fillId="34" borderId="12" xfId="0" applyNumberFormat="1" applyFill="1" applyBorder="1" applyAlignment="1" applyProtection="1">
      <alignment vertical="center"/>
      <protection locked="0"/>
    </xf>
    <xf numFmtId="0" fontId="0" fillId="33" borderId="10" xfId="0" applyNumberFormat="1" applyFill="1" applyBorder="1" applyAlignment="1" applyProtection="1">
      <alignment horizontal="center" vertical="center"/>
      <protection locked="0"/>
    </xf>
    <xf numFmtId="0" fontId="0" fillId="33" borderId="11" xfId="0" applyNumberFormat="1" applyFill="1" applyBorder="1" applyAlignment="1" applyProtection="1">
      <alignment horizontal="center" vertical="center"/>
      <protection locked="0"/>
    </xf>
    <xf numFmtId="0" fontId="0" fillId="33" borderId="12" xfId="0" applyNumberFormat="1" applyFill="1" applyBorder="1" applyAlignment="1" applyProtection="1">
      <alignment horizontal="center" vertical="center"/>
      <protection locked="0"/>
    </xf>
    <xf numFmtId="0" fontId="0" fillId="0" borderId="0" xfId="0" applyAlignment="1">
      <alignment horizontal="left"/>
    </xf>
    <xf numFmtId="0" fontId="18" fillId="0" borderId="17" xfId="0" applyFont="1" applyBorder="1" applyAlignment="1">
      <alignment horizontal="left" vertical="top" wrapText="1"/>
    </xf>
    <xf numFmtId="0" fontId="18" fillId="0" borderId="0" xfId="0" applyFont="1" applyBorder="1" applyAlignment="1">
      <alignment horizontal="left" vertical="top" wrapText="1"/>
    </xf>
    <xf numFmtId="0" fontId="31" fillId="0" borderId="0" xfId="5" applyFont="1" applyAlignment="1">
      <alignment horizontal="center" vertical="top"/>
    </xf>
    <xf numFmtId="0" fontId="18" fillId="0" borderId="0" xfId="5" applyFont="1" applyAlignment="1">
      <alignment horizontal="left" vertical="top" wrapText="1"/>
    </xf>
    <xf numFmtId="0" fontId="18" fillId="0" borderId="0" xfId="5" applyAlignment="1">
      <alignment horizontal="left" wrapText="1"/>
    </xf>
    <xf numFmtId="0" fontId="25" fillId="35" borderId="30" xfId="5" applyFont="1" applyFill="1" applyBorder="1" applyAlignment="1">
      <alignment horizontal="center"/>
    </xf>
    <xf numFmtId="0" fontId="25" fillId="35" borderId="31" xfId="5" applyFont="1" applyFill="1" applyBorder="1" applyAlignment="1">
      <alignment horizontal="center"/>
    </xf>
    <xf numFmtId="0" fontId="25" fillId="35" borderId="23" xfId="5" applyFont="1" applyFill="1" applyBorder="1" applyAlignment="1">
      <alignment horizontal="center"/>
    </xf>
    <xf numFmtId="0" fontId="18" fillId="0" borderId="0" xfId="5" applyAlignment="1">
      <alignment horizontal="left" vertical="top" wrapText="1"/>
    </xf>
    <xf numFmtId="0" fontId="25" fillId="0" borderId="30" xfId="5" applyFont="1" applyBorder="1" applyAlignment="1"/>
    <xf numFmtId="0" fontId="18" fillId="0" borderId="31" xfId="5" applyBorder="1" applyAlignment="1"/>
    <xf numFmtId="0" fontId="18" fillId="0" borderId="23" xfId="5" applyBorder="1" applyAlignment="1"/>
    <xf numFmtId="0" fontId="31" fillId="0" borderId="0" xfId="5" applyFont="1" applyAlignment="1">
      <alignment horizontal="center" vertical="center"/>
    </xf>
    <xf numFmtId="0" fontId="25" fillId="0" borderId="0" xfId="5" applyFont="1" applyAlignment="1">
      <alignment horizontal="center" vertical="center"/>
    </xf>
    <xf numFmtId="0" fontId="25" fillId="35" borderId="33" xfId="5" applyFont="1" applyFill="1" applyBorder="1" applyAlignment="1">
      <alignment vertical="center"/>
    </xf>
    <xf numFmtId="0" fontId="25" fillId="35" borderId="37" xfId="5" applyFont="1" applyFill="1" applyBorder="1" applyAlignment="1">
      <alignment vertical="center"/>
    </xf>
    <xf numFmtId="0" fontId="25" fillId="35" borderId="34" xfId="5" applyFont="1" applyFill="1" applyBorder="1" applyAlignment="1">
      <alignment vertical="center"/>
    </xf>
    <xf numFmtId="0" fontId="25" fillId="35" borderId="38" xfId="5" applyFont="1" applyFill="1" applyBorder="1" applyAlignment="1">
      <alignment vertical="center"/>
    </xf>
    <xf numFmtId="0" fontId="25" fillId="35" borderId="36" xfId="5" applyFont="1" applyFill="1" applyBorder="1" applyAlignment="1">
      <alignment horizontal="center" vertical="center" wrapText="1"/>
    </xf>
    <xf numFmtId="0" fontId="18" fillId="0" borderId="40" xfId="5" applyBorder="1" applyAlignment="1">
      <alignment horizontal="center" wrapText="1"/>
    </xf>
    <xf numFmtId="0" fontId="18" fillId="0" borderId="48" xfId="6" applyFont="1" applyBorder="1" applyAlignment="1">
      <alignment horizontal="left"/>
    </xf>
    <xf numFmtId="0" fontId="18" fillId="0" borderId="49" xfId="6" applyFont="1" applyBorder="1" applyAlignment="1">
      <alignment horizontal="left"/>
    </xf>
    <xf numFmtId="0" fontId="18" fillId="0" borderId="0" xfId="5" applyFont="1" applyAlignment="1">
      <alignment horizontal="left" vertical="center" wrapText="1"/>
    </xf>
    <xf numFmtId="0" fontId="25" fillId="0" borderId="0" xfId="5" applyFont="1" applyAlignment="1">
      <alignment horizontal="left" vertical="top" wrapText="1"/>
    </xf>
    <xf numFmtId="0" fontId="31" fillId="0" borderId="0" xfId="5" applyFont="1" applyAlignment="1">
      <alignment horizontal="center"/>
    </xf>
    <xf numFmtId="0" fontId="25" fillId="35" borderId="40" xfId="5" applyFont="1" applyFill="1" applyBorder="1" applyAlignment="1">
      <alignment horizontal="center" vertical="center" wrapText="1"/>
    </xf>
    <xf numFmtId="0" fontId="25" fillId="0" borderId="0" xfId="5" applyFont="1" applyAlignment="1">
      <alignment vertical="top" wrapText="1"/>
    </xf>
    <xf numFmtId="0" fontId="25" fillId="0" borderId="48" xfId="5" applyFont="1" applyBorder="1" applyAlignment="1">
      <alignment horizontal="center"/>
    </xf>
    <xf numFmtId="0" fontId="25" fillId="0" borderId="49" xfId="5" applyFont="1" applyBorder="1" applyAlignment="1">
      <alignment horizontal="center"/>
    </xf>
    <xf numFmtId="0" fontId="18" fillId="0" borderId="0" xfId="5" applyFont="1" applyAlignment="1">
      <alignment horizontal="left" vertical="center"/>
    </xf>
    <xf numFmtId="0" fontId="18" fillId="0" borderId="0" xfId="5" applyAlignment="1">
      <alignment wrapText="1"/>
    </xf>
    <xf numFmtId="0" fontId="25" fillId="0" borderId="59" xfId="5" applyFont="1" applyFill="1" applyBorder="1" applyAlignment="1">
      <alignment vertical="center" wrapText="1"/>
    </xf>
    <xf numFmtId="0" fontId="25" fillId="0" borderId="60" xfId="5" applyFont="1" applyFill="1" applyBorder="1" applyAlignment="1">
      <alignment vertical="center" wrapText="1"/>
    </xf>
    <xf numFmtId="0" fontId="25" fillId="0" borderId="61" xfId="5" applyFont="1" applyFill="1" applyBorder="1" applyAlignment="1">
      <alignment vertical="center" wrapText="1"/>
    </xf>
    <xf numFmtId="0" fontId="25" fillId="0" borderId="17" xfId="5" applyFont="1" applyFill="1" applyBorder="1" applyAlignment="1">
      <alignment vertical="center" wrapText="1"/>
    </xf>
    <xf numFmtId="0" fontId="25" fillId="0" borderId="0" xfId="5" applyFont="1" applyFill="1" applyBorder="1" applyAlignment="1">
      <alignment vertical="center" wrapText="1"/>
    </xf>
    <xf numFmtId="0" fontId="25" fillId="0" borderId="63" xfId="5" applyFont="1" applyFill="1" applyBorder="1" applyAlignment="1">
      <alignment vertical="center" wrapText="1"/>
    </xf>
    <xf numFmtId="0" fontId="25" fillId="0" borderId="65" xfId="5" applyFont="1" applyFill="1" applyBorder="1" applyAlignment="1">
      <alignment vertical="center" wrapText="1"/>
    </xf>
    <xf numFmtId="0" fontId="25" fillId="0" borderId="32" xfId="5" applyFont="1" applyFill="1" applyBorder="1" applyAlignment="1">
      <alignment vertical="center" wrapText="1"/>
    </xf>
    <xf numFmtId="0" fontId="25" fillId="0" borderId="66" xfId="5" applyFont="1" applyFill="1" applyBorder="1" applyAlignment="1">
      <alignment vertical="center" wrapText="1"/>
    </xf>
    <xf numFmtId="0" fontId="25" fillId="0" borderId="59" xfId="5" applyFont="1" applyFill="1" applyBorder="1" applyAlignment="1">
      <alignment horizontal="center"/>
    </xf>
    <xf numFmtId="0" fontId="18" fillId="0" borderId="60" xfId="5" applyFill="1" applyBorder="1" applyAlignment="1"/>
    <xf numFmtId="0" fontId="18" fillId="0" borderId="61" xfId="5" applyFill="1" applyBorder="1" applyAlignment="1"/>
    <xf numFmtId="0" fontId="25" fillId="0" borderId="17" xfId="5" applyFont="1" applyFill="1" applyBorder="1" applyAlignment="1">
      <alignment horizontal="center"/>
    </xf>
    <xf numFmtId="0" fontId="18" fillId="0" borderId="0" xfId="5" applyFill="1" applyBorder="1" applyAlignment="1"/>
    <xf numFmtId="0" fontId="18" fillId="0" borderId="63" xfId="5" applyFill="1" applyBorder="1" applyAlignment="1"/>
    <xf numFmtId="0" fontId="25" fillId="0" borderId="67" xfId="5" applyFont="1" applyFill="1" applyBorder="1" applyAlignment="1">
      <alignment horizontal="center"/>
    </xf>
    <xf numFmtId="0" fontId="18" fillId="0" borderId="68" xfId="5" applyFill="1" applyBorder="1" applyAlignment="1"/>
    <xf numFmtId="0" fontId="18" fillId="0" borderId="69" xfId="5" applyFill="1" applyBorder="1" applyAlignment="1"/>
    <xf numFmtId="0" fontId="18" fillId="0" borderId="17" xfId="5" applyBorder="1" applyAlignment="1">
      <alignment horizontal="left" wrapText="1"/>
    </xf>
    <xf numFmtId="0" fontId="18" fillId="0" borderId="0" xfId="5" applyBorder="1" applyAlignment="1">
      <alignment horizontal="left" wrapText="1"/>
    </xf>
    <xf numFmtId="0" fontId="18" fillId="0" borderId="63" xfId="5" applyBorder="1" applyAlignment="1">
      <alignment horizontal="left" wrapText="1"/>
    </xf>
    <xf numFmtId="171" fontId="18" fillId="34" borderId="70" xfId="2" applyNumberFormat="1" applyFill="1" applyBorder="1" applyAlignment="1"/>
    <xf numFmtId="0" fontId="18" fillId="34" borderId="31" xfId="5" applyFill="1" applyBorder="1" applyAlignment="1"/>
    <xf numFmtId="0" fontId="18" fillId="34" borderId="71" xfId="5" applyFill="1" applyBorder="1" applyAlignment="1"/>
    <xf numFmtId="171" fontId="18" fillId="34" borderId="65" xfId="2" applyNumberFormat="1" applyFill="1" applyBorder="1" applyAlignment="1"/>
    <xf numFmtId="0" fontId="18" fillId="34" borderId="32" xfId="5" applyFill="1" applyBorder="1" applyAlignment="1"/>
    <xf numFmtId="0" fontId="18" fillId="34" borderId="66" xfId="5" applyFill="1" applyBorder="1" applyAlignment="1"/>
    <xf numFmtId="0" fontId="18" fillId="0" borderId="70" xfId="5" applyBorder="1" applyAlignment="1">
      <alignment horizontal="left" wrapText="1"/>
    </xf>
    <xf numFmtId="0" fontId="18" fillId="0" borderId="31" xfId="5" applyBorder="1" applyAlignment="1">
      <alignment horizontal="left" wrapText="1"/>
    </xf>
    <xf numFmtId="0" fontId="18" fillId="0" borderId="71" xfId="5" applyBorder="1" applyAlignment="1">
      <alignment horizontal="left" wrapText="1"/>
    </xf>
    <xf numFmtId="0" fontId="18" fillId="0" borderId="72" xfId="5" applyBorder="1" applyAlignment="1">
      <alignment horizontal="left" wrapText="1"/>
    </xf>
    <xf numFmtId="0" fontId="18" fillId="0" borderId="73" xfId="5" applyBorder="1" applyAlignment="1">
      <alignment horizontal="left" wrapText="1"/>
    </xf>
    <xf numFmtId="0" fontId="18" fillId="0" borderId="74" xfId="5" applyBorder="1" applyAlignment="1">
      <alignment horizontal="left" wrapText="1"/>
    </xf>
    <xf numFmtId="0" fontId="25" fillId="0" borderId="60" xfId="5" applyFont="1" applyFill="1" applyBorder="1" applyAlignment="1">
      <alignment horizontal="center"/>
    </xf>
    <xf numFmtId="0" fontId="25" fillId="0" borderId="61" xfId="5" applyFont="1" applyFill="1" applyBorder="1" applyAlignment="1">
      <alignment horizontal="center"/>
    </xf>
    <xf numFmtId="0" fontId="25" fillId="0" borderId="0" xfId="5" applyFont="1" applyFill="1" applyBorder="1" applyAlignment="1">
      <alignment horizontal="center"/>
    </xf>
    <xf numFmtId="0" fontId="25" fillId="0" borderId="63" xfId="5" applyFont="1" applyFill="1" applyBorder="1" applyAlignment="1">
      <alignment horizontal="center"/>
    </xf>
    <xf numFmtId="0" fontId="25" fillId="0" borderId="68" xfId="5" applyFont="1" applyFill="1" applyBorder="1" applyAlignment="1">
      <alignment horizontal="center"/>
    </xf>
    <xf numFmtId="0" fontId="25" fillId="0" borderId="69" xfId="5" applyFont="1" applyFill="1" applyBorder="1" applyAlignment="1">
      <alignment horizontal="center"/>
    </xf>
    <xf numFmtId="0" fontId="18" fillId="34" borderId="72" xfId="5" applyFill="1" applyBorder="1" applyAlignment="1">
      <alignment horizontal="left" wrapText="1"/>
    </xf>
    <xf numFmtId="0" fontId="18" fillId="34" borderId="73" xfId="5" applyFill="1" applyBorder="1" applyAlignment="1">
      <alignment horizontal="left" wrapText="1"/>
    </xf>
    <xf numFmtId="0" fontId="18" fillId="34" borderId="74" xfId="5" applyFill="1" applyBorder="1" applyAlignment="1">
      <alignment horizontal="left" wrapText="1"/>
    </xf>
    <xf numFmtId="171" fontId="18" fillId="34" borderId="72" xfId="2" applyNumberFormat="1" applyFill="1" applyBorder="1" applyAlignment="1"/>
    <xf numFmtId="0" fontId="18" fillId="34" borderId="73" xfId="5" applyFill="1" applyBorder="1" applyAlignment="1"/>
    <xf numFmtId="0" fontId="18" fillId="34" borderId="74" xfId="5" applyFill="1" applyBorder="1" applyAlignment="1"/>
    <xf numFmtId="0" fontId="25" fillId="0" borderId="48" xfId="5" applyFont="1" applyBorder="1" applyAlignment="1">
      <alignment horizontal="left" wrapText="1"/>
    </xf>
    <xf numFmtId="0" fontId="25" fillId="0" borderId="76" xfId="5" applyFont="1" applyBorder="1" applyAlignment="1">
      <alignment horizontal="left" wrapText="1"/>
    </xf>
    <xf numFmtId="0" fontId="25" fillId="0" borderId="77" xfId="5" applyFont="1" applyBorder="1" applyAlignment="1">
      <alignment horizontal="left" wrapText="1"/>
    </xf>
    <xf numFmtId="171" fontId="18" fillId="34" borderId="48" xfId="2" applyNumberFormat="1" applyFill="1" applyBorder="1" applyAlignment="1"/>
    <xf numFmtId="0" fontId="18" fillId="34" borderId="76" xfId="5" applyFill="1" applyBorder="1" applyAlignment="1"/>
    <xf numFmtId="0" fontId="18" fillId="34" borderId="77" xfId="5" applyFill="1" applyBorder="1" applyAlignment="1"/>
    <xf numFmtId="0" fontId="25" fillId="0" borderId="0" xfId="5" applyFont="1" applyAlignment="1">
      <alignment horizontal="center" vertical="top"/>
    </xf>
    <xf numFmtId="0" fontId="18" fillId="34" borderId="80" xfId="5" applyFill="1" applyBorder="1" applyAlignment="1">
      <alignment horizontal="left" wrapText="1"/>
    </xf>
    <xf numFmtId="0" fontId="18" fillId="34" borderId="81" xfId="5" applyFill="1" applyBorder="1" applyAlignment="1">
      <alignment horizontal="left" wrapText="1"/>
    </xf>
    <xf numFmtId="0" fontId="18" fillId="34" borderId="82" xfId="5" applyFill="1" applyBorder="1" applyAlignment="1">
      <alignment horizontal="left" wrapText="1"/>
    </xf>
    <xf numFmtId="0" fontId="25" fillId="0" borderId="67" xfId="5" applyFont="1" applyBorder="1" applyAlignment="1">
      <alignment horizontal="left" wrapText="1"/>
    </xf>
    <xf numFmtId="0" fontId="25" fillId="0" borderId="68" xfId="5" applyFont="1" applyBorder="1" applyAlignment="1">
      <alignment horizontal="left" wrapText="1"/>
    </xf>
    <xf numFmtId="0" fontId="25" fillId="0" borderId="69" xfId="5" applyFont="1" applyBorder="1" applyAlignment="1">
      <alignment horizontal="left" wrapText="1"/>
    </xf>
    <xf numFmtId="171" fontId="18" fillId="34" borderId="84" xfId="2" applyNumberFormat="1" applyFill="1" applyBorder="1" applyAlignment="1"/>
    <xf numFmtId="0" fontId="18" fillId="34" borderId="85" xfId="5" applyFill="1" applyBorder="1" applyAlignment="1"/>
    <xf numFmtId="0" fontId="18" fillId="34" borderId="86" xfId="5" applyFill="1" applyBorder="1" applyAlignment="1"/>
    <xf numFmtId="0" fontId="18" fillId="0" borderId="0" xfId="5" applyFont="1" applyAlignment="1">
      <alignment horizontal="left" wrapText="1"/>
    </xf>
    <xf numFmtId="0" fontId="18" fillId="0" borderId="0" xfId="5" applyFont="1" applyAlignment="1">
      <alignment wrapText="1"/>
    </xf>
    <xf numFmtId="0" fontId="25" fillId="0" borderId="0" xfId="5" applyFont="1" applyAlignment="1">
      <alignment horizontal="center" vertical="top" wrapText="1"/>
    </xf>
    <xf numFmtId="0" fontId="31" fillId="0" borderId="0" xfId="0" applyFont="1" applyAlignment="1">
      <alignment horizontal="center"/>
    </xf>
    <xf numFmtId="0" fontId="0" fillId="37" borderId="43" xfId="0" applyFill="1" applyBorder="1" applyAlignment="1">
      <alignment horizontal="center"/>
    </xf>
    <xf numFmtId="0" fontId="0" fillId="37" borderId="24" xfId="0" applyFill="1" applyBorder="1" applyAlignment="1">
      <alignment horizontal="center"/>
    </xf>
    <xf numFmtId="0" fontId="0" fillId="37" borderId="30" xfId="0" applyFill="1" applyBorder="1" applyAlignment="1">
      <alignment horizontal="center"/>
    </xf>
    <xf numFmtId="0" fontId="0" fillId="37" borderId="44" xfId="0" applyFill="1" applyBorder="1" applyAlignment="1">
      <alignment horizontal="center"/>
    </xf>
    <xf numFmtId="0" fontId="25" fillId="0" borderId="43" xfId="0" applyFont="1" applyBorder="1" applyAlignment="1">
      <alignment horizontal="left"/>
    </xf>
    <xf numFmtId="0" fontId="25" fillId="0" borderId="24" xfId="0" applyFont="1" applyBorder="1" applyAlignment="1">
      <alignment horizontal="left"/>
    </xf>
    <xf numFmtId="0" fontId="18" fillId="0" borderId="65" xfId="0" applyFont="1" applyBorder="1" applyAlignment="1">
      <alignment horizontal="left"/>
    </xf>
    <xf numFmtId="0" fontId="0" fillId="0" borderId="21" xfId="0" applyBorder="1" applyAlignment="1">
      <alignment horizontal="left"/>
    </xf>
    <xf numFmtId="0" fontId="25" fillId="0" borderId="47" xfId="0" applyFont="1" applyBorder="1" applyAlignment="1">
      <alignment horizontal="left"/>
    </xf>
    <xf numFmtId="0" fontId="25" fillId="0" borderId="45" xfId="0" applyFont="1" applyBorder="1" applyAlignment="1">
      <alignment horizontal="left"/>
    </xf>
    <xf numFmtId="0" fontId="25" fillId="0" borderId="37" xfId="0" applyFont="1" applyBorder="1" applyAlignment="1">
      <alignment horizontal="left"/>
    </xf>
    <xf numFmtId="0" fontId="25" fillId="0" borderId="38" xfId="0" applyFont="1" applyBorder="1" applyAlignment="1">
      <alignment horizontal="left"/>
    </xf>
    <xf numFmtId="0" fontId="0" fillId="0" borderId="0" xfId="0" applyAlignment="1">
      <alignment wrapText="1"/>
    </xf>
    <xf numFmtId="0" fontId="36" fillId="0" borderId="0" xfId="0" applyFont="1" applyAlignment="1">
      <alignment horizontal="left" vertical="top" wrapText="1"/>
    </xf>
    <xf numFmtId="0" fontId="18" fillId="0" borderId="0" xfId="0" applyFont="1" applyAlignment="1">
      <alignment wrapText="1"/>
    </xf>
    <xf numFmtId="0" fontId="25" fillId="0" borderId="65" xfId="0" applyFont="1" applyBorder="1" applyAlignment="1">
      <alignment horizontal="left"/>
    </xf>
    <xf numFmtId="0" fontId="25" fillId="0" borderId="21" xfId="0" applyFont="1" applyBorder="1" applyAlignment="1">
      <alignment horizontal="left"/>
    </xf>
    <xf numFmtId="0" fontId="25" fillId="0" borderId="67" xfId="0" applyFont="1" applyBorder="1" applyAlignment="1">
      <alignment horizontal="left"/>
    </xf>
    <xf numFmtId="0" fontId="25" fillId="0" borderId="78" xfId="0" applyFont="1" applyBorder="1" applyAlignment="1">
      <alignment horizontal="left"/>
    </xf>
    <xf numFmtId="0" fontId="18" fillId="0" borderId="70" xfId="0" applyFont="1" applyBorder="1" applyAlignment="1">
      <alignment horizontal="left"/>
    </xf>
    <xf numFmtId="0" fontId="0" fillId="0" borderId="23" xfId="0" applyBorder="1" applyAlignment="1">
      <alignment horizontal="left"/>
    </xf>
    <xf numFmtId="0" fontId="18" fillId="0" borderId="43" xfId="0" applyFont="1" applyBorder="1" applyAlignment="1">
      <alignment horizontal="left"/>
    </xf>
    <xf numFmtId="0" fontId="0" fillId="0" borderId="24" xfId="0" applyBorder="1" applyAlignment="1">
      <alignment horizontal="left"/>
    </xf>
    <xf numFmtId="0" fontId="18" fillId="0" borderId="47" xfId="0" applyFont="1" applyBorder="1" applyAlignment="1">
      <alignment horizontal="left"/>
    </xf>
    <xf numFmtId="0" fontId="0" fillId="0" borderId="45" xfId="0" applyBorder="1" applyAlignment="1">
      <alignment horizontal="left"/>
    </xf>
    <xf numFmtId="0" fontId="18" fillId="0" borderId="24" xfId="0" applyFont="1" applyBorder="1" applyAlignment="1">
      <alignment horizontal="left"/>
    </xf>
    <xf numFmtId="0" fontId="18" fillId="0" borderId="91" xfId="0" applyFont="1" applyBorder="1" applyAlignment="1">
      <alignment horizontal="left"/>
    </xf>
    <xf numFmtId="0" fontId="18" fillId="0" borderId="92" xfId="0" applyFont="1" applyBorder="1" applyAlignment="1">
      <alignment horizontal="left"/>
    </xf>
    <xf numFmtId="0" fontId="18" fillId="0" borderId="80" xfId="0" applyFont="1" applyBorder="1" applyAlignment="1">
      <alignment horizontal="left"/>
    </xf>
    <xf numFmtId="0" fontId="0" fillId="0" borderId="92" xfId="0" applyBorder="1" applyAlignment="1">
      <alignment horizontal="left"/>
    </xf>
    <xf numFmtId="0" fontId="18" fillId="0" borderId="93" xfId="0" applyFont="1" applyFill="1" applyBorder="1" applyAlignment="1">
      <alignment horizontal="left"/>
    </xf>
    <xf numFmtId="0" fontId="0" fillId="0" borderId="94" xfId="0" applyFill="1" applyBorder="1" applyAlignment="1">
      <alignment horizontal="left"/>
    </xf>
    <xf numFmtId="0" fontId="18" fillId="0" borderId="93" xfId="0" applyFont="1" applyBorder="1" applyAlignment="1">
      <alignment horizontal="left"/>
    </xf>
    <xf numFmtId="0" fontId="0" fillId="0" borderId="94" xfId="0" applyBorder="1" applyAlignment="1">
      <alignment horizontal="left"/>
    </xf>
    <xf numFmtId="0" fontId="0" fillId="0" borderId="80" xfId="0" applyBorder="1" applyAlignment="1">
      <alignment horizontal="left"/>
    </xf>
    <xf numFmtId="0" fontId="18" fillId="0" borderId="0" xfId="0" applyFont="1" applyAlignment="1">
      <alignment horizontal="left" vertical="center" wrapText="1"/>
    </xf>
    <xf numFmtId="0" fontId="0" fillId="0" borderId="0" xfId="0" applyAlignment="1">
      <alignment horizontal="left" vertical="center" wrapText="1"/>
    </xf>
    <xf numFmtId="0" fontId="18" fillId="0" borderId="80" xfId="0" applyFont="1" applyFill="1" applyBorder="1" applyAlignment="1">
      <alignment horizontal="left"/>
    </xf>
    <xf numFmtId="0" fontId="0" fillId="0" borderId="92" xfId="0" applyFill="1" applyBorder="1" applyAlignment="1">
      <alignment horizontal="left"/>
    </xf>
    <xf numFmtId="0" fontId="30" fillId="0" borderId="70" xfId="0" applyFont="1" applyBorder="1" applyAlignment="1">
      <alignment horizontal="left"/>
    </xf>
    <xf numFmtId="0" fontId="30" fillId="0" borderId="31" xfId="0" applyFont="1" applyBorder="1" applyAlignment="1">
      <alignment horizontal="left"/>
    </xf>
    <xf numFmtId="0" fontId="30" fillId="0" borderId="71" xfId="0" applyFont="1" applyBorder="1" applyAlignment="1">
      <alignment horizontal="left"/>
    </xf>
    <xf numFmtId="0" fontId="37" fillId="0" borderId="0" xfId="0" quotePrefix="1" applyFont="1" applyAlignment="1">
      <alignment horizontal="center"/>
    </xf>
    <xf numFmtId="0" fontId="40" fillId="0" borderId="68" xfId="0" applyFont="1" applyBorder="1" applyAlignment="1">
      <alignment horizontal="center" wrapText="1"/>
    </xf>
    <xf numFmtId="0" fontId="25" fillId="0" borderId="48" xfId="0" applyFont="1" applyBorder="1" applyAlignment="1">
      <alignment horizontal="left"/>
    </xf>
    <xf numFmtId="0" fontId="25" fillId="0" borderId="49" xfId="0" applyFont="1" applyBorder="1" applyAlignment="1">
      <alignment horizontal="left"/>
    </xf>
    <xf numFmtId="44" fontId="25" fillId="0" borderId="98" xfId="2" applyFont="1" applyFill="1" applyBorder="1" applyAlignment="1">
      <alignment vertical="top"/>
    </xf>
    <xf numFmtId="44" fontId="25" fillId="0" borderId="99" xfId="2" applyFont="1" applyFill="1" applyBorder="1" applyAlignment="1">
      <alignment vertical="top"/>
    </xf>
    <xf numFmtId="0" fontId="25" fillId="0" borderId="98" xfId="0" applyFont="1" applyBorder="1" applyAlignment="1">
      <alignment horizontal="left"/>
    </xf>
    <xf numFmtId="0" fontId="25" fillId="0" borderId="99" xfId="0" applyFont="1" applyBorder="1" applyAlignment="1">
      <alignment horizontal="left"/>
    </xf>
    <xf numFmtId="0" fontId="25" fillId="35" borderId="36" xfId="0" applyFont="1" applyFill="1" applyBorder="1" applyAlignment="1">
      <alignment horizontal="left"/>
    </xf>
    <xf numFmtId="0" fontId="25" fillId="35" borderId="40" xfId="0" applyFont="1" applyFill="1" applyBorder="1" applyAlignment="1">
      <alignment horizontal="left"/>
    </xf>
    <xf numFmtId="0" fontId="25" fillId="35" borderId="36" xfId="0" applyFont="1" applyFill="1" applyBorder="1" applyAlignment="1">
      <alignment horizontal="center" vertical="center" wrapText="1"/>
    </xf>
    <xf numFmtId="0" fontId="25" fillId="35" borderId="40" xfId="0" applyFont="1" applyFill="1" applyBorder="1" applyAlignment="1">
      <alignment horizontal="center" vertical="center" wrapText="1"/>
    </xf>
    <xf numFmtId="0" fontId="25" fillId="0" borderId="36" xfId="0" applyFont="1" applyFill="1" applyBorder="1" applyAlignment="1">
      <alignment horizontal="center" vertical="center" wrapText="1"/>
    </xf>
    <xf numFmtId="0" fontId="25" fillId="0" borderId="40" xfId="0" applyFont="1" applyFill="1" applyBorder="1" applyAlignment="1">
      <alignment horizontal="center" vertical="center" wrapText="1"/>
    </xf>
    <xf numFmtId="0" fontId="25" fillId="35" borderId="89" xfId="0" applyFont="1" applyFill="1" applyBorder="1" applyAlignment="1">
      <alignment horizontal="center" vertical="center" wrapText="1"/>
    </xf>
    <xf numFmtId="0" fontId="25" fillId="35" borderId="90" xfId="0" applyFont="1" applyFill="1" applyBorder="1" applyAlignment="1">
      <alignment horizontal="center" vertical="center" wrapText="1"/>
    </xf>
    <xf numFmtId="0" fontId="25" fillId="0" borderId="107" xfId="0" applyFont="1" applyBorder="1" applyAlignment="1">
      <alignment horizontal="left"/>
    </xf>
    <xf numFmtId="0" fontId="25" fillId="0" borderId="90" xfId="0" applyFont="1" applyBorder="1" applyAlignment="1">
      <alignment horizontal="left"/>
    </xf>
    <xf numFmtId="0" fontId="18" fillId="0" borderId="0" xfId="0" applyFont="1" applyAlignment="1">
      <alignment horizontal="left" vertical="top"/>
    </xf>
    <xf numFmtId="0" fontId="0" fillId="0" borderId="0" xfId="0" applyAlignment="1">
      <alignment horizontal="left" vertical="top"/>
    </xf>
    <xf numFmtId="0" fontId="18" fillId="0" borderId="0" xfId="0" applyFont="1" applyAlignment="1">
      <alignment horizontal="left" vertical="top" wrapText="1"/>
    </xf>
    <xf numFmtId="0" fontId="0" fillId="0" borderId="0" xfId="0" applyAlignment="1">
      <alignment horizontal="left" vertical="top" wrapText="1"/>
    </xf>
    <xf numFmtId="0" fontId="31" fillId="0" borderId="0" xfId="0" applyFont="1" applyAlignment="1">
      <alignment horizontal="center" vertical="center"/>
    </xf>
    <xf numFmtId="0" fontId="44" fillId="0" borderId="0" xfId="5" applyFont="1" applyFill="1" applyBorder="1" applyAlignment="1">
      <alignment horizontal="center" vertical="center" wrapText="1"/>
    </xf>
    <xf numFmtId="0" fontId="0" fillId="0" borderId="0" xfId="0" applyAlignment="1">
      <alignment vertical="top" wrapText="1"/>
    </xf>
    <xf numFmtId="0" fontId="25" fillId="0" borderId="98" xfId="0" applyFont="1" applyBorder="1" applyAlignment="1">
      <alignment vertical="center"/>
    </xf>
    <xf numFmtId="0" fontId="25" fillId="0" borderId="99" xfId="0" applyFont="1" applyBorder="1" applyAlignment="1">
      <alignment vertical="center"/>
    </xf>
    <xf numFmtId="0" fontId="45" fillId="0" borderId="98" xfId="5" applyFont="1" applyFill="1" applyBorder="1" applyAlignment="1">
      <alignment vertical="center" wrapText="1"/>
    </xf>
    <xf numFmtId="0" fontId="45" fillId="0" borderId="99" xfId="5" applyFont="1" applyFill="1" applyBorder="1" applyAlignment="1">
      <alignment vertical="center" wrapText="1"/>
    </xf>
    <xf numFmtId="0" fontId="25" fillId="0" borderId="89" xfId="0" applyFont="1" applyBorder="1"/>
    <xf numFmtId="0" fontId="25" fillId="0" borderId="90" xfId="0" applyFont="1" applyBorder="1"/>
    <xf numFmtId="0" fontId="25" fillId="0" borderId="48" xfId="0" applyFont="1" applyBorder="1"/>
    <xf numFmtId="0" fontId="25" fillId="0" borderId="49" xfId="0" applyFont="1" applyBorder="1"/>
    <xf numFmtId="0" fontId="25" fillId="41" borderId="70" xfId="0" applyFont="1" applyFill="1" applyBorder="1" applyAlignment="1">
      <alignment horizontal="left"/>
    </xf>
    <xf numFmtId="0" fontId="25" fillId="41" borderId="31" xfId="0" applyFont="1" applyFill="1" applyBorder="1" applyAlignment="1">
      <alignment horizontal="left"/>
    </xf>
    <xf numFmtId="0" fontId="25" fillId="41" borderId="71" xfId="0" applyFont="1" applyFill="1" applyBorder="1" applyAlignment="1">
      <alignment horizontal="left"/>
    </xf>
    <xf numFmtId="0" fontId="25" fillId="41" borderId="65" xfId="0" applyFont="1" applyFill="1" applyBorder="1" applyAlignment="1">
      <alignment horizontal="left"/>
    </xf>
    <xf numFmtId="0" fontId="25" fillId="41" borderId="32" xfId="0" applyFont="1" applyFill="1" applyBorder="1" applyAlignment="1">
      <alignment horizontal="left"/>
    </xf>
    <xf numFmtId="0" fontId="25" fillId="41" borderId="66" xfId="0" applyFont="1" applyFill="1" applyBorder="1" applyAlignment="1">
      <alignment horizontal="left"/>
    </xf>
    <xf numFmtId="0" fontId="0" fillId="41" borderId="70" xfId="0" applyFill="1" applyBorder="1" applyAlignment="1">
      <alignment horizontal="left"/>
    </xf>
    <xf numFmtId="0" fontId="0" fillId="41" borderId="31" xfId="0" applyFill="1" applyBorder="1" applyAlignment="1">
      <alignment horizontal="left"/>
    </xf>
    <xf numFmtId="0" fontId="0" fillId="41" borderId="71" xfId="0" applyFill="1" applyBorder="1" applyAlignment="1">
      <alignment horizontal="left"/>
    </xf>
    <xf numFmtId="0" fontId="25" fillId="0" borderId="70" xfId="0" applyFont="1" applyBorder="1" applyAlignment="1">
      <alignment horizontal="left"/>
    </xf>
    <xf numFmtId="0" fontId="25" fillId="0" borderId="23" xfId="0" applyFont="1" applyBorder="1" applyAlignment="1">
      <alignment horizontal="left"/>
    </xf>
    <xf numFmtId="0" fontId="50" fillId="0" borderId="98" xfId="0" applyFont="1" applyBorder="1" applyAlignment="1">
      <alignment horizontal="left" vertical="center"/>
    </xf>
    <xf numFmtId="0" fontId="50" fillId="0" borderId="99" xfId="0" applyFont="1" applyBorder="1" applyAlignment="1">
      <alignment horizontal="left" vertical="center"/>
    </xf>
    <xf numFmtId="0" fontId="25" fillId="0" borderId="70" xfId="0" applyFont="1" applyBorder="1" applyAlignment="1">
      <alignment horizontal="left" vertical="top" wrapText="1"/>
    </xf>
    <xf numFmtId="0" fontId="25" fillId="0" borderId="23" xfId="0" applyFont="1" applyBorder="1" applyAlignment="1">
      <alignment horizontal="left" vertical="top" wrapText="1"/>
    </xf>
    <xf numFmtId="0" fontId="25" fillId="0" borderId="84" xfId="0" applyFont="1" applyBorder="1" applyAlignment="1">
      <alignment horizontal="left"/>
    </xf>
    <xf numFmtId="0" fontId="25" fillId="0" borderId="104" xfId="0" applyFont="1" applyBorder="1" applyAlignment="1">
      <alignment horizontal="left"/>
    </xf>
    <xf numFmtId="0" fontId="18" fillId="0" borderId="0" xfId="0" applyFont="1" applyAlignment="1">
      <alignment horizontal="left"/>
    </xf>
    <xf numFmtId="0" fontId="25" fillId="0" borderId="87" xfId="5" applyFont="1" applyBorder="1" applyAlignment="1">
      <alignment horizontal="left" vertical="center"/>
    </xf>
    <xf numFmtId="0" fontId="25" fillId="0" borderId="20" xfId="5" applyFont="1" applyBorder="1" applyAlignment="1">
      <alignment horizontal="left" vertical="center"/>
    </xf>
    <xf numFmtId="0" fontId="18" fillId="0" borderId="43" xfId="5" quotePrefix="1" applyBorder="1" applyAlignment="1">
      <alignment horizontal="center"/>
    </xf>
    <xf numFmtId="0" fontId="18" fillId="0" borderId="24" xfId="5" quotePrefix="1" applyBorder="1" applyAlignment="1">
      <alignment horizontal="center"/>
    </xf>
    <xf numFmtId="0" fontId="25" fillId="34" borderId="0" xfId="0" applyFont="1" applyFill="1" applyAlignment="1">
      <alignment horizontal="center"/>
    </xf>
    <xf numFmtId="0" fontId="37" fillId="0" borderId="0" xfId="0" applyFont="1" applyAlignment="1">
      <alignment horizontal="center"/>
    </xf>
    <xf numFmtId="0" fontId="25" fillId="35" borderId="87" xfId="0" applyFont="1" applyFill="1" applyBorder="1" applyAlignment="1">
      <alignment horizontal="center"/>
    </xf>
    <xf numFmtId="0" fontId="25" fillId="35" borderId="20" xfId="0" applyFont="1" applyFill="1" applyBorder="1" applyAlignment="1">
      <alignment horizontal="center"/>
    </xf>
    <xf numFmtId="0" fontId="25" fillId="35" borderId="34" xfId="0" applyFont="1" applyFill="1" applyBorder="1" applyAlignment="1">
      <alignment horizontal="center" vertical="center" wrapText="1"/>
    </xf>
    <xf numFmtId="0" fontId="25" fillId="35" borderId="26" xfId="0" applyFont="1" applyFill="1" applyBorder="1" applyAlignment="1">
      <alignment horizontal="center" vertical="center" wrapText="1"/>
    </xf>
    <xf numFmtId="0" fontId="0" fillId="35" borderId="22" xfId="0" applyFill="1" applyBorder="1" applyAlignment="1">
      <alignment horizontal="center" vertical="center" wrapText="1"/>
    </xf>
    <xf numFmtId="0" fontId="25" fillId="35" borderId="20" xfId="0" applyFont="1" applyFill="1" applyBorder="1" applyAlignment="1">
      <alignment horizontal="center" wrapText="1"/>
    </xf>
    <xf numFmtId="0" fontId="25" fillId="35" borderId="24" xfId="0" applyFont="1" applyFill="1" applyBorder="1" applyAlignment="1">
      <alignment horizontal="center" wrapText="1"/>
    </xf>
    <xf numFmtId="0" fontId="25" fillId="35" borderId="88" xfId="0" applyFont="1" applyFill="1" applyBorder="1" applyAlignment="1">
      <alignment horizontal="center" wrapText="1"/>
    </xf>
    <xf numFmtId="0" fontId="25" fillId="35" borderId="44" xfId="0" applyFont="1" applyFill="1" applyBorder="1" applyAlignment="1">
      <alignment horizontal="center" wrapText="1"/>
    </xf>
    <xf numFmtId="0" fontId="25" fillId="35" borderId="116" xfId="0" applyFont="1" applyFill="1" applyBorder="1" applyAlignment="1"/>
    <xf numFmtId="0" fontId="0" fillId="35" borderId="41" xfId="0" applyFill="1" applyBorder="1" applyAlignment="1"/>
    <xf numFmtId="0" fontId="25" fillId="35" borderId="25" xfId="0" applyFont="1" applyFill="1" applyBorder="1" applyAlignment="1"/>
    <xf numFmtId="0" fontId="0" fillId="35" borderId="22" xfId="0" applyFill="1" applyBorder="1" applyAlignment="1"/>
    <xf numFmtId="0" fontId="25" fillId="35" borderId="20" xfId="0" applyFont="1" applyFill="1" applyBorder="1" applyAlignment="1">
      <alignment horizontal="center" vertical="center" wrapText="1"/>
    </xf>
    <xf numFmtId="0" fontId="25" fillId="35" borderId="24" xfId="0" applyFont="1" applyFill="1" applyBorder="1" applyAlignment="1">
      <alignment horizontal="center" vertical="center" wrapText="1"/>
    </xf>
    <xf numFmtId="0" fontId="0" fillId="35" borderId="24" xfId="0" applyFill="1" applyBorder="1" applyAlignment="1">
      <alignment horizontal="center" vertical="center" wrapText="1"/>
    </xf>
    <xf numFmtId="0" fontId="25" fillId="35" borderId="43" xfId="0" applyFont="1" applyFill="1" applyBorder="1" applyAlignment="1"/>
    <xf numFmtId="0" fontId="0" fillId="35" borderId="43" xfId="0" applyFill="1" applyBorder="1" applyAlignment="1"/>
    <xf numFmtId="0" fontId="25" fillId="35" borderId="24" xfId="0" applyFont="1" applyFill="1" applyBorder="1" applyAlignment="1"/>
    <xf numFmtId="0" fontId="0" fillId="35" borderId="24" xfId="0" applyFill="1" applyBorder="1" applyAlignment="1"/>
    <xf numFmtId="0" fontId="18" fillId="0" borderId="0" xfId="5" applyFill="1" applyAlignment="1" applyProtection="1">
      <protection locked="0"/>
    </xf>
    <xf numFmtId="0" fontId="31" fillId="0" borderId="0" xfId="5" applyFont="1" applyFill="1" applyAlignment="1" applyProtection="1">
      <alignment horizontal="center" vertical="center"/>
    </xf>
    <xf numFmtId="0" fontId="50" fillId="0" borderId="0" xfId="5" applyFont="1" applyAlignment="1" applyProtection="1">
      <alignment horizontal="center" vertical="center"/>
    </xf>
    <xf numFmtId="0" fontId="25" fillId="0" borderId="0" xfId="5" applyFont="1" applyBorder="1" applyAlignment="1" applyProtection="1">
      <alignment horizontal="right" wrapText="1"/>
    </xf>
    <xf numFmtId="0" fontId="18" fillId="0" borderId="32" xfId="5" applyBorder="1" applyAlignment="1">
      <alignment wrapText="1"/>
    </xf>
    <xf numFmtId="0" fontId="25" fillId="0" borderId="32" xfId="5" applyFont="1" applyBorder="1" applyAlignment="1" applyProtection="1">
      <alignment horizontal="center" vertical="center"/>
    </xf>
    <xf numFmtId="49" fontId="25" fillId="0" borderId="30" xfId="5" applyNumberFormat="1" applyFont="1" applyFill="1" applyBorder="1" applyAlignment="1" applyProtection="1">
      <alignment horizontal="center"/>
    </xf>
    <xf numFmtId="49" fontId="25" fillId="0" borderId="31" xfId="5" applyNumberFormat="1" applyFont="1" applyFill="1" applyBorder="1" applyAlignment="1" applyProtection="1">
      <alignment horizontal="center"/>
    </xf>
    <xf numFmtId="49" fontId="25" fillId="0" borderId="23" xfId="5" applyNumberFormat="1" applyFont="1" applyFill="1" applyBorder="1" applyAlignment="1" applyProtection="1">
      <alignment horizontal="center"/>
    </xf>
    <xf numFmtId="0" fontId="23" fillId="0" borderId="0" xfId="5" applyFont="1" applyBorder="1" applyAlignment="1" applyProtection="1">
      <alignment horizontal="left"/>
    </xf>
    <xf numFmtId="0" fontId="18" fillId="0" borderId="0" xfId="5" applyAlignment="1" applyProtection="1"/>
    <xf numFmtId="0" fontId="18" fillId="34" borderId="0" xfId="5" applyFill="1" applyAlignment="1" applyProtection="1">
      <protection locked="0"/>
    </xf>
    <xf numFmtId="0" fontId="50" fillId="0" borderId="0" xfId="5" applyFont="1" applyAlignment="1">
      <alignment horizontal="center" vertical="center"/>
    </xf>
    <xf numFmtId="0" fontId="75" fillId="0" borderId="43" xfId="198" applyBorder="1" applyAlignment="1">
      <alignment horizontal="left" vertical="center" wrapText="1"/>
    </xf>
    <xf numFmtId="0" fontId="75" fillId="0" borderId="24" xfId="198" applyBorder="1" applyAlignment="1">
      <alignment horizontal="left" vertical="center" wrapText="1"/>
    </xf>
    <xf numFmtId="0" fontId="18" fillId="0" borderId="110" xfId="198" applyFont="1" applyFill="1" applyBorder="1" applyAlignment="1">
      <alignment vertical="center" wrapText="1"/>
    </xf>
    <xf numFmtId="0" fontId="18" fillId="0" borderId="105" xfId="198" applyFont="1" applyFill="1" applyBorder="1" applyAlignment="1">
      <alignment vertical="center" wrapText="1"/>
    </xf>
    <xf numFmtId="0" fontId="18" fillId="0" borderId="0" xfId="198" applyFont="1" applyAlignment="1">
      <alignment horizontal="left" vertical="center" wrapText="1"/>
    </xf>
    <xf numFmtId="0" fontId="75" fillId="0" borderId="0" xfId="198" applyAlignment="1">
      <alignment horizontal="left" vertical="top" wrapText="1"/>
    </xf>
    <xf numFmtId="0" fontId="18" fillId="0" borderId="0" xfId="198" applyFont="1" applyAlignment="1">
      <alignment horizontal="left" vertical="top" wrapText="1"/>
    </xf>
    <xf numFmtId="0" fontId="25" fillId="0" borderId="87" xfId="198" applyFont="1" applyFill="1" applyBorder="1" applyAlignment="1">
      <alignment vertical="top" wrapText="1"/>
    </xf>
    <xf numFmtId="0" fontId="25" fillId="0" borderId="20" xfId="198" applyFont="1" applyFill="1" applyBorder="1" applyAlignment="1">
      <alignment vertical="top" wrapText="1"/>
    </xf>
    <xf numFmtId="0" fontId="25" fillId="0" borderId="43" xfId="198" applyFont="1" applyFill="1" applyBorder="1" applyAlignment="1">
      <alignment vertical="top" wrapText="1"/>
    </xf>
    <xf numFmtId="0" fontId="25" fillId="0" borderId="24" xfId="198" applyFont="1" applyFill="1" applyBorder="1" applyAlignment="1">
      <alignment vertical="top" wrapText="1"/>
    </xf>
    <xf numFmtId="0" fontId="25" fillId="0" borderId="20" xfId="198" applyFont="1" applyFill="1" applyBorder="1" applyAlignment="1">
      <alignment horizontal="center"/>
    </xf>
    <xf numFmtId="0" fontId="25" fillId="0" borderId="35" xfId="198" applyFont="1" applyFill="1" applyBorder="1" applyAlignment="1">
      <alignment horizontal="center" vertical="center" wrapText="1"/>
    </xf>
    <xf numFmtId="0" fontId="75" fillId="0" borderId="42" xfId="198" applyFill="1" applyBorder="1" applyAlignment="1">
      <alignment horizontal="center" vertical="center" wrapText="1"/>
    </xf>
    <xf numFmtId="0" fontId="75" fillId="0" borderId="70" xfId="198" applyBorder="1" applyAlignment="1">
      <alignment horizontal="left"/>
    </xf>
    <xf numFmtId="0" fontId="75" fillId="0" borderId="23" xfId="198" applyBorder="1" applyAlignment="1">
      <alignment horizontal="left"/>
    </xf>
    <xf numFmtId="0" fontId="75" fillId="0" borderId="70" xfId="198" applyBorder="1" applyAlignment="1">
      <alignment horizontal="left" vertical="top" wrapText="1"/>
    </xf>
    <xf numFmtId="0" fontId="75" fillId="0" borderId="23" xfId="198" applyBorder="1" applyAlignment="1">
      <alignment horizontal="left" vertical="top" wrapText="1"/>
    </xf>
    <xf numFmtId="0" fontId="75" fillId="0" borderId="70" xfId="198" applyBorder="1" applyAlignment="1">
      <alignment vertical="top" wrapText="1"/>
    </xf>
    <xf numFmtId="0" fontId="75" fillId="0" borderId="23" xfId="198" applyBorder="1" applyAlignment="1">
      <alignment vertical="top" wrapText="1"/>
    </xf>
    <xf numFmtId="0" fontId="18" fillId="0" borderId="84" xfId="198" applyFont="1" applyFill="1" applyBorder="1" applyAlignment="1">
      <alignment horizontal="left" vertical="top" wrapText="1"/>
    </xf>
    <xf numFmtId="0" fontId="18" fillId="0" borderId="104" xfId="198" applyFont="1" applyFill="1" applyBorder="1" applyAlignment="1">
      <alignment horizontal="left" vertical="top" wrapText="1"/>
    </xf>
    <xf numFmtId="0" fontId="25" fillId="0" borderId="70" xfId="198" applyFont="1" applyFill="1" applyBorder="1" applyAlignment="1">
      <alignment horizontal="left" vertical="center" wrapText="1"/>
    </xf>
    <xf numFmtId="0" fontId="25" fillId="0" borderId="23" xfId="198" applyFont="1" applyFill="1" applyBorder="1" applyAlignment="1">
      <alignment horizontal="left" vertical="center" wrapText="1"/>
    </xf>
    <xf numFmtId="0" fontId="18" fillId="0" borderId="0" xfId="198" applyFont="1" applyFill="1" applyAlignment="1">
      <alignment horizontal="left" vertical="top"/>
    </xf>
    <xf numFmtId="0" fontId="25" fillId="0" borderId="87" xfId="198" applyFont="1" applyFill="1" applyBorder="1" applyAlignment="1">
      <alignment horizontal="left" vertical="center" wrapText="1"/>
    </xf>
    <xf numFmtId="0" fontId="25" fillId="0" borderId="20" xfId="198" applyFont="1" applyFill="1" applyBorder="1" applyAlignment="1">
      <alignment horizontal="left" vertical="center" wrapText="1"/>
    </xf>
    <xf numFmtId="0" fontId="25" fillId="0" borderId="43" xfId="198" applyFont="1" applyFill="1" applyBorder="1" applyAlignment="1">
      <alignment horizontal="left" vertical="center" wrapText="1"/>
    </xf>
    <xf numFmtId="0" fontId="25" fillId="0" borderId="24" xfId="198" applyFont="1" applyFill="1" applyBorder="1" applyAlignment="1">
      <alignment horizontal="left" vertical="center" wrapText="1"/>
    </xf>
    <xf numFmtId="0" fontId="75" fillId="0" borderId="64" xfId="198" applyFill="1" applyBorder="1" applyAlignment="1">
      <alignment vertical="center" wrapText="1"/>
    </xf>
    <xf numFmtId="0" fontId="75" fillId="0" borderId="42" xfId="198" applyFill="1" applyBorder="1" applyAlignment="1">
      <alignment vertical="center" wrapText="1"/>
    </xf>
    <xf numFmtId="0" fontId="25" fillId="0" borderId="24" xfId="198" applyFont="1" applyFill="1" applyBorder="1" applyAlignment="1">
      <alignment horizontal="center" vertical="center" wrapText="1"/>
    </xf>
    <xf numFmtId="0" fontId="75" fillId="0" borderId="24" xfId="198" applyFill="1" applyBorder="1" applyAlignment="1">
      <alignment horizontal="center" vertical="center" wrapText="1"/>
    </xf>
    <xf numFmtId="0" fontId="75" fillId="0" borderId="43" xfId="198" applyFill="1" applyBorder="1" applyAlignment="1">
      <alignment horizontal="left" vertical="center" wrapText="1"/>
    </xf>
    <xf numFmtId="0" fontId="75" fillId="0" borderId="24" xfId="198" applyFill="1" applyBorder="1" applyAlignment="1">
      <alignment horizontal="left" vertical="center" wrapText="1"/>
    </xf>
    <xf numFmtId="0" fontId="18" fillId="0" borderId="116" xfId="198" applyFont="1" applyBorder="1" applyAlignment="1">
      <alignment horizontal="left" vertical="center" wrapText="1"/>
    </xf>
    <xf numFmtId="0" fontId="18" fillId="0" borderId="25" xfId="198" applyFont="1" applyBorder="1" applyAlignment="1">
      <alignment horizontal="left" vertical="center" wrapText="1"/>
    </xf>
    <xf numFmtId="0" fontId="25" fillId="0" borderId="120" xfId="198" applyFont="1" applyBorder="1" applyAlignment="1">
      <alignment horizontal="left"/>
    </xf>
    <xf numFmtId="0" fontId="25" fillId="0" borderId="121" xfId="198" applyFont="1" applyBorder="1" applyAlignment="1">
      <alignment horizontal="left"/>
    </xf>
    <xf numFmtId="0" fontId="25" fillId="0" borderId="33" xfId="198" applyFont="1" applyFill="1" applyBorder="1" applyAlignment="1">
      <alignment horizontal="left"/>
    </xf>
    <xf numFmtId="0" fontId="25" fillId="0" borderId="34" xfId="198" applyFont="1" applyFill="1" applyBorder="1" applyAlignment="1">
      <alignment horizontal="left"/>
    </xf>
    <xf numFmtId="0" fontId="25" fillId="0" borderId="41" xfId="198" applyFont="1" applyFill="1" applyBorder="1" applyAlignment="1">
      <alignment vertical="top" wrapText="1"/>
    </xf>
    <xf numFmtId="0" fontId="25" fillId="0" borderId="22" xfId="198" applyFont="1" applyFill="1" applyBorder="1" applyAlignment="1">
      <alignment vertical="top" wrapText="1"/>
    </xf>
    <xf numFmtId="0" fontId="25" fillId="0" borderId="22" xfId="198" applyFont="1" applyFill="1" applyBorder="1" applyAlignment="1">
      <alignment horizontal="center" vertical="center" wrapText="1"/>
    </xf>
    <xf numFmtId="0" fontId="25" fillId="0" borderId="42" xfId="198" applyFont="1" applyFill="1" applyBorder="1" applyAlignment="1">
      <alignment horizontal="center" vertical="center" wrapText="1"/>
    </xf>
    <xf numFmtId="0" fontId="25" fillId="0" borderId="44" xfId="198" applyFont="1" applyFill="1" applyBorder="1" applyAlignment="1">
      <alignment horizontal="center" vertical="center" wrapText="1"/>
    </xf>
    <xf numFmtId="0" fontId="31" fillId="0" borderId="0" xfId="198" applyFont="1" applyAlignment="1">
      <alignment horizontal="center"/>
    </xf>
    <xf numFmtId="0" fontId="25" fillId="0" borderId="0" xfId="198" applyFont="1" applyFill="1" applyAlignment="1">
      <alignment horizontal="left" vertical="center" wrapText="1"/>
    </xf>
    <xf numFmtId="0" fontId="18" fillId="0" borderId="0" xfId="198" applyFont="1" applyFill="1" applyAlignment="1">
      <alignment horizontal="left" vertical="top" wrapText="1"/>
    </xf>
    <xf numFmtId="0" fontId="25" fillId="0" borderId="0" xfId="198" applyFont="1" applyAlignment="1">
      <alignment horizontal="left" wrapText="1"/>
    </xf>
    <xf numFmtId="0" fontId="18" fillId="0" borderId="0" xfId="0" applyFont="1" applyAlignment="1">
      <alignment vertical="top" wrapText="1"/>
    </xf>
    <xf numFmtId="0" fontId="23" fillId="0" borderId="0" xfId="0" applyFont="1" applyAlignment="1">
      <alignment horizontal="center"/>
    </xf>
    <xf numFmtId="0" fontId="0" fillId="0" borderId="87" xfId="0" applyFill="1" applyBorder="1" applyAlignment="1">
      <alignment horizontal="center"/>
    </xf>
    <xf numFmtId="0" fontId="0" fillId="0" borderId="20" xfId="0" applyFill="1" applyBorder="1" applyAlignment="1">
      <alignment horizontal="center"/>
    </xf>
    <xf numFmtId="0" fontId="0" fillId="0" borderId="43" xfId="0" applyFill="1" applyBorder="1" applyAlignment="1">
      <alignment horizontal="center"/>
    </xf>
    <xf numFmtId="0" fontId="0" fillId="0" borderId="24" xfId="0" applyFill="1" applyBorder="1" applyAlignment="1">
      <alignment horizontal="center"/>
    </xf>
    <xf numFmtId="0" fontId="25" fillId="0" borderId="108" xfId="0" applyFont="1" applyFill="1" applyBorder="1" applyAlignment="1">
      <alignment horizontal="center"/>
    </xf>
    <xf numFmtId="0" fontId="25" fillId="0" borderId="107" xfId="0" applyFont="1" applyFill="1" applyBorder="1" applyAlignment="1">
      <alignment horizontal="center"/>
    </xf>
    <xf numFmtId="0" fontId="25" fillId="0" borderId="19" xfId="0" applyFont="1" applyFill="1" applyBorder="1" applyAlignment="1">
      <alignment horizontal="center"/>
    </xf>
    <xf numFmtId="0" fontId="25" fillId="0" borderId="35" xfId="0" applyFont="1" applyFill="1" applyBorder="1" applyAlignment="1">
      <alignment horizontal="center" vertical="center" wrapText="1"/>
    </xf>
    <xf numFmtId="0" fontId="0" fillId="0" borderId="42" xfId="0" applyFill="1" applyBorder="1" applyAlignment="1">
      <alignment horizontal="center" vertical="center" wrapText="1"/>
    </xf>
    <xf numFmtId="0" fontId="30" fillId="41" borderId="30" xfId="0" applyFont="1" applyFill="1" applyBorder="1" applyAlignment="1">
      <alignment horizontal="left"/>
    </xf>
    <xf numFmtId="0" fontId="30" fillId="41" borderId="31" xfId="0" applyFont="1" applyFill="1" applyBorder="1" applyAlignment="1">
      <alignment horizontal="left"/>
    </xf>
    <xf numFmtId="0" fontId="30" fillId="41" borderId="71" xfId="0" applyFont="1" applyFill="1" applyBorder="1" applyAlignment="1">
      <alignment horizontal="left"/>
    </xf>
    <xf numFmtId="0" fontId="30" fillId="41" borderId="30" xfId="0" applyFont="1" applyFill="1" applyBorder="1" applyAlignment="1">
      <alignment horizontal="left" vertical="top" wrapText="1"/>
    </xf>
    <xf numFmtId="0" fontId="30" fillId="41" borderId="31" xfId="0" applyFont="1" applyFill="1" applyBorder="1" applyAlignment="1">
      <alignment horizontal="left" vertical="top" wrapText="1"/>
    </xf>
    <xf numFmtId="0" fontId="30" fillId="41" borderId="71" xfId="0" applyFont="1" applyFill="1" applyBorder="1" applyAlignment="1">
      <alignment horizontal="left" vertical="top" wrapText="1"/>
    </xf>
    <xf numFmtId="0" fontId="33" fillId="0" borderId="0" xfId="0" applyFont="1" applyAlignment="1">
      <alignment horizontal="left"/>
    </xf>
    <xf numFmtId="0" fontId="30" fillId="0" borderId="0" xfId="0" applyFont="1" applyAlignment="1">
      <alignment vertical="top" wrapText="1"/>
    </xf>
    <xf numFmtId="0" fontId="33" fillId="0" borderId="0" xfId="0" applyFont="1" applyAlignment="1">
      <alignment vertical="top" wrapText="1"/>
    </xf>
    <xf numFmtId="0" fontId="25" fillId="45" borderId="0" xfId="0" applyFont="1" applyFill="1" applyAlignment="1">
      <alignment horizontal="left" vertical="center" wrapText="1"/>
    </xf>
    <xf numFmtId="0" fontId="0" fillId="0" borderId="72" xfId="0" applyBorder="1" applyAlignment="1">
      <alignment horizontal="left" wrapText="1"/>
    </xf>
    <xf numFmtId="0" fontId="0" fillId="0" borderId="73" xfId="0" applyBorder="1" applyAlignment="1">
      <alignment horizontal="left" wrapText="1"/>
    </xf>
    <xf numFmtId="0" fontId="0" fillId="0" borderId="114" xfId="0" applyBorder="1" applyAlignment="1">
      <alignment horizontal="left" wrapText="1"/>
    </xf>
    <xf numFmtId="0" fontId="25" fillId="0" borderId="59" xfId="0" applyFont="1" applyFill="1" applyBorder="1" applyAlignment="1">
      <alignment vertical="center" wrapText="1"/>
    </xf>
    <xf numFmtId="0" fontId="25" fillId="0" borderId="60" xfId="0" applyFont="1" applyFill="1" applyBorder="1" applyAlignment="1">
      <alignment vertical="center" wrapText="1"/>
    </xf>
    <xf numFmtId="0" fontId="25" fillId="0" borderId="17" xfId="0" applyFont="1" applyFill="1" applyBorder="1" applyAlignment="1">
      <alignment vertical="center" wrapText="1"/>
    </xf>
    <xf numFmtId="0" fontId="25" fillId="0" borderId="0" xfId="0" applyFont="1" applyFill="1" applyBorder="1" applyAlignment="1">
      <alignment vertical="center" wrapText="1"/>
    </xf>
    <xf numFmtId="0" fontId="25" fillId="0" borderId="65" xfId="0" applyFont="1" applyFill="1" applyBorder="1" applyAlignment="1">
      <alignment vertical="center" wrapText="1"/>
    </xf>
    <xf numFmtId="0" fontId="25" fillId="0" borderId="32" xfId="0" applyFont="1" applyFill="1" applyBorder="1" applyAlignment="1">
      <alignment vertical="center" wrapText="1"/>
    </xf>
    <xf numFmtId="0" fontId="18" fillId="0" borderId="17" xfId="0" applyFont="1" applyBorder="1" applyAlignment="1">
      <alignment horizontal="left" wrapText="1"/>
    </xf>
    <xf numFmtId="0" fontId="0" fillId="0" borderId="0" xfId="0" applyBorder="1" applyAlignment="1">
      <alignment horizontal="left" wrapText="1"/>
    </xf>
    <xf numFmtId="0" fontId="0" fillId="0" borderId="27" xfId="0" applyBorder="1" applyAlignment="1">
      <alignment horizontal="left" wrapText="1"/>
    </xf>
    <xf numFmtId="0" fontId="18" fillId="0" borderId="70" xfId="0" applyFont="1" applyBorder="1" applyAlignment="1">
      <alignment horizontal="left" wrapText="1"/>
    </xf>
    <xf numFmtId="0" fontId="0" fillId="0" borderId="31" xfId="0" applyBorder="1" applyAlignment="1">
      <alignment horizontal="left" wrapText="1"/>
    </xf>
    <xf numFmtId="0" fontId="0" fillId="0" borderId="23" xfId="0" applyBorder="1" applyAlignment="1">
      <alignment horizontal="left" wrapText="1"/>
    </xf>
    <xf numFmtId="0" fontId="18" fillId="0" borderId="72" xfId="0" applyFont="1" applyBorder="1" applyAlignment="1">
      <alignment horizontal="left" wrapText="1"/>
    </xf>
    <xf numFmtId="0" fontId="0" fillId="0" borderId="17" xfId="0" applyBorder="1" applyAlignment="1">
      <alignment horizontal="left" wrapText="1"/>
    </xf>
    <xf numFmtId="0" fontId="18" fillId="0" borderId="0" xfId="0" applyFont="1" applyAlignment="1">
      <alignment horizontal="center" vertical="top"/>
    </xf>
    <xf numFmtId="0" fontId="0" fillId="0" borderId="70" xfId="0" applyBorder="1" applyAlignment="1">
      <alignment horizontal="left" wrapText="1"/>
    </xf>
    <xf numFmtId="0" fontId="54" fillId="34" borderId="80" xfId="0" applyFont="1" applyFill="1" applyBorder="1" applyAlignment="1">
      <alignment horizontal="left" wrapText="1"/>
    </xf>
    <xf numFmtId="0" fontId="54" fillId="34" borderId="81" xfId="0" applyFont="1" applyFill="1" applyBorder="1" applyAlignment="1">
      <alignment horizontal="left" wrapText="1"/>
    </xf>
    <xf numFmtId="0" fontId="54" fillId="34" borderId="92" xfId="0" applyFont="1" applyFill="1" applyBorder="1" applyAlignment="1">
      <alignment horizontal="left" wrapText="1"/>
    </xf>
    <xf numFmtId="0" fontId="25" fillId="0" borderId="67" xfId="0" applyFont="1" applyBorder="1" applyAlignment="1">
      <alignment horizontal="left" wrapText="1"/>
    </xf>
    <xf numFmtId="0" fontId="25" fillId="0" borderId="68" xfId="0" applyFont="1" applyBorder="1" applyAlignment="1">
      <alignment horizontal="left" wrapText="1"/>
    </xf>
    <xf numFmtId="0" fontId="25" fillId="0" borderId="78" xfId="0" applyFont="1" applyBorder="1" applyAlignment="1">
      <alignment horizontal="left" wrapText="1"/>
    </xf>
    <xf numFmtId="0" fontId="54" fillId="0" borderId="0" xfId="0" applyFont="1" applyAlignment="1">
      <alignment horizontal="left" wrapText="1"/>
    </xf>
    <xf numFmtId="0" fontId="54" fillId="0" borderId="0" xfId="0" applyFont="1" applyAlignment="1">
      <alignment horizontal="left" vertical="top" wrapText="1"/>
    </xf>
    <xf numFmtId="0" fontId="18" fillId="0" borderId="0" xfId="0" applyFont="1" applyAlignment="1">
      <alignment horizontal="center" vertical="top" wrapText="1"/>
    </xf>
    <xf numFmtId="0" fontId="18" fillId="0" borderId="114" xfId="5" applyBorder="1" applyAlignment="1">
      <alignment horizontal="left" wrapText="1"/>
    </xf>
    <xf numFmtId="0" fontId="18" fillId="0" borderId="0" xfId="5" applyAlignment="1">
      <alignment horizontal="center"/>
    </xf>
    <xf numFmtId="0" fontId="18" fillId="0" borderId="0" xfId="5" applyAlignment="1"/>
    <xf numFmtId="0" fontId="25" fillId="0" borderId="87" xfId="5" applyFont="1" applyFill="1" applyBorder="1" applyAlignment="1">
      <alignment vertical="center" wrapText="1"/>
    </xf>
    <xf numFmtId="0" fontId="25" fillId="0" borderId="20" xfId="5" applyFont="1" applyFill="1" applyBorder="1" applyAlignment="1">
      <alignment vertical="center" wrapText="1"/>
    </xf>
    <xf numFmtId="0" fontId="25" fillId="0" borderId="43" xfId="5" applyFont="1" applyFill="1" applyBorder="1" applyAlignment="1">
      <alignment vertical="center" wrapText="1"/>
    </xf>
    <xf numFmtId="0" fontId="25" fillId="0" borderId="24" xfId="5" applyFont="1" applyFill="1" applyBorder="1" applyAlignment="1">
      <alignment vertical="center" wrapText="1"/>
    </xf>
    <xf numFmtId="0" fontId="25" fillId="0" borderId="36" xfId="5" applyFont="1" applyFill="1" applyBorder="1" applyAlignment="1">
      <alignment horizontal="center" wrapText="1"/>
    </xf>
    <xf numFmtId="0" fontId="18" fillId="0" borderId="123" xfId="5" applyFill="1" applyBorder="1" applyAlignment="1">
      <alignment horizontal="center" wrapText="1"/>
    </xf>
    <xf numFmtId="0" fontId="18" fillId="0" borderId="118" xfId="5" applyFill="1" applyBorder="1" applyAlignment="1">
      <alignment horizontal="center" wrapText="1"/>
    </xf>
    <xf numFmtId="0" fontId="18" fillId="0" borderId="17" xfId="5" applyBorder="1" applyAlignment="1">
      <alignment horizontal="left" vertical="center" wrapText="1"/>
    </xf>
    <xf numFmtId="0" fontId="18" fillId="0" borderId="0" xfId="5" applyBorder="1" applyAlignment="1">
      <alignment horizontal="left" vertical="center" wrapText="1"/>
    </xf>
    <xf numFmtId="0" fontId="18" fillId="0" borderId="27" xfId="5" applyBorder="1" applyAlignment="1">
      <alignment horizontal="left" vertical="center" wrapText="1"/>
    </xf>
    <xf numFmtId="0" fontId="18" fillId="0" borderId="70" xfId="5" applyBorder="1" applyAlignment="1">
      <alignment horizontal="left" vertical="center" wrapText="1"/>
    </xf>
    <xf numFmtId="0" fontId="18" fillId="0" borderId="31" xfId="5" applyBorder="1" applyAlignment="1">
      <alignment horizontal="left" vertical="center" wrapText="1"/>
    </xf>
    <xf numFmtId="0" fontId="18" fillId="0" borderId="23" xfId="5" applyBorder="1" applyAlignment="1">
      <alignment horizontal="left" vertical="center" wrapText="1"/>
    </xf>
    <xf numFmtId="0" fontId="18" fillId="0" borderId="72" xfId="5" applyBorder="1" applyAlignment="1">
      <alignment horizontal="left" vertical="center" wrapText="1"/>
    </xf>
    <xf numFmtId="0" fontId="18" fillId="0" borderId="73" xfId="5" applyBorder="1" applyAlignment="1">
      <alignment horizontal="left" vertical="center" wrapText="1"/>
    </xf>
    <xf numFmtId="0" fontId="18" fillId="0" borderId="114" xfId="5" applyBorder="1" applyAlignment="1">
      <alignment horizontal="left" vertical="center" wrapText="1"/>
    </xf>
    <xf numFmtId="0" fontId="18" fillId="0" borderId="27" xfId="5" applyBorder="1" applyAlignment="1">
      <alignment horizontal="left" wrapText="1"/>
    </xf>
    <xf numFmtId="0" fontId="18" fillId="0" borderId="0" xfId="5" applyFont="1" applyAlignment="1">
      <alignment vertical="top" wrapText="1"/>
    </xf>
    <xf numFmtId="0" fontId="18" fillId="0" borderId="23" xfId="5" applyBorder="1" applyAlignment="1">
      <alignment horizontal="left" wrapText="1"/>
    </xf>
    <xf numFmtId="0" fontId="18" fillId="34" borderId="92" xfId="5" applyFill="1" applyBorder="1" applyAlignment="1">
      <alignment horizontal="left" wrapText="1"/>
    </xf>
    <xf numFmtId="0" fontId="25" fillId="0" borderId="78" xfId="5" applyFont="1" applyBorder="1" applyAlignment="1">
      <alignment horizontal="left" wrapText="1"/>
    </xf>
    <xf numFmtId="0" fontId="18" fillId="0" borderId="0" xfId="5" applyFont="1" applyAlignment="1">
      <alignment horizontal="center" vertical="top"/>
    </xf>
    <xf numFmtId="0" fontId="25" fillId="0" borderId="61" xfId="5" applyFont="1" applyFill="1" applyBorder="1" applyAlignment="1">
      <alignment horizontal="center" vertical="center" wrapText="1"/>
    </xf>
    <xf numFmtId="0" fontId="25" fillId="0" borderId="69" xfId="5" applyFont="1" applyFill="1" applyBorder="1" applyAlignment="1">
      <alignment horizontal="center" vertical="center" wrapText="1"/>
    </xf>
    <xf numFmtId="0" fontId="25" fillId="0" borderId="68" xfId="5" applyFont="1" applyFill="1" applyBorder="1" applyAlignment="1">
      <alignment horizontal="center" vertical="center"/>
    </xf>
    <xf numFmtId="0" fontId="25" fillId="0" borderId="69" xfId="5" applyFont="1" applyFill="1" applyBorder="1" applyAlignment="1">
      <alignment horizontal="center" vertical="center"/>
    </xf>
    <xf numFmtId="0" fontId="25" fillId="0" borderId="36" xfId="5" applyFont="1" applyFill="1" applyBorder="1" applyAlignment="1">
      <alignment horizontal="center" vertical="center" wrapText="1"/>
    </xf>
    <xf numFmtId="0" fontId="25" fillId="0" borderId="40" xfId="5" applyFont="1" applyFill="1" applyBorder="1" applyAlignment="1">
      <alignment horizontal="center" vertical="center" wrapText="1"/>
    </xf>
    <xf numFmtId="0" fontId="25" fillId="0" borderId="98" xfId="5" applyFont="1" applyFill="1" applyBorder="1" applyAlignment="1">
      <alignment horizontal="center" vertical="center" wrapText="1"/>
    </xf>
    <xf numFmtId="0" fontId="25" fillId="0" borderId="103" xfId="5" applyFont="1" applyFill="1" applyBorder="1" applyAlignment="1">
      <alignment horizontal="center" vertical="center" wrapText="1"/>
    </xf>
    <xf numFmtId="0" fontId="25" fillId="0" borderId="119" xfId="5" applyFont="1" applyFill="1" applyBorder="1" applyAlignment="1">
      <alignment horizontal="center" vertical="center" wrapText="1"/>
    </xf>
    <xf numFmtId="0" fontId="25" fillId="0" borderId="103" xfId="5" applyFont="1" applyFill="1" applyBorder="1" applyAlignment="1">
      <alignment horizontal="center" vertical="center"/>
    </xf>
    <xf numFmtId="0" fontId="25" fillId="0" borderId="119" xfId="5" applyFont="1" applyFill="1" applyBorder="1" applyAlignment="1">
      <alignment horizontal="center" vertical="center"/>
    </xf>
    <xf numFmtId="0" fontId="25" fillId="0" borderId="98" xfId="5" applyFont="1" applyFill="1" applyBorder="1" applyAlignment="1">
      <alignment horizontal="center" vertical="center"/>
    </xf>
    <xf numFmtId="0" fontId="25" fillId="49" borderId="0" xfId="5" applyFont="1" applyFill="1" applyAlignment="1" applyProtection="1">
      <alignment horizontal="left" vertical="top" wrapText="1"/>
    </xf>
    <xf numFmtId="0" fontId="25" fillId="0" borderId="0" xfId="5" applyFont="1" applyAlignment="1" applyProtection="1">
      <alignment horizontal="center" wrapText="1"/>
    </xf>
    <xf numFmtId="0" fontId="18" fillId="0" borderId="0" xfId="5" applyAlignment="1">
      <alignment horizontal="center" wrapText="1"/>
    </xf>
    <xf numFmtId="0" fontId="25" fillId="0" borderId="26" xfId="5" applyFont="1" applyFill="1" applyBorder="1" applyAlignment="1" applyProtection="1">
      <alignment horizontal="center" wrapText="1"/>
    </xf>
    <xf numFmtId="0" fontId="18" fillId="0" borderId="22" xfId="5" applyBorder="1" applyAlignment="1">
      <alignment wrapText="1"/>
    </xf>
    <xf numFmtId="0" fontId="25" fillId="0" borderId="27" xfId="5" applyFont="1" applyFill="1" applyBorder="1" applyAlignment="1" applyProtection="1">
      <alignment horizontal="center" wrapText="1"/>
    </xf>
    <xf numFmtId="0" fontId="18" fillId="0" borderId="21" xfId="5" applyBorder="1" applyAlignment="1">
      <alignment wrapText="1"/>
    </xf>
    <xf numFmtId="0" fontId="30" fillId="0" borderId="0" xfId="5" applyFont="1" applyAlignment="1" applyProtection="1">
      <alignment horizontal="left" vertical="top" wrapText="1" indent="1"/>
    </xf>
    <xf numFmtId="0" fontId="57" fillId="35" borderId="0" xfId="5" applyFont="1" applyFill="1" applyBorder="1" applyAlignment="1" applyProtection="1">
      <alignment horizontal="left" indent="7"/>
    </xf>
    <xf numFmtId="0" fontId="31" fillId="0" borderId="0" xfId="5" applyFont="1" applyAlignment="1" applyProtection="1">
      <alignment horizontal="center"/>
    </xf>
    <xf numFmtId="0" fontId="37" fillId="34" borderId="0" xfId="5" applyFont="1" applyFill="1" applyAlignment="1" applyProtection="1">
      <alignment horizontal="left" vertical="center"/>
    </xf>
    <xf numFmtId="0" fontId="25" fillId="0" borderId="30" xfId="5" applyFont="1" applyBorder="1" applyAlignment="1" applyProtection="1">
      <alignment horizontal="center"/>
    </xf>
    <xf numFmtId="0" fontId="25" fillId="0" borderId="31" xfId="5" applyFont="1" applyBorder="1" applyAlignment="1" applyProtection="1">
      <alignment horizontal="center"/>
    </xf>
    <xf numFmtId="0" fontId="25" fillId="0" borderId="23" xfId="5" applyFont="1" applyBorder="1" applyAlignment="1" applyProtection="1">
      <alignment horizontal="center"/>
    </xf>
  </cellXfs>
  <cellStyles count="199">
    <cellStyle name="20% - Accent1 2" xfId="13"/>
    <cellStyle name="20% - Accent1 2 2" xfId="14"/>
    <cellStyle name="20% - Accent2 2" xfId="15"/>
    <cellStyle name="20% - Accent2 2 2" xfId="16"/>
    <cellStyle name="20% - Accent3 2" xfId="17"/>
    <cellStyle name="20% - Accent3 2 2" xfId="18"/>
    <cellStyle name="20% - Accent4 2" xfId="19"/>
    <cellStyle name="20% - Accent4 2 2" xfId="20"/>
    <cellStyle name="20% - Accent5 2" xfId="21"/>
    <cellStyle name="20% - Accent5 2 2" xfId="22"/>
    <cellStyle name="20% - Accent6 2" xfId="23"/>
    <cellStyle name="20% - Accent6 2 2" xfId="24"/>
    <cellStyle name="40% - Accent1 2" xfId="25"/>
    <cellStyle name="40% - Accent1 2 2" xfId="26"/>
    <cellStyle name="40% - Accent2 2" xfId="27"/>
    <cellStyle name="40% - Accent2 2 2" xfId="28"/>
    <cellStyle name="40% - Accent3 2" xfId="29"/>
    <cellStyle name="40% - Accent3 2 2" xfId="30"/>
    <cellStyle name="40% - Accent4 2" xfId="31"/>
    <cellStyle name="40% - Accent4 2 2" xfId="32"/>
    <cellStyle name="40% - Accent5 2" xfId="33"/>
    <cellStyle name="40% - Accent5 2 2" xfId="34"/>
    <cellStyle name="40% - Accent6 2" xfId="35"/>
    <cellStyle name="40% - Accent6 2 2" xfId="36"/>
    <cellStyle name="60% - Accent1 2" xfId="37"/>
    <cellStyle name="60% - Accent2 2" xfId="38"/>
    <cellStyle name="60% - Accent3 2" xfId="39"/>
    <cellStyle name="60% - Accent4 2" xfId="40"/>
    <cellStyle name="60% - Accent5 2" xfId="41"/>
    <cellStyle name="60% - Accent6 2" xfId="42"/>
    <cellStyle name="Accent1 2" xfId="43"/>
    <cellStyle name="Accent2 2" xfId="44"/>
    <cellStyle name="Accent3 2" xfId="45"/>
    <cellStyle name="Accent4 2" xfId="46"/>
    <cellStyle name="Accent5 2" xfId="47"/>
    <cellStyle name="Accent6 2" xfId="48"/>
    <cellStyle name="args.style" xfId="49"/>
    <cellStyle name="Bad 2" xfId="50"/>
    <cellStyle name="Body" xfId="51"/>
    <cellStyle name="Calc Currency (0)" xfId="52"/>
    <cellStyle name="Calculation 2" xfId="53"/>
    <cellStyle name="Check Cell 2" xfId="54"/>
    <cellStyle name="Comma" xfId="1" builtinId="3"/>
    <cellStyle name="Comma 10" xfId="55"/>
    <cellStyle name="Comma 11" xfId="56"/>
    <cellStyle name="Comma 12" xfId="57"/>
    <cellStyle name="Comma 13" xfId="58"/>
    <cellStyle name="Comma 14" xfId="59"/>
    <cellStyle name="Comma 15" xfId="60"/>
    <cellStyle name="Comma 16" xfId="10"/>
    <cellStyle name="Comma 17" xfId="61"/>
    <cellStyle name="Comma 2" xfId="62"/>
    <cellStyle name="Comma 2 2" xfId="63"/>
    <cellStyle name="Comma 2 3" xfId="64"/>
    <cellStyle name="Comma 2 3 2" xfId="65"/>
    <cellStyle name="Comma 2 3 3" xfId="66"/>
    <cellStyle name="Comma 2 4" xfId="67"/>
    <cellStyle name="Comma 2 5" xfId="68"/>
    <cellStyle name="Comma 2 6" xfId="69"/>
    <cellStyle name="Comma 3" xfId="70"/>
    <cellStyle name="Comma 3 2" xfId="71"/>
    <cellStyle name="Comma 4" xfId="72"/>
    <cellStyle name="Comma 5" xfId="73"/>
    <cellStyle name="Comma 6" xfId="74"/>
    <cellStyle name="Comma 7" xfId="75"/>
    <cellStyle name="Comma 8" xfId="76"/>
    <cellStyle name="Comma 9" xfId="77"/>
    <cellStyle name="Comma0" xfId="78"/>
    <cellStyle name="Comma0 2" xfId="79"/>
    <cellStyle name="Comma0 3" xfId="80"/>
    <cellStyle name="Copied" xfId="81"/>
    <cellStyle name="Currency" xfId="2" builtinId="4"/>
    <cellStyle name="Currency 10" xfId="82"/>
    <cellStyle name="Currency 11" xfId="83"/>
    <cellStyle name="Currency 12" xfId="84"/>
    <cellStyle name="Currency 13" xfId="85"/>
    <cellStyle name="Currency 14" xfId="8"/>
    <cellStyle name="Currency 15" xfId="86"/>
    <cellStyle name="Currency 16" xfId="12"/>
    <cellStyle name="Currency 2" xfId="87"/>
    <cellStyle name="Currency 2 2" xfId="88"/>
    <cellStyle name="Currency 2 3" xfId="89"/>
    <cellStyle name="Currency 2 4" xfId="90"/>
    <cellStyle name="Currency 2 5" xfId="91"/>
    <cellStyle name="Currency 2 6" xfId="92"/>
    <cellStyle name="Currency 3" xfId="93"/>
    <cellStyle name="Currency 4" xfId="94"/>
    <cellStyle name="Currency 5" xfId="95"/>
    <cellStyle name="Currency 6" xfId="96"/>
    <cellStyle name="Currency 7" xfId="97"/>
    <cellStyle name="Currency 8" xfId="98"/>
    <cellStyle name="Currency 9" xfId="99"/>
    <cellStyle name="Currency0" xfId="100"/>
    <cellStyle name="Currency0 2" xfId="101"/>
    <cellStyle name="Currency0 3" xfId="102"/>
    <cellStyle name="Date" xfId="103"/>
    <cellStyle name="Date 2" xfId="104"/>
    <cellStyle name="Date 3" xfId="105"/>
    <cellStyle name="Entered" xfId="106"/>
    <cellStyle name="Explanatory Text 2" xfId="107"/>
    <cellStyle name="Fixed" xfId="108"/>
    <cellStyle name="Fixed 2" xfId="109"/>
    <cellStyle name="Fixed 3" xfId="110"/>
    <cellStyle name="Good 2" xfId="111"/>
    <cellStyle name="Grey" xfId="112"/>
    <cellStyle name="Head 1" xfId="113"/>
    <cellStyle name="Header1" xfId="114"/>
    <cellStyle name="Header2" xfId="115"/>
    <cellStyle name="Heading 1 2" xfId="116"/>
    <cellStyle name="Heading 2 2" xfId="117"/>
    <cellStyle name="Heading 3 2" xfId="118"/>
    <cellStyle name="Heading 4 2" xfId="119"/>
    <cellStyle name="HEADINGS" xfId="120"/>
    <cellStyle name="HEADINGSTOP" xfId="121"/>
    <cellStyle name="Hyperlink" xfId="4" builtinId="8"/>
    <cellStyle name="Input [yellow]" xfId="122"/>
    <cellStyle name="Input 2" xfId="123"/>
    <cellStyle name="Linked Cell 2" xfId="124"/>
    <cellStyle name="Neutral 2" xfId="125"/>
    <cellStyle name="Normal" xfId="0" builtinId="0"/>
    <cellStyle name="Normal - Style1" xfId="126"/>
    <cellStyle name="Normal 2" xfId="5"/>
    <cellStyle name="Normal 2 2" xfId="127"/>
    <cellStyle name="Normal 3" xfId="7"/>
    <cellStyle name="Normal 3 2" xfId="128"/>
    <cellStyle name="Normal 3 3" xfId="129"/>
    <cellStyle name="Normal 4" xfId="130"/>
    <cellStyle name="Normal 4 2" xfId="131"/>
    <cellStyle name="Normal 5" xfId="132"/>
    <cellStyle name="Normal 6" xfId="6"/>
    <cellStyle name="Normal 7" xfId="11"/>
    <cellStyle name="Normal 8" xfId="133"/>
    <cellStyle name="Normal 9" xfId="198"/>
    <cellStyle name="Note 10" xfId="134"/>
    <cellStyle name="Note 11" xfId="135"/>
    <cellStyle name="Note 12" xfId="136"/>
    <cellStyle name="Note 13" xfId="137"/>
    <cellStyle name="Note 14" xfId="138"/>
    <cellStyle name="Note 15" xfId="139"/>
    <cellStyle name="Note 16" xfId="140"/>
    <cellStyle name="Note 17" xfId="141"/>
    <cellStyle name="Note 18" xfId="142"/>
    <cellStyle name="Note 19" xfId="143"/>
    <cellStyle name="Note 2" xfId="144"/>
    <cellStyle name="Note 2 2" xfId="145"/>
    <cellStyle name="Note 20" xfId="146"/>
    <cellStyle name="Note 21" xfId="147"/>
    <cellStyle name="Note 22" xfId="148"/>
    <cellStyle name="Note 23" xfId="149"/>
    <cellStyle name="Note 24" xfId="150"/>
    <cellStyle name="Note 25" xfId="151"/>
    <cellStyle name="Note 26" xfId="152"/>
    <cellStyle name="Note 27" xfId="153"/>
    <cellStyle name="Note 28" xfId="154"/>
    <cellStyle name="Note 29" xfId="155"/>
    <cellStyle name="Note 3" xfId="156"/>
    <cellStyle name="Note 30" xfId="157"/>
    <cellStyle name="Note 31" xfId="158"/>
    <cellStyle name="Note 32" xfId="159"/>
    <cellStyle name="Note 33" xfId="160"/>
    <cellStyle name="Note 34" xfId="161"/>
    <cellStyle name="Note 35" xfId="162"/>
    <cellStyle name="Note 36" xfId="163"/>
    <cellStyle name="Note 37" xfId="164"/>
    <cellStyle name="Note 38" xfId="165"/>
    <cellStyle name="Note 39" xfId="166"/>
    <cellStyle name="Note 4" xfId="167"/>
    <cellStyle name="Note 40" xfId="168"/>
    <cellStyle name="Note 41" xfId="169"/>
    <cellStyle name="Note 42" xfId="170"/>
    <cellStyle name="Note 43" xfId="171"/>
    <cellStyle name="Note 44" xfId="172"/>
    <cellStyle name="Note 45" xfId="173"/>
    <cellStyle name="Note 5" xfId="174"/>
    <cellStyle name="Note 6" xfId="175"/>
    <cellStyle name="Note 7" xfId="176"/>
    <cellStyle name="Note 8" xfId="177"/>
    <cellStyle name="Note 9" xfId="178"/>
    <cellStyle name="Output 2" xfId="179"/>
    <cellStyle name="per.style" xfId="180"/>
    <cellStyle name="Percent" xfId="3" builtinId="5"/>
    <cellStyle name="Percent [2]" xfId="181"/>
    <cellStyle name="Percent 2" xfId="9"/>
    <cellStyle name="Percent 2 2" xfId="182"/>
    <cellStyle name="Percent 3" xfId="183"/>
    <cellStyle name="Percent 4" xfId="184"/>
    <cellStyle name="Percent 4 2" xfId="185"/>
    <cellStyle name="Percent 5" xfId="186"/>
    <cellStyle name="Percent 6" xfId="187"/>
    <cellStyle name="PSChar" xfId="188"/>
    <cellStyle name="regstoresfromspecstores" xfId="189"/>
    <cellStyle name="RevList" xfId="190"/>
    <cellStyle name="SHADEDSTORES" xfId="191"/>
    <cellStyle name="specstores" xfId="192"/>
    <cellStyle name="Subtotal" xfId="193"/>
    <cellStyle name="Title 2" xfId="194"/>
    <cellStyle name="Total 2" xfId="195"/>
    <cellStyle name="Total 3" xfId="196"/>
    <cellStyle name="Warning Text 2" xfId="19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externalLink" Target="externalLinks/externalLink7.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323020</xdr:colOff>
      <xdr:row>11</xdr:row>
      <xdr:rowOff>142874</xdr:rowOff>
    </xdr:to>
    <xdr:grpSp>
      <xdr:nvGrpSpPr>
        <xdr:cNvPr id="2" name="Group 1"/>
        <xdr:cNvGrpSpPr/>
      </xdr:nvGrpSpPr>
      <xdr:grpSpPr>
        <a:xfrm>
          <a:off x="0" y="0"/>
          <a:ext cx="8857420" cy="1924049"/>
          <a:chOff x="9524" y="19051"/>
          <a:chExt cx="8537711" cy="1924049"/>
        </a:xfrm>
      </xdr:grpSpPr>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4" name="Picture 3"/>
          <xdr:cNvPicPr>
            <a:picLocks noChangeAspect="1" noChangeArrowheads="1"/>
          </xdr:cNvPicPr>
        </xdr:nvPicPr>
        <xdr:blipFill rotWithShape="1">
          <a:blip xmlns:r="http://schemas.openxmlformats.org/officeDocument/2006/relationships" r:embed="rId2" cstate="print">
            <a:extLst>
              <a:ext uri="{28A0092B-C50C-407E-A947-70E740481C1C}">
                <a14:useLocalDpi xmlns=""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 xmlns:a14="http://schemas.microsoft.com/office/drawing/2010/main">
                <a:effectLst>
                  <a:outerShdw dist="35921" dir="2700000" algn="ctr" rotWithShape="0">
                    <a:srgbClr val="808080"/>
                  </a:outerShdw>
                </a:effectLst>
              </a14:hiddenEffects>
            </a:ext>
          </a:extLst>
        </xdr:spPr>
      </xdr:pic>
      <xdr:sp macro="" textlink="">
        <xdr:nvSpPr>
          <xdr:cNvPr id="5" name="Rectangle 4"/>
          <xdr:cNvSpPr/>
        </xdr:nvSpPr>
        <xdr:spPr>
          <a:xfrm>
            <a:off x="3427854" y="431298"/>
            <a:ext cx="4819422" cy="492628"/>
          </a:xfrm>
          <a:prstGeom prst="rect">
            <a:avLst/>
          </a:prstGeom>
          <a:noFill/>
        </xdr:spPr>
        <xdr:txBody>
          <a:bodyPr wrap="none" lIns="91440" tIns="45720" rIns="91440" bIns="45720">
            <a:noAutofit/>
          </a:bodyPr>
          <a:lstStyle/>
          <a:p>
            <a:pPr marL="0" marR="0" indent="0" algn="ctr" defTabSz="914400" rtl="0" eaLnBrk="1" fontAlgn="auto" latinLnBrk="0" hangingPunct="1">
              <a:lnSpc>
                <a:spcPct val="100000"/>
              </a:lnSpc>
              <a:spcBef>
                <a:spcPts val="0"/>
              </a:spcBef>
              <a:spcAft>
                <a:spcPts val="0"/>
              </a:spcAft>
              <a:buClrTx/>
              <a:buSzTx/>
              <a:buFontTx/>
              <a:buNone/>
              <a:tabLst/>
              <a:defRPr/>
            </a:pPr>
            <a:r>
              <a:rPr lang="en-CA" sz="2300" b="1" i="0" baseline="0">
                <a:effectLst/>
                <a:latin typeface="+mn-lt"/>
                <a:ea typeface="+mn-ea"/>
                <a:cs typeface="+mn-cs"/>
              </a:rPr>
              <a:t>Filing Requirements for Electricity </a:t>
            </a:r>
          </a:p>
          <a:p>
            <a:pPr marL="0" marR="0" indent="0" algn="ctr" defTabSz="914400" rtl="0" eaLnBrk="1" fontAlgn="auto" latinLnBrk="0" hangingPunct="1">
              <a:lnSpc>
                <a:spcPct val="100000"/>
              </a:lnSpc>
              <a:spcBef>
                <a:spcPts val="0"/>
              </a:spcBef>
              <a:spcAft>
                <a:spcPts val="0"/>
              </a:spcAft>
              <a:buClrTx/>
              <a:buSzTx/>
              <a:buFontTx/>
              <a:buNone/>
              <a:tabLst/>
              <a:defRPr/>
            </a:pPr>
            <a:r>
              <a:rPr lang="en-CA" sz="2300" b="1" i="0" baseline="0">
                <a:effectLst/>
                <a:latin typeface="+mn-lt"/>
                <a:ea typeface="+mn-ea"/>
                <a:cs typeface="+mn-cs"/>
              </a:rPr>
              <a:t>Transmission and Distribution Applications </a:t>
            </a:r>
            <a:endParaRPr lang="en-CA" sz="2300">
              <a:effectLst/>
            </a:endParaRP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Chapter 2 Appendicies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608770</xdr:colOff>
      <xdr:row>11</xdr:row>
      <xdr:rowOff>76199</xdr:rowOff>
    </xdr:to>
    <xdr:grpSp>
      <xdr:nvGrpSpPr>
        <xdr:cNvPr id="2" name="Group 1"/>
        <xdr:cNvGrpSpPr/>
      </xdr:nvGrpSpPr>
      <xdr:grpSpPr>
        <a:xfrm>
          <a:off x="0" y="0"/>
          <a:ext cx="9318430" cy="1880615"/>
          <a:chOff x="9524" y="19051"/>
          <a:chExt cx="8537711" cy="1924049"/>
        </a:xfrm>
      </xdr:grpSpPr>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4" name="Picture 3"/>
          <xdr:cNvPicPr>
            <a:picLocks noChangeAspect="1" noChangeArrowheads="1"/>
          </xdr:cNvPicPr>
        </xdr:nvPicPr>
        <xdr:blipFill rotWithShape="1">
          <a:blip xmlns:r="http://schemas.openxmlformats.org/officeDocument/2006/relationships" r:embed="rId2" cstate="print">
            <a:extLst>
              <a:ext uri="{28A0092B-C50C-407E-A947-70E740481C1C}">
                <a14:useLocalDpi xmlns=""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 xmlns:a14="http://schemas.microsoft.com/office/drawing/2010/main">
                <a:effectLst>
                  <a:outerShdw dist="35921" dir="2700000" algn="ctr" rotWithShape="0">
                    <a:srgbClr val="808080"/>
                  </a:outerShdw>
                </a:effectLst>
              </a14:hiddenEffects>
            </a:ext>
          </a:extLst>
        </xdr:spPr>
      </xdr:pic>
      <xdr:sp macro="" textlink="">
        <xdr:nvSpPr>
          <xdr:cNvPr id="5" name="Rectangle 4"/>
          <xdr:cNvSpPr/>
        </xdr:nvSpPr>
        <xdr:spPr>
          <a:xfrm>
            <a:off x="3427854" y="431298"/>
            <a:ext cx="4819422" cy="492628"/>
          </a:xfrm>
          <a:prstGeom prst="rect">
            <a:avLst/>
          </a:prstGeom>
          <a:noFill/>
        </xdr:spPr>
        <xdr:txBody>
          <a:bodyPr wrap="none" lIns="91440" tIns="45720" rIns="91440" bIns="45720">
            <a:noAutofit/>
          </a:bodyPr>
          <a:lstStyle/>
          <a:p>
            <a:pPr marL="0" marR="0" indent="0" algn="ctr" defTabSz="914400" rtl="0" eaLnBrk="1" fontAlgn="auto" latinLnBrk="0" hangingPunct="1">
              <a:lnSpc>
                <a:spcPct val="100000"/>
              </a:lnSpc>
              <a:spcBef>
                <a:spcPts val="0"/>
              </a:spcBef>
              <a:spcAft>
                <a:spcPts val="0"/>
              </a:spcAft>
              <a:buClrTx/>
              <a:buSzTx/>
              <a:buFontTx/>
              <a:buNone/>
              <a:tabLst/>
              <a:defRPr/>
            </a:pPr>
            <a:r>
              <a:rPr lang="en-CA" sz="2400" b="1" i="0" baseline="0">
                <a:effectLst/>
                <a:latin typeface="+mn-lt"/>
                <a:ea typeface="+mn-ea"/>
                <a:cs typeface="+mn-cs"/>
              </a:rPr>
              <a:t>Filing Requirements for Transmission </a:t>
            </a:r>
          </a:p>
          <a:p>
            <a:pPr marL="0" marR="0" indent="0" algn="ctr" defTabSz="914400" rtl="0" eaLnBrk="1" fontAlgn="auto" latinLnBrk="0" hangingPunct="1">
              <a:lnSpc>
                <a:spcPct val="100000"/>
              </a:lnSpc>
              <a:spcBef>
                <a:spcPts val="0"/>
              </a:spcBef>
              <a:spcAft>
                <a:spcPts val="0"/>
              </a:spcAft>
              <a:buClrTx/>
              <a:buSzTx/>
              <a:buFontTx/>
              <a:buNone/>
              <a:tabLst/>
              <a:defRPr/>
            </a:pPr>
            <a:r>
              <a:rPr lang="en-CA" sz="2400" b="1" i="0" baseline="0">
                <a:effectLst/>
                <a:latin typeface="+mn-lt"/>
                <a:ea typeface="+mn-ea"/>
                <a:cs typeface="+mn-cs"/>
              </a:rPr>
              <a:t>and Distribution Applications </a:t>
            </a:r>
            <a:endParaRPr lang="en-CA" sz="2400">
              <a:effectLst/>
            </a:endParaRP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Chapter 2 Appendicies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xdr:col>
      <xdr:colOff>2809875</xdr:colOff>
      <xdr:row>18</xdr:row>
      <xdr:rowOff>9525</xdr:rowOff>
    </xdr:from>
    <xdr:to>
      <xdr:col>3</xdr:col>
      <xdr:colOff>190500</xdr:colOff>
      <xdr:row>21</xdr:row>
      <xdr:rowOff>133350</xdr:rowOff>
    </xdr:to>
    <xdr:grpSp>
      <xdr:nvGrpSpPr>
        <xdr:cNvPr id="6" name="Group 5"/>
        <xdr:cNvGrpSpPr/>
      </xdr:nvGrpSpPr>
      <xdr:grpSpPr>
        <a:xfrm>
          <a:off x="3598164" y="3081528"/>
          <a:ext cx="1752600" cy="595884"/>
          <a:chOff x="3495675" y="3152775"/>
          <a:chExt cx="1609725" cy="609600"/>
        </a:xfrm>
      </xdr:grpSpPr>
      <xdr:sp macro="" textlink="">
        <xdr:nvSpPr>
          <xdr:cNvPr id="7" name="Right Brace 6"/>
          <xdr:cNvSpPr/>
        </xdr:nvSpPr>
        <xdr:spPr>
          <a:xfrm>
            <a:off x="3495675" y="3152775"/>
            <a:ext cx="266700" cy="6096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CA" sz="1100"/>
          </a:p>
        </xdr:txBody>
      </xdr:sp>
      <xdr:sp macro="" textlink="">
        <xdr:nvSpPr>
          <xdr:cNvPr id="8" name="TextBox 7"/>
          <xdr:cNvSpPr txBox="1"/>
        </xdr:nvSpPr>
        <xdr:spPr>
          <a:xfrm>
            <a:off x="3714750" y="3305175"/>
            <a:ext cx="139065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ln>
                  <a:noFill/>
                </a:ln>
                <a:solidFill>
                  <a:sysClr val="windowText" lastClr="000000"/>
                </a:solidFill>
              </a:rPr>
              <a:t>2012 IFRS Adopters</a:t>
            </a:r>
          </a:p>
        </xdr:txBody>
      </xdr:sp>
    </xdr:grpSp>
    <xdr:clientData/>
  </xdr:twoCellAnchor>
  <xdr:twoCellAnchor>
    <xdr:from>
      <xdr:col>1</xdr:col>
      <xdr:colOff>2819399</xdr:colOff>
      <xdr:row>22</xdr:row>
      <xdr:rowOff>19050</xdr:rowOff>
    </xdr:from>
    <xdr:to>
      <xdr:col>4</xdr:col>
      <xdr:colOff>19049</xdr:colOff>
      <xdr:row>26</xdr:row>
      <xdr:rowOff>0</xdr:rowOff>
    </xdr:to>
    <xdr:grpSp>
      <xdr:nvGrpSpPr>
        <xdr:cNvPr id="9" name="Group 8"/>
        <xdr:cNvGrpSpPr/>
      </xdr:nvGrpSpPr>
      <xdr:grpSpPr>
        <a:xfrm>
          <a:off x="3607307" y="3724656"/>
          <a:ext cx="1773936" cy="615696"/>
          <a:chOff x="3495675" y="3152775"/>
          <a:chExt cx="1609725" cy="628650"/>
        </a:xfrm>
      </xdr:grpSpPr>
      <xdr:sp macro="" textlink="">
        <xdr:nvSpPr>
          <xdr:cNvPr id="10" name="Right Brace 9"/>
          <xdr:cNvSpPr/>
        </xdr:nvSpPr>
        <xdr:spPr>
          <a:xfrm>
            <a:off x="3495675" y="3152775"/>
            <a:ext cx="266700" cy="6096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CA" sz="1100"/>
          </a:p>
        </xdr:txBody>
      </xdr:sp>
      <xdr:sp macro="" textlink="">
        <xdr:nvSpPr>
          <xdr:cNvPr id="11" name="TextBox 10"/>
          <xdr:cNvSpPr txBox="1"/>
        </xdr:nvSpPr>
        <xdr:spPr>
          <a:xfrm>
            <a:off x="3714749" y="3305175"/>
            <a:ext cx="1390651"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ln>
                  <a:noFill/>
                </a:ln>
                <a:solidFill>
                  <a:sysClr val="windowText" lastClr="000000"/>
                </a:solidFill>
              </a:rPr>
              <a:t>2013 IFRS Adopters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17</xdr:row>
      <xdr:rowOff>0</xdr:rowOff>
    </xdr:from>
    <xdr:to>
      <xdr:col>6</xdr:col>
      <xdr:colOff>333375</xdr:colOff>
      <xdr:row>48</xdr:row>
      <xdr:rowOff>114300</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180975" y="3371850"/>
          <a:ext cx="8467725" cy="51339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3%20Rates/4%20-%20Settlement/Models/Sudbury_2013EDR_RateMaker_v2-ACF%2020130316%20NW%20TL%20FI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3%20Rates/2%20-%20INTERROGATORIES/Other%20Service%20Revenues/Sudbury_2013EDR_RateMaker_v2-ACF%2020120807%20-%20A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2013%20Rate%20Application\loan-amortization-schedule%20for%20IO%20debenture%20of%202.2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Budget/2013/FINAL%20BUDGET%2020121015/Labour%20PlanCustomer%20Accounts%20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tilities\Bluewater\2013%20RateMaker\Bluewater_APPL_2013EDR_RateMaker_v1.bwp2.AF.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3%20Electricity%20Rates/$Models/Final%202013%20IRM%20RG.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ontarioenergyboard.ca/OEB/_Documents/2013EDR/Recent%20Drafts/Filing_Requirements_Chapter2_Appendices%20-%20Excel%20(May%203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013%20Rates/4%20-%20Settlement/NEW%20Filing_Requirements_Chapter2_Appendices_V1.1%20TL%20SETTLEMENT%202013032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013%20Rates/OEB%20Appendices/NEW%20Filing_Requirements_Chapter2_Appendices_V1.1%20TL%2020120904.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verview"/>
      <sheetName val="A1.Admin"/>
      <sheetName val="A2.HistoricalBalances"/>
      <sheetName val="A3.CustomerClasses"/>
      <sheetName val="A4.DistRates"/>
      <sheetName val="A5.RateRiders"/>
      <sheetName val="B1.GrossCapital"/>
      <sheetName val="B2.DepreciationCalcs"/>
      <sheetName val="B3.CapitalAmortization"/>
      <sheetName val="B4.NetCapital"/>
      <sheetName val="B5.OMA"/>
      <sheetName val="C1.LossFactors"/>
      <sheetName val="C1.1 Large Customer Loss Factor"/>
      <sheetName val="C2.LoadForecast"/>
      <sheetName val="NetDistrRev"/>
      <sheetName val="C4.TransmissionCharges"/>
      <sheetName val="C4.1 Transmission Revs"/>
      <sheetName val="C4.2 Transmission Chgs"/>
      <sheetName val="C4.3 Transmission Variance"/>
      <sheetName val="C3.DistRevenue"/>
      <sheetName val="C5.TransmissionRates"/>
      <sheetName val="C6.LowVoltage"/>
      <sheetName val="C6.1 Worksheet Low Voltage"/>
      <sheetName val="C7.CommodityPrice"/>
      <sheetName val="Sheet1"/>
      <sheetName val="C8.PassthruRates"/>
      <sheetName val="C9.ServiceRevenues"/>
      <sheetName val="C10.RevenueOffsets"/>
      <sheetName val="D1.RateBase"/>
      <sheetName val="D2.Debt"/>
      <sheetName val="D3.CapitalStructure"/>
      <sheetName val="E1.BridgeYrPL"/>
      <sheetName val="E2.TestYrPL"/>
      <sheetName val="E3.CapitalInfo"/>
      <sheetName val="E4.PILsResults"/>
      <sheetName val="F1.RevRequirement"/>
      <sheetName val="F2.CostAllocation"/>
      <sheetName val="F3.RevenueAllocation"/>
      <sheetName val="F4.RateDesign"/>
      <sheetName val="F5.FixedVarRevenue"/>
      <sheetName val="G1.DeferralBalances"/>
      <sheetName val="G2.ApprovedRecoveries"/>
      <sheetName val="G3.ProposedRecoveries"/>
      <sheetName val="G4.RateRiders"/>
      <sheetName val="G5.GlobalAdjustment"/>
      <sheetName val="Stranded Meter Rate Rider"/>
      <sheetName val="H1.RatesCheck"/>
      <sheetName val="H2.FinalRates"/>
      <sheetName val="H3.FinalRateRiders"/>
      <sheetName val="H3.1 LRAM"/>
      <sheetName val="H4.ImpactSummary"/>
      <sheetName val="BlankImpact"/>
      <sheetName val="H5.BillImpacts"/>
      <sheetName val="S1.BridgeYrProForma"/>
      <sheetName val="S2.TestYrProForma"/>
      <sheetName val="S3.TestYrNewRates"/>
      <sheetName val="S4.VarBS"/>
      <sheetName val="S5.VarPL"/>
      <sheetName val="S6.VarRateBase"/>
      <sheetName val="S7.VarSuffDef"/>
      <sheetName val="X11.PLtrend"/>
      <sheetName val="X12.PLvariances"/>
      <sheetName val="X13.BStrend"/>
      <sheetName val="X14.BSvariances"/>
      <sheetName val="X21.CapitalCont"/>
      <sheetName val="X22.RBtrend"/>
      <sheetName val="X23.RBvariances"/>
      <sheetName val="X31.RevSuffDef"/>
      <sheetName val="X32.RevenueReq"/>
      <sheetName val="X91.RatesSched"/>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 val="Sudbury_2013EDR_RateMaker_v2-AC"/>
    </sheetNames>
    <sheetDataSet>
      <sheetData sheetId="0"/>
      <sheetData sheetId="1">
        <row r="13">
          <cell r="C13">
            <v>2013</v>
          </cell>
        </row>
        <row r="21">
          <cell r="C21">
            <v>4</v>
          </cell>
        </row>
        <row r="23">
          <cell r="C23">
            <v>39813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row r="10">
          <cell r="C10" t="str">
            <v xml:space="preserve">_x000D_
</v>
          </cell>
        </row>
        <row r="11">
          <cell r="C11" t="str">
            <v xml:space="preserve">_x000D_
_x000D_
</v>
          </cell>
        </row>
        <row r="12">
          <cell r="C12" t="str">
            <v>2009 Approved</v>
          </cell>
        </row>
        <row r="13">
          <cell r="C13" t="str">
            <v>1.0</v>
          </cell>
        </row>
        <row r="14">
          <cell r="C14" t="str">
            <v> </v>
          </cell>
        </row>
        <row r="15">
          <cell r="C15" t="str">
            <v>F:\2013 Rates\3 - Interrogatories - Round 2\Models\</v>
          </cell>
        </row>
      </sheetData>
      <sheetData sheetId="79"/>
      <sheetData sheetId="80"/>
      <sheetData sheetId="8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verview"/>
      <sheetName val="A1.Admin"/>
      <sheetName val="A2.HistoricalBalances"/>
      <sheetName val="A3.CustomerClasses"/>
      <sheetName val="A4.DistRates"/>
      <sheetName val="A5.RateRiders"/>
      <sheetName val="B1.GrossCapital"/>
      <sheetName val="B2.DepreciationCalcs"/>
      <sheetName val="B3.CapitalAmortization"/>
      <sheetName val="B4.NetCapital"/>
      <sheetName val="B5.OMA"/>
      <sheetName val="C1.LossFactors"/>
      <sheetName val="C1.1 Large Customer Loss Factor"/>
      <sheetName val="C2.LoadForecast"/>
      <sheetName val="NetDistrRev"/>
      <sheetName val="C4.TransmissionCharges"/>
      <sheetName val="C4.1 Transmission Revs"/>
      <sheetName val="C4.2 Transmission Chgs"/>
      <sheetName val="C4.3 Transmission Variance"/>
      <sheetName val="C3.DistRevenue"/>
      <sheetName val="C5.TransmissionRates"/>
      <sheetName val="C6.LowVoltage"/>
      <sheetName val="C6.1 Worksheet Low Voltage"/>
      <sheetName val="C7.CommodityPrice"/>
      <sheetName val="Sheet1"/>
      <sheetName val="C8.PassthruRates"/>
      <sheetName val="C9.ServiceRevenues"/>
      <sheetName val="C10.RevenueOffsets"/>
      <sheetName val="D1.RateBase"/>
      <sheetName val="D2.Debt"/>
      <sheetName val="D3.CapitalStructure"/>
      <sheetName val="E1.BridgeYrPL"/>
      <sheetName val="E2.TestYrPL"/>
      <sheetName val="E3.CapitalInfo"/>
      <sheetName val="E4.PILsResults"/>
      <sheetName val="F1.RevRequirement"/>
      <sheetName val="F2.CostAllocation"/>
      <sheetName val="F3.RevenueAllocation"/>
      <sheetName val="F4.RateDesign"/>
      <sheetName val="F5.FixedVarRevenue"/>
      <sheetName val="G1.DeferralBalances"/>
      <sheetName val="G2.ApprovedRecoveries"/>
      <sheetName val="G3.ProposedRecoveries"/>
      <sheetName val="G4.RateRiders"/>
      <sheetName val="G5.GlobalAdjustment"/>
      <sheetName val="Stranded Meter Rate Rider"/>
      <sheetName val="H1.RatesCheck"/>
      <sheetName val="H2.FinalRates"/>
      <sheetName val="H3.FinalRateRiders"/>
      <sheetName val="H3.1 LRAM"/>
      <sheetName val="H4.ImpactSummary"/>
      <sheetName val="BlankImpact"/>
      <sheetName val="H5.BillImpacts"/>
      <sheetName val="S1.BridgeYrProForma"/>
      <sheetName val="S2.TestYrProForma"/>
      <sheetName val="S3.TestYrNewRates"/>
      <sheetName val="S4.VarBS"/>
      <sheetName val="S5.VarPL"/>
      <sheetName val="S6.VarRateBase"/>
      <sheetName val="S7.VarSuffDef"/>
      <sheetName val="X11.PLtrend"/>
      <sheetName val="X12.PLvariances"/>
      <sheetName val="X13.BStrend"/>
      <sheetName val="X14.BSvariances"/>
      <sheetName val="X21.CapitalCont"/>
      <sheetName val="X22.RBtrend"/>
      <sheetName val="X23.RBvariances"/>
      <sheetName val="X31.RevSuffDef"/>
      <sheetName val="X32.RevenueReq"/>
      <sheetName val="X91.RatesSched"/>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row r="13">
          <cell r="C13">
            <v>2013</v>
          </cell>
        </row>
        <row r="21">
          <cell r="C21">
            <v>4</v>
          </cell>
        </row>
        <row r="23">
          <cell r="C23">
            <v>39813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row r="10">
          <cell r="C10" t="str">
            <v xml:space="preserve">_x000D_
</v>
          </cell>
        </row>
        <row r="11">
          <cell r="C11" t="str">
            <v xml:space="preserve">_x000D_
_x000D_
</v>
          </cell>
        </row>
        <row r="12">
          <cell r="C12" t="str">
            <v>2009 Approved</v>
          </cell>
        </row>
        <row r="13">
          <cell r="C13" t="str">
            <v>1.0</v>
          </cell>
        </row>
        <row r="14">
          <cell r="C14" t="str">
            <v> </v>
          </cell>
        </row>
        <row r="15">
          <cell r="C15" t="str">
            <v>F:\2013 Rates\2 - INTERROGATORIES\Other Service Revenues\</v>
          </cell>
        </row>
      </sheetData>
      <sheetData sheetId="79"/>
      <sheetData sheetId="8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chedule"/>
    </sheetNames>
    <sheetDataSet>
      <sheetData sheetId="0">
        <row r="5">
          <cell r="K5" t="str">
            <v>Annual</v>
          </cell>
        </row>
        <row r="6">
          <cell r="K6" t="str">
            <v>Semi-Annual</v>
          </cell>
        </row>
        <row r="7">
          <cell r="K7" t="str">
            <v>Quarterly</v>
          </cell>
        </row>
        <row r="8">
          <cell r="K8" t="str">
            <v>Bi-Monthly</v>
          </cell>
        </row>
        <row r="9">
          <cell r="D9" t="str">
            <v>Semi-Annual</v>
          </cell>
          <cell r="K9" t="str">
            <v>Monthly</v>
          </cell>
        </row>
        <row r="10">
          <cell r="D10" t="str">
            <v>Semi-Annual</v>
          </cell>
          <cell r="K10" t="str">
            <v>Semi-Monthly</v>
          </cell>
        </row>
        <row r="11">
          <cell r="K11" t="str">
            <v>Bi-Weekly</v>
          </cell>
        </row>
        <row r="12">
          <cell r="K12" t="str">
            <v>Weekly</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ctivity Listing"/>
      <sheetName val="Rates"/>
      <sheetName val="LBRPLAN"/>
      <sheetName val="LBRPLAN jk"/>
    </sheetNames>
    <sheetDataSet>
      <sheetData sheetId="0"/>
      <sheetData sheetId="1"/>
      <sheetData sheetId="2">
        <row r="32">
          <cell r="A32" t="str">
            <v>Customer Service Representative</v>
          </cell>
          <cell r="B32">
            <v>26.169853750000001</v>
          </cell>
          <cell r="C32">
            <v>16380</v>
          </cell>
          <cell r="D32">
            <v>0</v>
          </cell>
          <cell r="E32">
            <v>63</v>
          </cell>
          <cell r="F32">
            <v>0</v>
          </cell>
          <cell r="G32">
            <v>0</v>
          </cell>
          <cell r="H32">
            <v>16443</v>
          </cell>
          <cell r="I32">
            <v>0</v>
          </cell>
          <cell r="J32">
            <v>315</v>
          </cell>
          <cell r="K32">
            <v>0</v>
          </cell>
          <cell r="L32">
            <v>1645</v>
          </cell>
          <cell r="M32">
            <v>0</v>
          </cell>
          <cell r="N32">
            <v>756</v>
          </cell>
          <cell r="O32">
            <v>0</v>
          </cell>
          <cell r="P32">
            <v>13727</v>
          </cell>
        </row>
        <row r="33">
          <cell r="A33" t="str">
            <v>Information Systems Analyst - AS400</v>
          </cell>
          <cell r="B33">
            <v>27</v>
          </cell>
          <cell r="C33">
            <v>3640</v>
          </cell>
          <cell r="D33">
            <v>0</v>
          </cell>
          <cell r="E33">
            <v>14</v>
          </cell>
          <cell r="F33">
            <v>0</v>
          </cell>
          <cell r="G33">
            <v>0</v>
          </cell>
          <cell r="H33">
            <v>3654</v>
          </cell>
          <cell r="I33">
            <v>0</v>
          </cell>
          <cell r="J33">
            <v>70</v>
          </cell>
          <cell r="K33">
            <v>0</v>
          </cell>
          <cell r="L33">
            <v>420</v>
          </cell>
          <cell r="M33">
            <v>0</v>
          </cell>
          <cell r="N33">
            <v>168</v>
          </cell>
          <cell r="O33">
            <v>0</v>
          </cell>
          <cell r="P33">
            <v>2996</v>
          </cell>
        </row>
        <row r="34">
          <cell r="A34" t="str">
            <v>Supervisor - Customer Services</v>
          </cell>
          <cell r="B34">
            <v>47.299507740249993</v>
          </cell>
          <cell r="C34">
            <v>1820</v>
          </cell>
          <cell r="D34">
            <v>0</v>
          </cell>
          <cell r="E34">
            <v>28</v>
          </cell>
          <cell r="F34">
            <v>0</v>
          </cell>
          <cell r="G34">
            <v>0</v>
          </cell>
          <cell r="H34">
            <v>1848</v>
          </cell>
          <cell r="I34">
            <v>0</v>
          </cell>
          <cell r="J34">
            <v>35</v>
          </cell>
          <cell r="K34">
            <v>0</v>
          </cell>
          <cell r="L34">
            <v>245</v>
          </cell>
          <cell r="M34">
            <v>0</v>
          </cell>
          <cell r="N34">
            <v>84</v>
          </cell>
          <cell r="O34">
            <v>0</v>
          </cell>
          <cell r="P34">
            <v>1484</v>
          </cell>
        </row>
        <row r="35">
          <cell r="A35" t="str">
            <v>Admin Services Clerk</v>
          </cell>
          <cell r="B35">
            <v>26.169853750000001</v>
          </cell>
          <cell r="C35">
            <v>6043</v>
          </cell>
          <cell r="D35">
            <v>0</v>
          </cell>
          <cell r="E35">
            <v>0</v>
          </cell>
          <cell r="F35">
            <v>0</v>
          </cell>
          <cell r="G35">
            <v>0</v>
          </cell>
          <cell r="H35">
            <v>6043</v>
          </cell>
          <cell r="I35">
            <v>0</v>
          </cell>
          <cell r="J35">
            <v>35</v>
          </cell>
          <cell r="K35">
            <v>0</v>
          </cell>
          <cell r="L35">
            <v>210</v>
          </cell>
          <cell r="M35">
            <v>0</v>
          </cell>
          <cell r="N35">
            <v>84</v>
          </cell>
          <cell r="O35">
            <v>0</v>
          </cell>
          <cell r="P35">
            <v>5714</v>
          </cell>
        </row>
        <row r="36">
          <cell r="A36" t="str">
            <v>Collection Officer</v>
          </cell>
          <cell r="B36">
            <v>28.878304048090925</v>
          </cell>
          <cell r="C36">
            <v>2080</v>
          </cell>
          <cell r="D36">
            <v>0</v>
          </cell>
          <cell r="E36">
            <v>8</v>
          </cell>
          <cell r="F36">
            <v>0</v>
          </cell>
          <cell r="G36">
            <v>1344</v>
          </cell>
          <cell r="H36">
            <v>744</v>
          </cell>
          <cell r="I36">
            <v>0</v>
          </cell>
          <cell r="J36">
            <v>35</v>
          </cell>
          <cell r="K36">
            <v>0</v>
          </cell>
          <cell r="L36">
            <v>280</v>
          </cell>
          <cell r="M36">
            <v>0</v>
          </cell>
          <cell r="N36">
            <v>96</v>
          </cell>
          <cell r="O36">
            <v>0</v>
          </cell>
          <cell r="P36">
            <v>333</v>
          </cell>
        </row>
        <row r="37">
          <cell r="A37" t="str">
            <v>Summer Student</v>
          </cell>
          <cell r="B37">
            <v>16.093511480886395</v>
          </cell>
          <cell r="C37">
            <v>1120</v>
          </cell>
          <cell r="D37">
            <v>0</v>
          </cell>
          <cell r="E37">
            <v>0</v>
          </cell>
          <cell r="F37">
            <v>0</v>
          </cell>
          <cell r="G37">
            <v>0</v>
          </cell>
          <cell r="H37">
            <v>1120</v>
          </cell>
          <cell r="I37">
            <v>0</v>
          </cell>
          <cell r="J37">
            <v>0</v>
          </cell>
          <cell r="K37">
            <v>0</v>
          </cell>
          <cell r="L37">
            <v>0</v>
          </cell>
          <cell r="M37">
            <v>0</v>
          </cell>
          <cell r="N37">
            <v>42</v>
          </cell>
          <cell r="O37">
            <v>0</v>
          </cell>
          <cell r="P37">
            <v>1078</v>
          </cell>
        </row>
      </sheetData>
      <sheetData sheetId="3"/>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Overview"/>
      <sheetName val="A1.Admin"/>
      <sheetName val="A2.HistoricalBalances"/>
      <sheetName val="A3.CustomerClasses"/>
      <sheetName val="A4.DistRates"/>
      <sheetName val="A5.RateRiders"/>
      <sheetName val="B1.GrossCapital"/>
      <sheetName val="B2.DepreciationCalcs"/>
      <sheetName val="B3.CapitalAmortization"/>
      <sheetName val="B4.NetCapital"/>
      <sheetName val="B5.OMA"/>
      <sheetName val="C1.LossFactors"/>
      <sheetName val="C1.1 Large Customer Loss Factor"/>
      <sheetName val="C2.LoadForecast"/>
      <sheetName val="NetDistrRev"/>
      <sheetName val="C4.TransmissionCharges"/>
      <sheetName val="C4.1 Transmission Revs"/>
      <sheetName val="C4.2 Transmission Chgs"/>
      <sheetName val="C4.3 Transmission Variance"/>
      <sheetName val="forecast variances"/>
      <sheetName val="C3.DistRevenue"/>
      <sheetName val="C5.TransmissionRates"/>
      <sheetName val="C6.LowVoltage"/>
      <sheetName val="C6.1 Worksheet Low Voltage"/>
      <sheetName val="C7.CommodityPrice"/>
      <sheetName val="Sheet1"/>
      <sheetName val="C8.PassthruRates"/>
      <sheetName val="WMP Data"/>
      <sheetName val="C9.ServiceRevenues"/>
      <sheetName val="C10.RevenueOffsets"/>
      <sheetName val="D1.RateBase"/>
      <sheetName val="D2.Debt"/>
      <sheetName val="2.2M debenture"/>
      <sheetName val="D3.CapitalStructure"/>
      <sheetName val="E1.BridgeYrPL"/>
      <sheetName val="E2.TestYrPL"/>
      <sheetName val="E3.CapitalInfo"/>
      <sheetName val="E4.PILsResults"/>
      <sheetName val="F1.RevRequirement"/>
      <sheetName val="F2.CostAllocation"/>
      <sheetName val="F3.RevenueAllocation"/>
      <sheetName val="F4.RateDesign"/>
      <sheetName val="FixedVarRevenue"/>
      <sheetName val="G1.DeferralBalances"/>
      <sheetName val="G2.ApprovedRecoveries"/>
      <sheetName val="G3.ProposedRecoveries"/>
      <sheetName val="G4.RateRiders"/>
      <sheetName val="G5.GlobalAdjustment"/>
      <sheetName val="H1.RatesCheck"/>
      <sheetName val="H2.FinalRates"/>
      <sheetName val="H3.FinalRateRiders"/>
      <sheetName val="H3.1 LRAM"/>
      <sheetName val="H4.ImpactSummary"/>
      <sheetName val="BlankImpact"/>
      <sheetName val="H5.BillImpacts"/>
      <sheetName val="S1.BridgeYrProForma"/>
      <sheetName val="S2.TestYrProForma"/>
      <sheetName val="S3.TestYrNewRates"/>
      <sheetName val="S4.VarBS"/>
      <sheetName val="S5.VarPL"/>
      <sheetName val="S6.VarRateBase"/>
      <sheetName val="S7.VarSuffDef"/>
      <sheetName val="X11.PLtrend"/>
      <sheetName val="X12.PLvariances"/>
      <sheetName val="X13.BStrend"/>
      <sheetName val="X14.BSvariances"/>
      <sheetName val="X21.CapitalCont"/>
      <sheetName val="X22.RBtrend"/>
      <sheetName val="X23.RBvariances"/>
      <sheetName val="X31.RevSuffDef"/>
      <sheetName val="X32.RevenueReq"/>
      <sheetName val="X91.RatesSched"/>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5">
          <cell r="D5">
            <v>2200000</v>
          </cell>
          <cell r="H5">
            <v>1.4499999999999957E-2</v>
          </cell>
        </row>
        <row r="7">
          <cell r="D7">
            <v>10</v>
          </cell>
        </row>
        <row r="8">
          <cell r="D8">
            <v>41348</v>
          </cell>
        </row>
        <row r="11">
          <cell r="D11" t="str">
            <v>End of Period</v>
          </cell>
        </row>
        <row r="13">
          <cell r="D13">
            <v>127509.91</v>
          </cell>
        </row>
        <row r="15">
          <cell r="H15" t="b">
            <v>1</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LDC Info"/>
      <sheetName val="Index"/>
      <sheetName val="App.2-A_Capital Projects"/>
      <sheetName val="App.2-B_Fixed Asset Continuity"/>
      <sheetName val="App.2-C_Other_Oper_Rev"/>
      <sheetName val="App.2-D_Detailed_OM&amp;A_Expenses"/>
      <sheetName val="App.2-E_OM&amp;A_Detailed_Analysis"/>
      <sheetName val="App.2-F_OM&amp;A_Summary_Analysis"/>
      <sheetName val="App.2-G_OM&amp;A_Cost _Drivers"/>
      <sheetName val="App.2-H_OM&amp;A_per_Cust_FTEE"/>
      <sheetName val="App.2-I Employee Costs"/>
      <sheetName val="App.2-J_Regulatory_Costs"/>
      <sheetName val="App.2-K_Corp_Cost_Allocation"/>
      <sheetName val="App.2-L_Depreciation Expense"/>
      <sheetName val="App.2-M Capital Structure"/>
      <sheetName val="App.2-N_Cost_Allocation"/>
      <sheetName val="App.2-O_Cost of Serv. Emb. Dx"/>
      <sheetName val="App.2-P_Loss Factors"/>
      <sheetName val="App.2-Q_Stranded Meters"/>
      <sheetName val="App.2-S_1592_Defer_PILs"/>
      <sheetName val="App.2-T_Rev_Reconciliation"/>
      <sheetName val="App.2-U Bill Impacts"/>
      <sheetName val="App.2-V_CoS_Flowchart"/>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AA24" t="str">
            <v>Fort Albany Power Corporation</v>
          </cell>
        </row>
        <row r="25">
          <cell r="AA25" t="str">
            <v>Fort Frances Power Corporation</v>
          </cell>
        </row>
        <row r="26">
          <cell r="AA26" t="str">
            <v>Greater Sudbury Hydro Inc.</v>
          </cell>
        </row>
        <row r="27">
          <cell r="AA27" t="str">
            <v>Grimsby Power Inc.</v>
          </cell>
        </row>
        <row r="28">
          <cell r="AA28" t="str">
            <v>Guelph Hydro Electric Systems Inc.</v>
          </cell>
        </row>
        <row r="29">
          <cell r="AA29" t="str">
            <v>Haldimand County Hydro Inc.</v>
          </cell>
        </row>
        <row r="30">
          <cell r="AA30" t="str">
            <v>Halton Hills Hydro Inc.</v>
          </cell>
        </row>
        <row r="31">
          <cell r="AA31" t="str">
            <v>Hearst Power Distribution Co. Ltd.</v>
          </cell>
        </row>
        <row r="32">
          <cell r="AA32" t="str">
            <v>Horizon Utilities Corporation</v>
          </cell>
        </row>
        <row r="33">
          <cell r="AA33" t="str">
            <v>Hydro 2000 Inc.</v>
          </cell>
        </row>
        <row r="34">
          <cell r="AA34" t="str">
            <v>Hydro Hawkesbury Inc.</v>
          </cell>
        </row>
        <row r="35">
          <cell r="AA35" t="str">
            <v>Hydro One Brampton Networks Inc.</v>
          </cell>
        </row>
        <row r="36">
          <cell r="AA36" t="str">
            <v>Hydro One Networks Inc.</v>
          </cell>
        </row>
        <row r="37">
          <cell r="AA37" t="str">
            <v>Hydro One Remote Communities Inc.</v>
          </cell>
        </row>
        <row r="38">
          <cell r="AA38" t="str">
            <v>Hydro Ottawa Limited</v>
          </cell>
        </row>
        <row r="39">
          <cell r="AA39" t="str">
            <v>Innisfil Hydro Dist. Systems Limited</v>
          </cell>
        </row>
        <row r="40">
          <cell r="AA40" t="str">
            <v>Kashechewan Power Corporation</v>
          </cell>
        </row>
        <row r="41">
          <cell r="AA41" t="str">
            <v>Kenora Hydro Electric Corporation Ltd.</v>
          </cell>
        </row>
        <row r="42">
          <cell r="AA42" t="str">
            <v>Kingston Hydro Corporation</v>
          </cell>
        </row>
        <row r="43">
          <cell r="AA43" t="str">
            <v>Kitchener-Wilmot Hydro Inc.</v>
          </cell>
        </row>
        <row r="44">
          <cell r="AA44" t="str">
            <v>Lakefront Utilities Inc.</v>
          </cell>
        </row>
        <row r="45">
          <cell r="AA45" t="str">
            <v>Lakeland Power Distribution Ltd.</v>
          </cell>
        </row>
        <row r="46">
          <cell r="AA46" t="str">
            <v>London Hydro Inc.</v>
          </cell>
        </row>
        <row r="47">
          <cell r="AA47" t="str">
            <v>Midland Power Utility Corporation</v>
          </cell>
        </row>
        <row r="48">
          <cell r="AA48" t="str">
            <v>Milton Hydro Distribution Inc.</v>
          </cell>
        </row>
        <row r="49">
          <cell r="AA49" t="str">
            <v>Newmarket – Tay Power Distribution Ltd.</v>
          </cell>
        </row>
        <row r="50">
          <cell r="AA50" t="str">
            <v>Niagara Peninsula Energy Inc.</v>
          </cell>
        </row>
        <row r="51">
          <cell r="AA51" t="str">
            <v>Niagara-on-the-Lake Hydro Inc.</v>
          </cell>
        </row>
        <row r="52">
          <cell r="AA52" t="str">
            <v>Norfolk Power Distribution Ltd.</v>
          </cell>
        </row>
        <row r="53">
          <cell r="AA53" t="str">
            <v>North Bay Hydro Distribution Limited</v>
          </cell>
        </row>
        <row r="54">
          <cell r="AA54" t="str">
            <v>Northern Ontario Wires Inc.</v>
          </cell>
        </row>
        <row r="55">
          <cell r="AA55" t="str">
            <v>Oakville Hydro Distribution Inc.</v>
          </cell>
        </row>
        <row r="56">
          <cell r="AA56" t="str">
            <v>Orangeville Hydro Limited</v>
          </cell>
        </row>
        <row r="57">
          <cell r="AA57" t="str">
            <v>Orillia Power Distribution Corp.</v>
          </cell>
        </row>
        <row r="58">
          <cell r="AA58" t="str">
            <v>Oshawa PUC Networks Inc.</v>
          </cell>
        </row>
        <row r="59">
          <cell r="AA59" t="str">
            <v>Ottawa River Power Corporation</v>
          </cell>
        </row>
        <row r="60">
          <cell r="AA60" t="str">
            <v>Parry Sound Power Corporation</v>
          </cell>
        </row>
        <row r="61">
          <cell r="AA61" t="str">
            <v>Peterborough Distribution Inc.</v>
          </cell>
        </row>
        <row r="62">
          <cell r="AA62" t="str">
            <v>PowerStream Inc.</v>
          </cell>
        </row>
        <row r="63">
          <cell r="AA63" t="str">
            <v>PUC Distribution Inc.</v>
          </cell>
        </row>
        <row r="64">
          <cell r="AA64" t="str">
            <v>Renfrew Hydro Inc.</v>
          </cell>
        </row>
        <row r="65">
          <cell r="AA65" t="str">
            <v>Rideau St. Lawrence Distribution Inc.</v>
          </cell>
        </row>
        <row r="66">
          <cell r="AA66" t="str">
            <v>St. Thomas Energy Inc.</v>
          </cell>
        </row>
        <row r="67">
          <cell r="AA67" t="str">
            <v>Sioux Lookout Hydro Inc.</v>
          </cell>
        </row>
        <row r="68">
          <cell r="AA68" t="str">
            <v>Thunder Bay Hydro Electricity Distribution</v>
          </cell>
        </row>
        <row r="69">
          <cell r="AA69" t="str">
            <v>Tillsonburg Hydro Inc.</v>
          </cell>
        </row>
        <row r="70">
          <cell r="AA70" t="str">
            <v>Toronto Hydro-Electric System Limited</v>
          </cell>
        </row>
        <row r="71">
          <cell r="AA71" t="str">
            <v>Veridian Connections Inc.</v>
          </cell>
        </row>
        <row r="72">
          <cell r="AA72" t="str">
            <v>Wasaga Distribution Inc.</v>
          </cell>
        </row>
        <row r="73">
          <cell r="AA73" t="str">
            <v>Waterloo North Hydro Inc.</v>
          </cell>
        </row>
        <row r="74">
          <cell r="AA74" t="str">
            <v>Welland Hydro Electric System Corp.</v>
          </cell>
        </row>
        <row r="75">
          <cell r="AA75" t="str">
            <v>Wellington North Power Inc.</v>
          </cell>
        </row>
        <row r="76">
          <cell r="AA76" t="str">
            <v>West Coast Huron Energy Inc.</v>
          </cell>
        </row>
        <row r="77">
          <cell r="AA77" t="str">
            <v>Westario Power Inc.</v>
          </cell>
        </row>
        <row r="78">
          <cell r="AA78" t="str">
            <v>Whitby Hydro Electric Corporation</v>
          </cell>
        </row>
        <row r="79">
          <cell r="AA79"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LDC Info"/>
      <sheetName val="Index"/>
      <sheetName val="App.2-A_Capital Projects"/>
      <sheetName val="App.2-A_Capital Projects ROUND2"/>
      <sheetName val="App.2-A_Cap Projects Settlement"/>
      <sheetName val="App.2-B_Fixed Asset Con'ty 2007"/>
      <sheetName val="App.2-B_Fixed Asset Con'ty 2008"/>
      <sheetName val="App.2-B_Fixed Asset Con'ty 2009"/>
      <sheetName val="App.2-B_Fixed Asset Con'ty 2010"/>
      <sheetName val="App.2-B_Fixed Asset Con'ty 2011"/>
      <sheetName val="App.2-B_FA Con'ty 2012 CGAAP"/>
      <sheetName val="App.2-B_FA 2012 CGAAP UPDATE"/>
      <sheetName val="App.2-B_FA 2012 CGAAP ROUND 2"/>
      <sheetName val="App.2-B_Fixed Asset Con'ty 2013"/>
      <sheetName val="App.2-B_FA 2013 CGAAP  UPDATE"/>
      <sheetName val="App.2-B_FA 2013 CGAAP  ROUND 2"/>
      <sheetName val="App.2-B_FA 2013 CGAAP Settlemen"/>
      <sheetName val="App.2-CE_CGAAP_DepExp_2011"/>
      <sheetName val="App.2-CF_CGAAP_DepExp_2012"/>
      <sheetName val="App.2-CF_CGAAP_DepExp_2012 upda"/>
      <sheetName val="App.2-CG_EUL_DepExp_2013"/>
      <sheetName val="App.2-CG DepExp_2013 UPDATE"/>
      <sheetName val="App.2-CG DepExp_2013 ROUND 2"/>
      <sheetName val="App.2-CG DepExp_2013 Settlement"/>
      <sheetName val="App.2-D_Overhead"/>
      <sheetName val="App.2-F_Other_Oper_Rev"/>
      <sheetName val="App.2-F_Other_Oper_Rev UPDATE"/>
      <sheetName val="App.2-F_Other_Oper_Rev ROUND2"/>
      <sheetName val="App.2-F_Other_Oper_Rev Settleme"/>
      <sheetName val="App.2-G_Detailed_OM&amp;A_Expenses"/>
      <sheetName val="App.2-G_Detailed_OM&amp;A_UPDATE"/>
      <sheetName val="App.2-G_Detailed_OM&amp;A_ROUND 2"/>
      <sheetName val="App.2-G_Detailed_OM&amp;A_Settlemen"/>
      <sheetName val="App.2-H_OM&amp;A_Detailed_Analysis"/>
      <sheetName val="App.2-H_OM&amp;A_Analysis Settlemen"/>
      <sheetName val="App.2-I_OM&amp;A_Summary_Analys"/>
      <sheetName val="App.2-I_OM&amp;A_Summary_UPDATE"/>
      <sheetName val="App.2-I_OM&amp;A_Summary_ROUND 2"/>
      <sheetName val="App.2-I_OM&amp;A_Summary_Settlement"/>
      <sheetName val="App.2-J_OM&amp;A_Cost _Drivers"/>
      <sheetName val="App.2-J_OM&amp;A_Cost _Drivers Sett"/>
      <sheetName val="App.2-K_Employee Costs"/>
      <sheetName val="App.2-K_Employee Costs UPDATE"/>
      <sheetName val="App.2-K_Emp Costs UPDATE forSEC"/>
      <sheetName val="App.2-K_Employee Costs Settleme"/>
      <sheetName val="App.2-L_OM&amp;A_per_Cust_FTEE"/>
      <sheetName val="App.2-L_OM&amp;A_per_Cust_UPDATE"/>
      <sheetName val="App.2-L_OM&amp;A_per_Cust_Settlemen"/>
      <sheetName val="App.2-M_Regulatory_Costs"/>
      <sheetName val="App.2-N_Corp_Cost_Allocation"/>
      <sheetName val="App.2-OA Capital Structure"/>
      <sheetName val="App.2-OA Cap Structure ROUND 2"/>
      <sheetName val="App.2-OB_Debt Instruments"/>
      <sheetName val="App.2-OB_Debt Inst ROUND 2"/>
      <sheetName val="App.2-P_Cost_Allocation"/>
      <sheetName val="App.2-P_Cost_Allocation Settlem"/>
      <sheetName val="App.2-R_Loss Factors"/>
      <sheetName val="App.2-S_Stranded Meters"/>
      <sheetName val="App.2-T_1592_Tax_Variance"/>
      <sheetName val="App.2-U_IFRS Transition Costs"/>
      <sheetName val="App.2-U_IFRS Trans Costs UPDATE"/>
      <sheetName val="App.2-V_Rev_Reconciliation"/>
      <sheetName val="App.2-V_Rev_Reconciliation Sett"/>
      <sheetName val="App.2-W Bill Impacts"/>
      <sheetName val="Appendix 2-W Bill Impacts UPDAT"/>
      <sheetName val="App.2-W Bill Impacts Round 2"/>
      <sheetName val="App.2-W Bill Impacts Settlement"/>
      <sheetName val="App.2-X_CoS_Flowchart"/>
      <sheetName val="App.2-B_FA Con'ty 2012 MIFRS NA"/>
      <sheetName val="App.2-CA_CGAAP_DepExp_2011"/>
      <sheetName val="App.2-CB_MIFRS_DepExp_2011"/>
      <sheetName val="App.2-CC_MIFRS_DepExp_2012"/>
      <sheetName val="App.2-CD_MIFRS_DepExp_2013"/>
      <sheetName val="App.2-CI_AltAccStd_DepExp"/>
      <sheetName val="App.2-EA_PP&amp;E Deferral Account"/>
      <sheetName val="App.2-Q_Cost of Serv. Emb. Dx"/>
      <sheetName val="App.2-CH_MIFRS_DepExp_2013 NA"/>
      <sheetName val="App.2-EB_PP&amp;E Deferral Acct NA"/>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AA24" t="str">
            <v>Fort Albany Power Corporation</v>
          </cell>
        </row>
        <row r="25">
          <cell r="AA25" t="str">
            <v>Fort Frances Power Corporation</v>
          </cell>
        </row>
        <row r="26">
          <cell r="AA26" t="str">
            <v>Greater Sudbury Hydro Inc.</v>
          </cell>
        </row>
        <row r="27">
          <cell r="AA27" t="str">
            <v>Grimsby Power Inc.</v>
          </cell>
        </row>
        <row r="28">
          <cell r="AA28" t="str">
            <v>Guelph Hydro Electric Systems Inc.</v>
          </cell>
        </row>
        <row r="29">
          <cell r="AA29" t="str">
            <v>Haldimand County Hydro Inc.</v>
          </cell>
        </row>
        <row r="30">
          <cell r="AA30" t="str">
            <v>Guelph Hydro Electric Systems Inc.</v>
          </cell>
        </row>
        <row r="31">
          <cell r="AA31" t="str">
            <v>Halton Hills Hydro Inc.</v>
          </cell>
        </row>
        <row r="32">
          <cell r="AA32" t="str">
            <v>Hearst Power Distribution Co. Ltd.</v>
          </cell>
        </row>
        <row r="33">
          <cell r="AA33" t="str">
            <v>Horizon Utilities Corporation</v>
          </cell>
        </row>
        <row r="34">
          <cell r="AA34" t="str">
            <v>Hydro 2000 Inc.</v>
          </cell>
        </row>
        <row r="35">
          <cell r="AA35" t="str">
            <v>Hydro Hawkesbury Inc.</v>
          </cell>
        </row>
        <row r="36">
          <cell r="AA36" t="str">
            <v>Hydro One Brampton Networks Inc.</v>
          </cell>
        </row>
        <row r="37">
          <cell r="AA37" t="str">
            <v>Hydro One Networks Inc.</v>
          </cell>
        </row>
        <row r="38">
          <cell r="AA38" t="str">
            <v>Hydro One Remote Communities Inc.</v>
          </cell>
        </row>
        <row r="39">
          <cell r="AA39" t="str">
            <v>Hydro Ottawa Limited</v>
          </cell>
        </row>
        <row r="40">
          <cell r="AA40" t="str">
            <v>Innisfil Hydro Dist. Systems Limited</v>
          </cell>
        </row>
        <row r="41">
          <cell r="AA41" t="str">
            <v>Kashechewan Power Corporation</v>
          </cell>
        </row>
        <row r="42">
          <cell r="AA42" t="str">
            <v>Kenora Hydro Electric Corporation Ltd.</v>
          </cell>
        </row>
        <row r="43">
          <cell r="AA43" t="str">
            <v>Kingston Hydro Corporation</v>
          </cell>
        </row>
        <row r="44">
          <cell r="AA44" t="str">
            <v>Kitchener-Wilmot Hydro Inc.</v>
          </cell>
        </row>
        <row r="45">
          <cell r="AA45" t="str">
            <v>Lakefront Utilities Inc.</v>
          </cell>
        </row>
        <row r="46">
          <cell r="AA46" t="str">
            <v>Lakeland Power Distribution Ltd.</v>
          </cell>
        </row>
        <row r="47">
          <cell r="AA47" t="str">
            <v>London Hydro Inc.</v>
          </cell>
        </row>
        <row r="48">
          <cell r="AA48" t="str">
            <v>Midland Power Utility Corporation</v>
          </cell>
        </row>
        <row r="49">
          <cell r="AA49" t="str">
            <v>Milton Hydro Distribution Inc.</v>
          </cell>
        </row>
        <row r="50">
          <cell r="AA50" t="str">
            <v>Newmarket – Tay Power Distribution Ltd.</v>
          </cell>
        </row>
        <row r="51">
          <cell r="AA51" t="str">
            <v>Niagara Peninsula Energy Inc.</v>
          </cell>
        </row>
        <row r="52">
          <cell r="AA52" t="str">
            <v>Niagara-on-the-Lake Hydro Inc.</v>
          </cell>
        </row>
        <row r="53">
          <cell r="AA53" t="str">
            <v>Norfolk Power Distribution Ltd.</v>
          </cell>
        </row>
        <row r="54">
          <cell r="AA54" t="str">
            <v>North Bay Hydro Distribution Limited</v>
          </cell>
        </row>
        <row r="55">
          <cell r="AA55" t="str">
            <v>Northern Ontario Wires Inc.</v>
          </cell>
        </row>
        <row r="56">
          <cell r="AA56" t="str">
            <v>Oakville Hydro Distribution Inc.</v>
          </cell>
        </row>
        <row r="57">
          <cell r="AA57" t="str">
            <v>Orangeville Hydro Limited</v>
          </cell>
        </row>
        <row r="58">
          <cell r="AA58" t="str">
            <v>Orillia Power Distribution Corp.</v>
          </cell>
        </row>
        <row r="59">
          <cell r="AA59" t="str">
            <v>Oshawa PUC Networks Inc.</v>
          </cell>
        </row>
        <row r="60">
          <cell r="AA60" t="str">
            <v>Ottawa River Power Corporation</v>
          </cell>
        </row>
        <row r="61">
          <cell r="AA61" t="str">
            <v>Parry Sound Power Corporation</v>
          </cell>
        </row>
        <row r="62">
          <cell r="AA62" t="str">
            <v>Peterborough Distribution Inc.</v>
          </cell>
        </row>
        <row r="63">
          <cell r="AA63" t="str">
            <v>PowerStream Inc.</v>
          </cell>
        </row>
        <row r="64">
          <cell r="AA64" t="str">
            <v>PUC Distribution Inc.</v>
          </cell>
        </row>
        <row r="65">
          <cell r="AA65" t="str">
            <v>Renfrew Hydro Inc.</v>
          </cell>
        </row>
        <row r="66">
          <cell r="AA66" t="str">
            <v>Rideau St. Lawrence Distribution Inc.</v>
          </cell>
        </row>
        <row r="67">
          <cell r="AA67" t="str">
            <v>St. Thomas Energy Inc.</v>
          </cell>
        </row>
        <row r="68">
          <cell r="AA68" t="str">
            <v>Sioux Lookout Hydro Inc.</v>
          </cell>
        </row>
        <row r="69">
          <cell r="AA69" t="str">
            <v>Thunder Bay Hydro Electricity Distribution</v>
          </cell>
        </row>
        <row r="70">
          <cell r="AA70" t="str">
            <v>Tillsonburg Hydro Inc.</v>
          </cell>
        </row>
        <row r="71">
          <cell r="AA71" t="str">
            <v>Toronto Hydro-Electric System Limited</v>
          </cell>
        </row>
        <row r="72">
          <cell r="AA72" t="str">
            <v>Veridian Connections Inc.</v>
          </cell>
        </row>
        <row r="73">
          <cell r="AA73" t="str">
            <v>Wasaga Distribution Inc.</v>
          </cell>
        </row>
        <row r="74">
          <cell r="AA74" t="str">
            <v>Waterloo North Hydro Inc.</v>
          </cell>
        </row>
        <row r="75">
          <cell r="AA75" t="str">
            <v>Welland Hydro Electric System Corp.</v>
          </cell>
        </row>
        <row r="76">
          <cell r="AA76" t="str">
            <v>Wellington North Power Inc.</v>
          </cell>
        </row>
        <row r="77">
          <cell r="AA77" t="str">
            <v>West Coast Huron Energy Inc.</v>
          </cell>
        </row>
        <row r="78">
          <cell r="AA78" t="str">
            <v>Westario Power Inc.</v>
          </cell>
        </row>
        <row r="79">
          <cell r="AA79" t="str">
            <v>Whitby Hydro Electric Corporation</v>
          </cell>
        </row>
        <row r="80">
          <cell r="AA80" t="str">
            <v>Woodstock Hydro Services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LDC Info"/>
      <sheetName val="Index"/>
      <sheetName val="App.2-A_Capital Projects"/>
      <sheetName val="App.2-B_Fixed Asset Con'ty 2007"/>
      <sheetName val="App.2-B_Fixed Asset Con'ty 2008"/>
      <sheetName val="App.2-B_Fixed Asset Con'ty 2009"/>
      <sheetName val="App.2-B_Fixed Asset Con'ty 2010"/>
      <sheetName val="App.2-B_Fixed Asset Con'ty 2011"/>
      <sheetName val="App.2-B_FA Con'ty 2012 CGAAP"/>
      <sheetName val="App.2-B_Fixed Asset Con'ty 2013"/>
      <sheetName val="App.2-CE_CGAAP_DepExp_2011"/>
      <sheetName val="App.2-CF_CGAAP_DepExp_2012"/>
      <sheetName val="App.2-CG_EUL_DepExp_2013"/>
      <sheetName val="App.2-D_Overhead"/>
      <sheetName val="App.2-F_Other_Oper_Rev"/>
      <sheetName val="App.2-G_Detailed_OM&amp;A_Expenses"/>
      <sheetName val="App.2-H_OM&amp;A_Detailed_Analysis"/>
      <sheetName val="App.2-I_OM&amp;A_Summary_Analys"/>
      <sheetName val="App.2-J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R_Loss Factors"/>
      <sheetName val="App.2-S_Stranded Meters"/>
      <sheetName val="App.2-T_1592_Tax_Variance"/>
      <sheetName val="App.2-U_IFRS Transition Costs"/>
      <sheetName val="App.2-V_Rev_Reconciliation"/>
      <sheetName val="App.2-W Bill Impacts"/>
      <sheetName val="App.2-X_CoS_Flowchart"/>
      <sheetName val="App.2-B_FA Con'ty 2012 MIFRS NA"/>
      <sheetName val="App.2-CA_CGAAP_DepExp_2011"/>
      <sheetName val="App.2-CB_MIFRS_DepExp_2011"/>
      <sheetName val="App.2-CC_MIFRS_DepExp_2012"/>
      <sheetName val="App.2-CD_MIFRS_DepExp_2013"/>
      <sheetName val="App.2-CI_AltAccStd_DepExp"/>
      <sheetName val="App.2-EA_PP&amp;E Deferral Account"/>
      <sheetName val="App.2-Q_Cost of Serv. Emb. Dx"/>
      <sheetName val="App.2-CH_MIFRS_DepExp_2013 NA"/>
      <sheetName val="App.2-EB_PP&amp;E Deferral Acct NA"/>
      <sheetName val="App.2-EB_PP&amp;E Deferral Account"/>
      <sheetName val="App.2-W_Bill Impacts"/>
      <sheetName val="App.2-CH_MIFRS_DepExp_2013"/>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AA24" t="str">
            <v>Fort Albany Power Corporation</v>
          </cell>
        </row>
        <row r="25">
          <cell r="AA25" t="str">
            <v>Fort Frances Power Corporation</v>
          </cell>
        </row>
        <row r="26">
          <cell r="AA26" t="str">
            <v>Greater Sudbury Hydro Inc.</v>
          </cell>
        </row>
        <row r="27">
          <cell r="AA27" t="str">
            <v>Grimsby Power Inc.</v>
          </cell>
        </row>
        <row r="28">
          <cell r="AA28" t="str">
            <v>Guelph Hydro Electric Systems Inc.</v>
          </cell>
        </row>
        <row r="29">
          <cell r="AA29" t="str">
            <v>Haldimand County Hydro Inc.</v>
          </cell>
        </row>
        <row r="30">
          <cell r="AA30" t="str">
            <v>Guelph Hydro Electric Systems Inc.</v>
          </cell>
        </row>
        <row r="31">
          <cell r="AA31" t="str">
            <v>Halton Hills Hydro Inc.</v>
          </cell>
        </row>
        <row r="32">
          <cell r="AA32" t="str">
            <v>Hearst Power Distribution Co. Ltd.</v>
          </cell>
        </row>
        <row r="33">
          <cell r="AA33" t="str">
            <v>Horizon Utilities Corporation</v>
          </cell>
        </row>
        <row r="34">
          <cell r="AA34" t="str">
            <v>Hydro 2000 Inc.</v>
          </cell>
        </row>
        <row r="35">
          <cell r="AA35" t="str">
            <v>Hydro Hawkesbury Inc.</v>
          </cell>
        </row>
        <row r="36">
          <cell r="AA36" t="str">
            <v>Hydro One Brampton Networks Inc.</v>
          </cell>
        </row>
        <row r="37">
          <cell r="AA37" t="str">
            <v>Hydro One Networks Inc.</v>
          </cell>
        </row>
        <row r="38">
          <cell r="AA38" t="str">
            <v>Hydro One Remote Communities Inc.</v>
          </cell>
        </row>
        <row r="39">
          <cell r="AA39" t="str">
            <v>Hydro Ottawa Limited</v>
          </cell>
        </row>
        <row r="40">
          <cell r="AA40" t="str">
            <v>Innisfil Hydro Dist. Systems Limited</v>
          </cell>
        </row>
        <row r="41">
          <cell r="AA41" t="str">
            <v>Kashechewan Power Corporation</v>
          </cell>
        </row>
        <row r="42">
          <cell r="AA42" t="str">
            <v>Kenora Hydro Electric Corporation Ltd.</v>
          </cell>
        </row>
        <row r="43">
          <cell r="AA43" t="str">
            <v>Kingston Hydro Corporation</v>
          </cell>
        </row>
        <row r="44">
          <cell r="AA44" t="str">
            <v>Kitchener-Wilmot Hydro Inc.</v>
          </cell>
        </row>
        <row r="45">
          <cell r="AA45" t="str">
            <v>Lakefront Utilities Inc.</v>
          </cell>
        </row>
        <row r="46">
          <cell r="AA46" t="str">
            <v>Lakeland Power Distribution Ltd.</v>
          </cell>
        </row>
        <row r="47">
          <cell r="AA47" t="str">
            <v>London Hydro Inc.</v>
          </cell>
        </row>
        <row r="48">
          <cell r="AA48" t="str">
            <v>Midland Power Utility Corporation</v>
          </cell>
        </row>
        <row r="49">
          <cell r="AA49" t="str">
            <v>Milton Hydro Distribution Inc.</v>
          </cell>
        </row>
        <row r="50">
          <cell r="AA50" t="str">
            <v>Newmarket – Tay Power Distribution Ltd.</v>
          </cell>
        </row>
        <row r="51">
          <cell r="AA51" t="str">
            <v>Niagara Peninsula Energy Inc.</v>
          </cell>
        </row>
        <row r="52">
          <cell r="AA52" t="str">
            <v>Niagara-on-the-Lake Hydro Inc.</v>
          </cell>
        </row>
        <row r="53">
          <cell r="AA53" t="str">
            <v>Norfolk Power Distribution Ltd.</v>
          </cell>
        </row>
        <row r="54">
          <cell r="AA54" t="str">
            <v>North Bay Hydro Distribution Limited</v>
          </cell>
        </row>
        <row r="55">
          <cell r="AA55" t="str">
            <v>Northern Ontario Wires Inc.</v>
          </cell>
        </row>
        <row r="56">
          <cell r="AA56" t="str">
            <v>Oakville Hydro Distribution Inc.</v>
          </cell>
        </row>
        <row r="57">
          <cell r="AA57" t="str">
            <v>Orangeville Hydro Limited</v>
          </cell>
        </row>
        <row r="58">
          <cell r="AA58" t="str">
            <v>Orillia Power Distribution Corp.</v>
          </cell>
        </row>
        <row r="59">
          <cell r="AA59" t="str">
            <v>Oshawa PUC Networks Inc.</v>
          </cell>
        </row>
        <row r="60">
          <cell r="AA60" t="str">
            <v>Ottawa River Power Corporation</v>
          </cell>
        </row>
        <row r="61">
          <cell r="AA61" t="str">
            <v>Parry Sound Power Corporation</v>
          </cell>
        </row>
        <row r="62">
          <cell r="AA62" t="str">
            <v>Peterborough Distribution Inc.</v>
          </cell>
        </row>
        <row r="63">
          <cell r="AA63" t="str">
            <v>PowerStream Inc.</v>
          </cell>
        </row>
        <row r="64">
          <cell r="AA64" t="str">
            <v>PUC Distribution Inc.</v>
          </cell>
        </row>
        <row r="65">
          <cell r="AA65" t="str">
            <v>Renfrew Hydro Inc.</v>
          </cell>
        </row>
        <row r="66">
          <cell r="AA66" t="str">
            <v>Rideau St. Lawrence Distribution Inc.</v>
          </cell>
        </row>
        <row r="67">
          <cell r="AA67" t="str">
            <v>St. Thomas Energy Inc.</v>
          </cell>
        </row>
        <row r="68">
          <cell r="AA68" t="str">
            <v>Sioux Lookout Hydro Inc.</v>
          </cell>
        </row>
        <row r="69">
          <cell r="AA69" t="str">
            <v>Thunder Bay Hydro Electricity Distribution</v>
          </cell>
        </row>
        <row r="70">
          <cell r="AA70" t="str">
            <v>Tillsonburg Hydro Inc.</v>
          </cell>
        </row>
        <row r="71">
          <cell r="AA71" t="str">
            <v>Toronto Hydro-Electric System Limited</v>
          </cell>
        </row>
        <row r="72">
          <cell r="AA72" t="str">
            <v>Veridian Connections Inc.</v>
          </cell>
        </row>
        <row r="73">
          <cell r="AA73" t="str">
            <v>Wasaga Distribution Inc.</v>
          </cell>
        </row>
        <row r="74">
          <cell r="AA74" t="str">
            <v>Waterloo North Hydro Inc.</v>
          </cell>
        </row>
        <row r="75">
          <cell r="AA75" t="str">
            <v>Welland Hydro Electric System Corp.</v>
          </cell>
        </row>
        <row r="76">
          <cell r="AA76" t="str">
            <v>Wellington North Power Inc.</v>
          </cell>
        </row>
        <row r="77">
          <cell r="AA77" t="str">
            <v>West Coast Huron Energy Inc.</v>
          </cell>
        </row>
        <row r="78">
          <cell r="AA78" t="str">
            <v>Westario Power Inc.</v>
          </cell>
        </row>
        <row r="79">
          <cell r="AA79" t="str">
            <v>Whitby Hydro Electric Corporation</v>
          </cell>
        </row>
        <row r="80">
          <cell r="AA80" t="str">
            <v>Woodstock Hydro Services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w@shec.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B3:AA80"/>
  <sheetViews>
    <sheetView showGridLines="0" tabSelected="1" workbookViewId="0">
      <selection activeCell="J24" sqref="J24"/>
    </sheetView>
  </sheetViews>
  <sheetFormatPr defaultRowHeight="12.75"/>
  <cols>
    <col min="27" max="27" width="0" hidden="1" customWidth="1"/>
  </cols>
  <sheetData>
    <row r="3" spans="4:27">
      <c r="AA3" s="1" t="s">
        <v>0</v>
      </c>
    </row>
    <row r="4" spans="4:27">
      <c r="AA4" s="1" t="s">
        <v>1</v>
      </c>
    </row>
    <row r="5" spans="4:27">
      <c r="AA5" s="1" t="s">
        <v>2</v>
      </c>
    </row>
    <row r="6" spans="4:27">
      <c r="AA6" s="1" t="s">
        <v>3</v>
      </c>
    </row>
    <row r="7" spans="4:27">
      <c r="AA7" s="1" t="s">
        <v>4</v>
      </c>
    </row>
    <row r="8" spans="4:27">
      <c r="AA8" s="1" t="s">
        <v>5</v>
      </c>
    </row>
    <row r="9" spans="4:27">
      <c r="AA9" s="1" t="s">
        <v>6</v>
      </c>
    </row>
    <row r="10" spans="4:27">
      <c r="AA10" s="1" t="s">
        <v>7</v>
      </c>
    </row>
    <row r="11" spans="4:27">
      <c r="AA11" s="1" t="s">
        <v>8</v>
      </c>
    </row>
    <row r="12" spans="4:27">
      <c r="AA12" s="1" t="s">
        <v>9</v>
      </c>
    </row>
    <row r="13" spans="4:27" ht="13.5" thickBot="1">
      <c r="N13" s="2" t="s">
        <v>10</v>
      </c>
      <c r="AA13" s="1" t="s">
        <v>11</v>
      </c>
    </row>
    <row r="14" spans="4:27" ht="16.5" thickTop="1" thickBot="1">
      <c r="D14" s="3" t="s">
        <v>12</v>
      </c>
      <c r="E14" s="1103" t="s">
        <v>13</v>
      </c>
      <c r="F14" s="1104"/>
      <c r="G14" s="1104"/>
      <c r="H14" s="1104"/>
      <c r="I14" s="1104"/>
      <c r="J14" s="1104"/>
      <c r="K14" s="1105"/>
      <c r="AA14" s="1" t="s">
        <v>14</v>
      </c>
    </row>
    <row r="15" spans="4:27" ht="13.5" thickBot="1">
      <c r="D15" s="4"/>
      <c r="E15" s="5"/>
      <c r="F15" s="6"/>
      <c r="G15" s="5"/>
      <c r="H15" s="5"/>
      <c r="I15" s="5"/>
      <c r="J15" s="7"/>
      <c r="K15" s="7"/>
      <c r="AA15" s="1" t="s">
        <v>15</v>
      </c>
    </row>
    <row r="16" spans="4:27" ht="16.5" thickTop="1" thickBot="1">
      <c r="D16" s="8" t="s">
        <v>16</v>
      </c>
      <c r="E16" s="1106"/>
      <c r="F16" s="1107"/>
      <c r="G16" s="1107"/>
      <c r="H16" s="1107"/>
      <c r="I16" s="1108"/>
      <c r="J16" s="7"/>
      <c r="K16" s="7"/>
      <c r="AA16" s="1" t="s">
        <v>17</v>
      </c>
    </row>
    <row r="17" spans="2:27" ht="13.5" thickBot="1">
      <c r="D17" s="9"/>
      <c r="E17" s="7"/>
      <c r="F17" s="7"/>
      <c r="G17" s="7"/>
      <c r="H17" s="7"/>
      <c r="I17" s="7"/>
      <c r="J17" s="7"/>
      <c r="K17" s="7"/>
      <c r="AA17" s="1" t="s">
        <v>18</v>
      </c>
    </row>
    <row r="18" spans="2:27" ht="16.5" thickTop="1" thickBot="1">
      <c r="D18" s="8" t="s">
        <v>19</v>
      </c>
      <c r="E18" s="1109" t="s">
        <v>20</v>
      </c>
      <c r="F18" s="1107"/>
      <c r="G18" s="1107"/>
      <c r="H18" s="1107"/>
      <c r="I18" s="1108"/>
      <c r="J18" s="7"/>
      <c r="K18" s="7"/>
      <c r="AA18" s="1" t="s">
        <v>21</v>
      </c>
    </row>
    <row r="19" spans="2:27" ht="13.5" thickBot="1">
      <c r="D19" s="9"/>
      <c r="E19" s="7"/>
      <c r="F19" s="7"/>
      <c r="G19" s="7"/>
      <c r="H19" s="7"/>
      <c r="I19" s="7"/>
      <c r="J19" s="7"/>
      <c r="K19" s="7"/>
      <c r="AA19" s="1" t="s">
        <v>22</v>
      </c>
    </row>
    <row r="20" spans="2:27" ht="16.5" thickTop="1" thickBot="1">
      <c r="D20" s="8" t="s">
        <v>23</v>
      </c>
      <c r="E20" s="1110" t="s">
        <v>24</v>
      </c>
      <c r="F20" s="1111"/>
      <c r="G20" s="1111"/>
      <c r="H20" s="1111"/>
      <c r="I20" s="1111"/>
      <c r="J20" s="1111"/>
      <c r="K20" s="1112"/>
      <c r="AA20" s="1" t="s">
        <v>25</v>
      </c>
    </row>
    <row r="21" spans="2:27" ht="14.25" thickTop="1" thickBot="1">
      <c r="D21" s="4"/>
      <c r="E21" s="5"/>
      <c r="F21" s="6"/>
      <c r="G21" s="5"/>
      <c r="H21" s="5"/>
      <c r="I21" s="5"/>
      <c r="J21" s="7"/>
      <c r="K21" s="7"/>
      <c r="AA21" s="1" t="s">
        <v>26</v>
      </c>
    </row>
    <row r="22" spans="2:27" ht="16.5" thickTop="1" thickBot="1">
      <c r="D22" s="3" t="s">
        <v>27</v>
      </c>
      <c r="E22" s="1109" t="s">
        <v>28</v>
      </c>
      <c r="F22" s="1107"/>
      <c r="G22" s="1107"/>
      <c r="H22" s="1107"/>
      <c r="I22" s="1108"/>
      <c r="J22" s="7"/>
      <c r="K22" s="7"/>
      <c r="AA22" s="1" t="s">
        <v>29</v>
      </c>
    </row>
    <row r="23" spans="2:27" ht="13.5" thickBot="1">
      <c r="D23" s="4"/>
      <c r="E23" s="5"/>
      <c r="F23" s="6"/>
      <c r="G23" s="5"/>
      <c r="H23" s="5"/>
      <c r="I23" s="5"/>
      <c r="J23" s="7"/>
      <c r="K23" s="7"/>
      <c r="AA23" s="1" t="s">
        <v>30</v>
      </c>
    </row>
    <row r="24" spans="2:27" ht="16.5" thickTop="1" thickBot="1">
      <c r="D24" s="3" t="s">
        <v>31</v>
      </c>
      <c r="E24" s="1113" t="s">
        <v>32</v>
      </c>
      <c r="F24" s="1114"/>
      <c r="G24" s="1114"/>
      <c r="H24" s="1114"/>
      <c r="I24" s="1115"/>
      <c r="J24" s="7"/>
      <c r="K24" s="7"/>
      <c r="AA24" s="1" t="s">
        <v>33</v>
      </c>
    </row>
    <row r="25" spans="2:27" ht="13.5" thickBot="1">
      <c r="D25" s="4"/>
      <c r="E25" s="5"/>
      <c r="F25" s="6"/>
      <c r="G25" s="5"/>
      <c r="H25" s="5"/>
      <c r="I25" s="5"/>
      <c r="J25" s="7"/>
      <c r="K25" s="7"/>
      <c r="AA25" s="1" t="s">
        <v>34</v>
      </c>
    </row>
    <row r="26" spans="2:27" ht="16.5" thickTop="1" thickBot="1">
      <c r="D26" s="8" t="s">
        <v>35</v>
      </c>
      <c r="E26" s="1116">
        <v>2012</v>
      </c>
      <c r="F26" s="1117"/>
      <c r="G26" s="1118"/>
      <c r="H26" s="5"/>
      <c r="I26" s="5"/>
      <c r="J26" s="7"/>
      <c r="K26" s="7"/>
      <c r="AA26" s="1" t="s">
        <v>13</v>
      </c>
    </row>
    <row r="27" spans="2:27" ht="13.5" thickBot="1">
      <c r="D27" s="10"/>
      <c r="AA27" s="1" t="s">
        <v>36</v>
      </c>
    </row>
    <row r="28" spans="2:27" ht="16.5" thickTop="1" thickBot="1">
      <c r="D28" s="8" t="s">
        <v>37</v>
      </c>
      <c r="E28" s="1116">
        <v>2013</v>
      </c>
      <c r="F28" s="1117"/>
      <c r="G28" s="1118"/>
      <c r="AA28" s="1" t="s">
        <v>38</v>
      </c>
    </row>
    <row r="29" spans="2:27" ht="13.5" thickBot="1">
      <c r="D29" s="11"/>
      <c r="AA29" s="1" t="s">
        <v>39</v>
      </c>
    </row>
    <row r="30" spans="2:27" ht="16.5" thickTop="1" thickBot="1">
      <c r="D30" s="8" t="s">
        <v>40</v>
      </c>
      <c r="E30" s="1116">
        <v>2009</v>
      </c>
      <c r="F30" s="1117"/>
      <c r="G30" s="1118"/>
      <c r="AA30" s="1" t="s">
        <v>38</v>
      </c>
    </row>
    <row r="31" spans="2:27">
      <c r="AA31" s="1" t="s">
        <v>41</v>
      </c>
    </row>
    <row r="32" spans="2:27">
      <c r="B32" s="12" t="s">
        <v>42</v>
      </c>
      <c r="AA32" s="1" t="s">
        <v>43</v>
      </c>
    </row>
    <row r="33" spans="2:27" ht="13.5" thickBot="1">
      <c r="AA33" s="1" t="s">
        <v>44</v>
      </c>
    </row>
    <row r="34" spans="2:27" ht="13.5" thickBot="1">
      <c r="B34" s="13"/>
      <c r="C34" s="1119" t="s">
        <v>45</v>
      </c>
      <c r="D34" s="1119"/>
      <c r="E34" s="1119"/>
      <c r="F34" s="1119"/>
      <c r="G34" s="1119"/>
      <c r="H34" s="1119"/>
      <c r="I34" s="1119"/>
      <c r="J34" s="1119"/>
      <c r="K34" s="1119"/>
      <c r="L34" s="1119"/>
      <c r="AA34" s="1" t="s">
        <v>46</v>
      </c>
    </row>
    <row r="35" spans="2:27" ht="13.5" thickBot="1">
      <c r="AA35" s="1" t="s">
        <v>47</v>
      </c>
    </row>
    <row r="36" spans="2:27" ht="13.5" customHeight="1" thickBot="1">
      <c r="B36" s="14"/>
      <c r="C36" s="1120" t="s">
        <v>48</v>
      </c>
      <c r="D36" s="1121"/>
      <c r="E36" s="1121"/>
      <c r="F36" s="1121"/>
      <c r="G36" s="1121"/>
      <c r="H36" s="1121"/>
      <c r="I36" s="1121"/>
      <c r="J36" s="1121"/>
      <c r="K36" s="1121"/>
      <c r="L36" s="1121"/>
      <c r="M36" s="1121"/>
      <c r="N36" s="1121"/>
      <c r="AA36" s="1" t="s">
        <v>49</v>
      </c>
    </row>
    <row r="37" spans="2:27" ht="13.5" thickBot="1">
      <c r="B37" s="15"/>
      <c r="AA37" s="1" t="s">
        <v>50</v>
      </c>
    </row>
    <row r="38" spans="2:27" ht="13.5" thickBot="1">
      <c r="B38" s="16"/>
      <c r="C38" s="1101" t="s">
        <v>51</v>
      </c>
      <c r="D38" s="1102"/>
      <c r="E38" s="1102"/>
      <c r="F38" s="1102"/>
      <c r="G38" s="1102"/>
      <c r="H38" s="1102"/>
      <c r="I38" s="1102"/>
      <c r="J38" s="1102"/>
      <c r="K38" s="1102"/>
      <c r="L38" s="1102"/>
      <c r="M38" s="1102"/>
      <c r="AA38" s="1" t="s">
        <v>52</v>
      </c>
    </row>
    <row r="39" spans="2:27">
      <c r="AA39" s="1" t="s">
        <v>53</v>
      </c>
    </row>
    <row r="40" spans="2:27">
      <c r="AA40" s="1" t="s">
        <v>54</v>
      </c>
    </row>
    <row r="41" spans="2:27">
      <c r="AA41" s="1" t="s">
        <v>55</v>
      </c>
    </row>
    <row r="42" spans="2:27">
      <c r="AA42" s="1" t="s">
        <v>56</v>
      </c>
    </row>
    <row r="43" spans="2:27">
      <c r="AA43" s="1" t="s">
        <v>57</v>
      </c>
    </row>
    <row r="44" spans="2:27">
      <c r="AA44" s="1" t="s">
        <v>58</v>
      </c>
    </row>
    <row r="45" spans="2:27">
      <c r="AA45" s="1" t="s">
        <v>59</v>
      </c>
    </row>
    <row r="46" spans="2:27">
      <c r="AA46" s="1" t="s">
        <v>60</v>
      </c>
    </row>
    <row r="47" spans="2:27">
      <c r="AA47" s="1" t="s">
        <v>61</v>
      </c>
    </row>
    <row r="48" spans="2:27">
      <c r="AA48" s="1" t="s">
        <v>62</v>
      </c>
    </row>
    <row r="49" spans="27:27">
      <c r="AA49" s="1" t="s">
        <v>63</v>
      </c>
    </row>
    <row r="50" spans="27:27">
      <c r="AA50" s="1" t="s">
        <v>64</v>
      </c>
    </row>
    <row r="51" spans="27:27">
      <c r="AA51" s="1" t="s">
        <v>65</v>
      </c>
    </row>
    <row r="52" spans="27:27">
      <c r="AA52" s="1" t="s">
        <v>66</v>
      </c>
    </row>
    <row r="53" spans="27:27">
      <c r="AA53" s="1" t="s">
        <v>67</v>
      </c>
    </row>
    <row r="54" spans="27:27">
      <c r="AA54" s="1" t="s">
        <v>68</v>
      </c>
    </row>
    <row r="55" spans="27:27">
      <c r="AA55" s="1" t="s">
        <v>69</v>
      </c>
    </row>
    <row r="56" spans="27:27">
      <c r="AA56" s="1" t="s">
        <v>70</v>
      </c>
    </row>
    <row r="57" spans="27:27">
      <c r="AA57" s="1" t="s">
        <v>71</v>
      </c>
    </row>
    <row r="58" spans="27:27">
      <c r="AA58" s="1" t="s">
        <v>72</v>
      </c>
    </row>
    <row r="59" spans="27:27">
      <c r="AA59" s="1" t="s">
        <v>73</v>
      </c>
    </row>
    <row r="60" spans="27:27">
      <c r="AA60" s="1" t="s">
        <v>74</v>
      </c>
    </row>
    <row r="61" spans="27:27">
      <c r="AA61" s="1" t="s">
        <v>75</v>
      </c>
    </row>
    <row r="62" spans="27:27">
      <c r="AA62" s="1" t="s">
        <v>76</v>
      </c>
    </row>
    <row r="63" spans="27:27">
      <c r="AA63" s="1" t="s">
        <v>77</v>
      </c>
    </row>
    <row r="64" spans="27:27">
      <c r="AA64" s="1" t="s">
        <v>78</v>
      </c>
    </row>
    <row r="65" spans="27:27">
      <c r="AA65" s="1" t="s">
        <v>79</v>
      </c>
    </row>
    <row r="66" spans="27:27">
      <c r="AA66" s="1" t="s">
        <v>80</v>
      </c>
    </row>
    <row r="67" spans="27:27">
      <c r="AA67" s="1" t="s">
        <v>81</v>
      </c>
    </row>
    <row r="68" spans="27:27">
      <c r="AA68" s="1" t="s">
        <v>82</v>
      </c>
    </row>
    <row r="69" spans="27:27">
      <c r="AA69" s="1" t="s">
        <v>83</v>
      </c>
    </row>
    <row r="70" spans="27:27">
      <c r="AA70" s="1" t="s">
        <v>84</v>
      </c>
    </row>
    <row r="71" spans="27:27">
      <c r="AA71" s="1" t="s">
        <v>85</v>
      </c>
    </row>
    <row r="72" spans="27:27">
      <c r="AA72" s="1" t="s">
        <v>86</v>
      </c>
    </row>
    <row r="73" spans="27:27">
      <c r="AA73" s="1" t="s">
        <v>87</v>
      </c>
    </row>
    <row r="74" spans="27:27">
      <c r="AA74" s="1" t="s">
        <v>88</v>
      </c>
    </row>
    <row r="75" spans="27:27">
      <c r="AA75" s="1" t="s">
        <v>89</v>
      </c>
    </row>
    <row r="76" spans="27:27">
      <c r="AA76" s="1" t="s">
        <v>90</v>
      </c>
    </row>
    <row r="77" spans="27:27">
      <c r="AA77" s="1" t="s">
        <v>91</v>
      </c>
    </row>
    <row r="78" spans="27:27">
      <c r="AA78" s="1" t="s">
        <v>92</v>
      </c>
    </row>
    <row r="79" spans="27:27">
      <c r="AA79" s="1" t="s">
        <v>93</v>
      </c>
    </row>
    <row r="80" spans="27:27">
      <c r="AA80" s="1" t="s">
        <v>94</v>
      </c>
    </row>
  </sheetData>
  <mergeCells count="12">
    <mergeCell ref="C38:M38"/>
    <mergeCell ref="E14:K14"/>
    <mergeCell ref="E16:I16"/>
    <mergeCell ref="E18:I18"/>
    <mergeCell ref="E20:K20"/>
    <mergeCell ref="E22:I22"/>
    <mergeCell ref="E24:I24"/>
    <mergeCell ref="E26:G26"/>
    <mergeCell ref="E28:G28"/>
    <mergeCell ref="E30:G30"/>
    <mergeCell ref="C34:L34"/>
    <mergeCell ref="C36:N36"/>
  </mergeCells>
  <dataValidations count="3">
    <dataValidation type="list" allowBlank="1" showErrorMessage="1" error="Use the following date format when inserting a date:_x000a__x000a_Eg:  &quot;January 1, 2013&quot;" prompt="Use the following format eg: January 1, 2013" sqref="E26:G26 E28:G28">
      <formula1>"2010,2011,2012,2013"</formula1>
    </dataValidation>
    <dataValidation type="list" allowBlank="1" showErrorMessage="1" error="Use the following date format when inserting a date:_x000a__x000a_Eg:  &quot;January 1, 2013&quot;" prompt="Use the following format eg: January 1, 2013" sqref="E30:G30">
      <formula1>"2008,2009,2010,2011,2012,2013"</formula1>
    </dataValidation>
    <dataValidation type="list" allowBlank="1" showInputMessage="1" showErrorMessage="1" sqref="E14:K14">
      <formula1>LDCLIST</formula1>
    </dataValidation>
  </dataValidations>
  <hyperlinks>
    <hyperlink ref="E24" r:id="rId1"/>
  </hyperlinks>
  <pageMargins left="0.75" right="0.75" top="1" bottom="1" header="0.5" footer="0.5"/>
  <pageSetup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sheetPr>
    <pageSetUpPr fitToPage="1"/>
  </sheetPr>
  <dimension ref="A1:R74"/>
  <sheetViews>
    <sheetView showGridLines="0" topLeftCell="B1" zoomScale="95" zoomScaleNormal="95" workbookViewId="0">
      <selection activeCell="J24" sqref="J24"/>
    </sheetView>
  </sheetViews>
  <sheetFormatPr defaultRowHeight="12.75"/>
  <cols>
    <col min="1" max="1" width="7.7109375" style="72" customWidth="1"/>
    <col min="2" max="2" width="6.42578125" style="72" customWidth="1"/>
    <col min="3" max="3" width="57.7109375" style="30" customWidth="1"/>
    <col min="4" max="4" width="12.42578125" style="30" hidden="1" customWidth="1"/>
    <col min="5" max="5" width="14.42578125" style="30" customWidth="1"/>
    <col min="6" max="6" width="13.5703125" style="30" customWidth="1"/>
    <col min="7" max="7" width="14.140625" style="30" bestFit="1" customWidth="1"/>
    <col min="8" max="8" width="13" style="30" customWidth="1"/>
    <col min="9" max="9" width="12.5703125" style="30" customWidth="1"/>
    <col min="10" max="10" width="15.7109375" style="30" bestFit="1" customWidth="1"/>
    <col min="11" max="11" width="1.7109375" style="73" customWidth="1"/>
    <col min="12" max="14" width="14.28515625" style="30" customWidth="1"/>
    <col min="15" max="15" width="13.42578125" style="30" customWidth="1"/>
    <col min="16" max="16" width="10.85546875" style="30" customWidth="1"/>
    <col min="17" max="17" width="15.7109375" style="30" bestFit="1" customWidth="1"/>
    <col min="18" max="18" width="14.140625" style="30" bestFit="1" customWidth="1"/>
    <col min="19" max="16384" width="9.140625" style="30"/>
  </cols>
  <sheetData>
    <row r="1" spans="1:18" ht="18">
      <c r="A1" s="118"/>
      <c r="Q1" s="31" t="s">
        <v>131</v>
      </c>
      <c r="R1" s="32" t="str">
        <f>'LDC Info'!$E$18</f>
        <v>EB-2012-0126</v>
      </c>
    </row>
    <row r="2" spans="1:18">
      <c r="Q2" s="31" t="s">
        <v>132</v>
      </c>
      <c r="R2" s="33"/>
    </row>
    <row r="3" spans="1:18">
      <c r="Q3" s="31" t="s">
        <v>133</v>
      </c>
      <c r="R3" s="33"/>
    </row>
    <row r="4" spans="1:18">
      <c r="Q4" s="31" t="s">
        <v>134</v>
      </c>
      <c r="R4" s="33"/>
    </row>
    <row r="5" spans="1:18">
      <c r="Q5" s="31" t="s">
        <v>135</v>
      </c>
      <c r="R5" s="34"/>
    </row>
    <row r="6" spans="1:18" ht="9" customHeight="1">
      <c r="Q6" s="31"/>
      <c r="R6" s="32"/>
    </row>
    <row r="7" spans="1:18">
      <c r="Q7" s="31" t="s">
        <v>136</v>
      </c>
      <c r="R7" s="34" t="s">
        <v>1171</v>
      </c>
    </row>
    <row r="8" spans="1:18" ht="9" customHeight="1"/>
    <row r="9" spans="1:18" ht="20.25" customHeight="1">
      <c r="A9" s="1122" t="s">
        <v>272</v>
      </c>
      <c r="B9" s="1122"/>
      <c r="C9" s="1122"/>
      <c r="D9" s="1122"/>
      <c r="E9" s="1122"/>
      <c r="F9" s="1122"/>
      <c r="G9" s="1122"/>
      <c r="H9" s="1122"/>
      <c r="I9" s="1122"/>
      <c r="J9" s="1122"/>
      <c r="K9" s="1122"/>
      <c r="L9" s="1122"/>
      <c r="M9" s="1122"/>
      <c r="N9" s="1122"/>
      <c r="O9" s="1122"/>
      <c r="P9" s="1122"/>
      <c r="Q9" s="1122"/>
      <c r="R9" s="1122"/>
    </row>
    <row r="10" spans="1:18" ht="18">
      <c r="A10" s="1122" t="s">
        <v>273</v>
      </c>
      <c r="B10" s="1122"/>
      <c r="C10" s="1122"/>
      <c r="D10" s="1122"/>
      <c r="E10" s="1122"/>
      <c r="F10" s="1122"/>
      <c r="G10" s="1122"/>
      <c r="H10" s="1122"/>
      <c r="I10" s="1122"/>
      <c r="J10" s="1122"/>
      <c r="K10" s="1122"/>
      <c r="L10" s="1122"/>
      <c r="M10" s="1122"/>
      <c r="N10" s="1122"/>
      <c r="O10" s="1122"/>
      <c r="P10" s="1122"/>
      <c r="Q10" s="1122"/>
      <c r="R10" s="1122"/>
    </row>
    <row r="12" spans="1:18" ht="15">
      <c r="C12" s="74"/>
      <c r="F12" s="75"/>
      <c r="G12" s="75"/>
      <c r="H12" s="75" t="s">
        <v>274</v>
      </c>
      <c r="I12" s="76">
        <v>2013</v>
      </c>
      <c r="J12" s="77"/>
    </row>
    <row r="14" spans="1:18">
      <c r="D14" s="78"/>
      <c r="E14" s="1125" t="s">
        <v>275</v>
      </c>
      <c r="F14" s="1126"/>
      <c r="G14" s="1126"/>
      <c r="H14" s="1126"/>
      <c r="I14" s="1126"/>
      <c r="J14" s="1127"/>
      <c r="L14" s="1125" t="s">
        <v>276</v>
      </c>
      <c r="M14" s="1126"/>
      <c r="N14" s="1126"/>
      <c r="O14" s="1126"/>
      <c r="P14" s="1126"/>
      <c r="Q14" s="1127"/>
      <c r="R14" s="73"/>
    </row>
    <row r="15" spans="1:18" ht="38.25">
      <c r="A15" s="82" t="s">
        <v>277</v>
      </c>
      <c r="B15" s="83" t="s">
        <v>278</v>
      </c>
      <c r="C15" s="84" t="s">
        <v>279</v>
      </c>
      <c r="D15" s="82" t="s">
        <v>280</v>
      </c>
      <c r="E15" s="82" t="s">
        <v>281</v>
      </c>
      <c r="F15" s="82" t="s">
        <v>326</v>
      </c>
      <c r="G15" s="82" t="s">
        <v>327</v>
      </c>
      <c r="H15" s="83" t="s">
        <v>282</v>
      </c>
      <c r="I15" s="83" t="s">
        <v>283</v>
      </c>
      <c r="J15" s="82" t="s">
        <v>284</v>
      </c>
      <c r="K15" s="85"/>
      <c r="L15" s="86" t="s">
        <v>281</v>
      </c>
      <c r="M15" s="82" t="s">
        <v>326</v>
      </c>
      <c r="N15" s="82" t="s">
        <v>327</v>
      </c>
      <c r="O15" s="87" t="s">
        <v>282</v>
      </c>
      <c r="P15" s="87" t="s">
        <v>283</v>
      </c>
      <c r="Q15" s="88" t="s">
        <v>284</v>
      </c>
      <c r="R15" s="82" t="s">
        <v>285</v>
      </c>
    </row>
    <row r="16" spans="1:18">
      <c r="A16" s="89">
        <v>12</v>
      </c>
      <c r="B16" s="89">
        <v>1611</v>
      </c>
      <c r="C16" s="90" t="s">
        <v>286</v>
      </c>
      <c r="D16" s="91"/>
      <c r="E16" s="47">
        <f>'App.2-B_Fixed Asset Con''ty 2012'!H16</f>
        <v>2651922.5900000003</v>
      </c>
      <c r="F16" s="47">
        <v>275347</v>
      </c>
      <c r="G16" s="47">
        <f>E16+F16</f>
        <v>2927269.5900000003</v>
      </c>
      <c r="H16" s="47">
        <v>308450.21999999997</v>
      </c>
      <c r="I16" s="47"/>
      <c r="J16" s="92">
        <f>G16+H16+I16</f>
        <v>3235719.8100000005</v>
      </c>
      <c r="K16" s="93"/>
      <c r="L16" s="116">
        <f>'App.2-B_Fixed Asset Con''ty 2012'!M16</f>
        <v>-2124828.844</v>
      </c>
      <c r="M16" s="116">
        <v>-81979</v>
      </c>
      <c r="N16" s="116">
        <f>L16+M16</f>
        <v>-2206807.844</v>
      </c>
      <c r="O16" s="116">
        <f>-'App.2-CG_CGAAP_DepExp_2013'!M16</f>
        <v>-310122.12400000001</v>
      </c>
      <c r="P16" s="116"/>
      <c r="Q16" s="92">
        <f>N16+O16+P16</f>
        <v>-2516929.9679999999</v>
      </c>
      <c r="R16" s="94">
        <f t="shared" ref="R16:R53" si="0">J16+Q16</f>
        <v>718789.84200000064</v>
      </c>
    </row>
    <row r="17" spans="1:18">
      <c r="A17" s="89" t="s">
        <v>287</v>
      </c>
      <c r="B17" s="89">
        <v>1612</v>
      </c>
      <c r="C17" s="90" t="s">
        <v>288</v>
      </c>
      <c r="D17" s="91"/>
      <c r="E17" s="47">
        <f>'App.2-B_Fixed Asset Con''ty 2012'!H17</f>
        <v>0</v>
      </c>
      <c r="F17" s="47"/>
      <c r="G17" s="47">
        <f t="shared" ref="G17:G53" si="1">E17+F17</f>
        <v>0</v>
      </c>
      <c r="H17" s="47"/>
      <c r="I17" s="47"/>
      <c r="J17" s="92">
        <f t="shared" ref="J17:J53" si="2">G17+H17+I17</f>
        <v>0</v>
      </c>
      <c r="K17" s="93"/>
      <c r="L17" s="116">
        <f>'App.2-B_Fixed Asset Con''ty 2012'!M17</f>
        <v>0</v>
      </c>
      <c r="M17" s="116"/>
      <c r="N17" s="116">
        <f t="shared" ref="N17:N53" si="3">L17+M17</f>
        <v>0</v>
      </c>
      <c r="O17" s="116"/>
      <c r="P17" s="116"/>
      <c r="Q17" s="92">
        <f t="shared" ref="Q17:Q53" si="4">N17+O17+P17</f>
        <v>0</v>
      </c>
      <c r="R17" s="94">
        <f t="shared" si="0"/>
        <v>0</v>
      </c>
    </row>
    <row r="18" spans="1:18">
      <c r="A18" s="95" t="s">
        <v>289</v>
      </c>
      <c r="B18" s="95">
        <v>1805</v>
      </c>
      <c r="C18" s="96" t="s">
        <v>163</v>
      </c>
      <c r="D18" s="91"/>
      <c r="E18" s="47">
        <f>'App.2-B_Fixed Asset Con''ty 2012'!H18</f>
        <v>858551.46</v>
      </c>
      <c r="F18" s="47"/>
      <c r="G18" s="47">
        <f t="shared" si="1"/>
        <v>858551.46</v>
      </c>
      <c r="H18" s="47">
        <v>10699.21</v>
      </c>
      <c r="I18" s="47"/>
      <c r="J18" s="92">
        <f t="shared" si="2"/>
        <v>869250.66999999993</v>
      </c>
      <c r="K18" s="93"/>
      <c r="L18" s="116">
        <f>'App.2-B_Fixed Asset Con''ty 2012'!M18</f>
        <v>0</v>
      </c>
      <c r="M18" s="116"/>
      <c r="N18" s="116">
        <f t="shared" si="3"/>
        <v>0</v>
      </c>
      <c r="O18" s="116"/>
      <c r="P18" s="116"/>
      <c r="Q18" s="92">
        <f t="shared" si="4"/>
        <v>0</v>
      </c>
      <c r="R18" s="94">
        <f t="shared" si="0"/>
        <v>869250.66999999993</v>
      </c>
    </row>
    <row r="19" spans="1:18">
      <c r="A19" s="89">
        <v>47</v>
      </c>
      <c r="B19" s="89">
        <v>1808</v>
      </c>
      <c r="C19" s="97" t="s">
        <v>162</v>
      </c>
      <c r="D19" s="91"/>
      <c r="E19" s="47">
        <f>'App.2-B_Fixed Asset Con''ty 2012'!H19</f>
        <v>9230592.6199999992</v>
      </c>
      <c r="F19" s="47"/>
      <c r="G19" s="47">
        <f t="shared" si="1"/>
        <v>9230592.6199999992</v>
      </c>
      <c r="H19" s="47"/>
      <c r="I19" s="47"/>
      <c r="J19" s="92">
        <f t="shared" si="2"/>
        <v>9230592.6199999992</v>
      </c>
      <c r="K19" s="93"/>
      <c r="L19" s="116">
        <f>'App.2-B_Fixed Asset Con''ty 2012'!M19</f>
        <v>-4464729.1564501766</v>
      </c>
      <c r="M19" s="116"/>
      <c r="N19" s="116">
        <f t="shared" si="3"/>
        <v>-4464729.1564501766</v>
      </c>
      <c r="O19" s="116">
        <f>-'App.2-CG_CGAAP_DepExp_2013'!M19</f>
        <v>-235990.15415234448</v>
      </c>
      <c r="P19" s="116"/>
      <c r="Q19" s="92">
        <f t="shared" si="4"/>
        <v>-4700719.3106025215</v>
      </c>
      <c r="R19" s="94">
        <f t="shared" si="0"/>
        <v>4529873.3093974777</v>
      </c>
    </row>
    <row r="20" spans="1:18">
      <c r="A20" s="89">
        <v>47</v>
      </c>
      <c r="B20" s="89">
        <v>1808</v>
      </c>
      <c r="C20" s="97" t="s">
        <v>290</v>
      </c>
      <c r="D20" s="91"/>
      <c r="E20" s="47">
        <f>'App.2-B_Fixed Asset Con''ty 2012'!H20</f>
        <v>898764.54999999993</v>
      </c>
      <c r="F20" s="47"/>
      <c r="G20" s="47">
        <f t="shared" si="1"/>
        <v>898764.54999999993</v>
      </c>
      <c r="H20" s="47">
        <v>1036536</v>
      </c>
      <c r="I20" s="47"/>
      <c r="J20" s="92">
        <f t="shared" si="2"/>
        <v>1935300.5499999998</v>
      </c>
      <c r="K20" s="93"/>
      <c r="L20" s="116">
        <f>'App.2-B_Fixed Asset Con''ty 2012'!M20</f>
        <v>-159931.37</v>
      </c>
      <c r="M20" s="116"/>
      <c r="N20" s="116">
        <f t="shared" si="3"/>
        <v>-159931.37</v>
      </c>
      <c r="O20" s="116">
        <f>-'App.2-CG_CGAAP_DepExp_2013'!M20</f>
        <v>-88555.168764957256</v>
      </c>
      <c r="P20" s="116"/>
      <c r="Q20" s="92">
        <f t="shared" si="4"/>
        <v>-248486.53876495725</v>
      </c>
      <c r="R20" s="94">
        <f t="shared" si="0"/>
        <v>1686814.0112350425</v>
      </c>
    </row>
    <row r="21" spans="1:18">
      <c r="A21" s="89">
        <v>47</v>
      </c>
      <c r="B21" s="89">
        <v>1815</v>
      </c>
      <c r="C21" s="97" t="s">
        <v>291</v>
      </c>
      <c r="D21" s="91"/>
      <c r="E21" s="47">
        <f>'App.2-B_Fixed Asset Con''ty 2012'!H21</f>
        <v>0</v>
      </c>
      <c r="F21" s="47"/>
      <c r="G21" s="47">
        <f t="shared" si="1"/>
        <v>0</v>
      </c>
      <c r="H21" s="47"/>
      <c r="I21" s="47"/>
      <c r="J21" s="92">
        <f t="shared" si="2"/>
        <v>0</v>
      </c>
      <c r="K21" s="93"/>
      <c r="L21" s="116">
        <f>'App.2-B_Fixed Asset Con''ty 2012'!M21</f>
        <v>0</v>
      </c>
      <c r="M21" s="116"/>
      <c r="N21" s="116">
        <f t="shared" si="3"/>
        <v>0</v>
      </c>
      <c r="O21" s="116"/>
      <c r="P21" s="116"/>
      <c r="Q21" s="92">
        <f t="shared" si="4"/>
        <v>0</v>
      </c>
      <c r="R21" s="94">
        <f t="shared" si="0"/>
        <v>0</v>
      </c>
    </row>
    <row r="22" spans="1:18">
      <c r="A22" s="89">
        <v>47</v>
      </c>
      <c r="B22" s="89">
        <v>1820</v>
      </c>
      <c r="C22" s="90" t="s">
        <v>292</v>
      </c>
      <c r="D22" s="91"/>
      <c r="E22" s="47">
        <f>'App.2-B_Fixed Asset Con''ty 2012'!H22</f>
        <v>17547705.690000001</v>
      </c>
      <c r="F22" s="47"/>
      <c r="G22" s="47">
        <f t="shared" si="1"/>
        <v>17547705.690000001</v>
      </c>
      <c r="H22" s="47">
        <v>2812997.2160051772</v>
      </c>
      <c r="I22" s="47"/>
      <c r="J22" s="92">
        <f t="shared" si="2"/>
        <v>20360702.906005178</v>
      </c>
      <c r="K22" s="93"/>
      <c r="L22" s="116">
        <f>'App.2-B_Fixed Asset Con''ty 2012'!M22</f>
        <v>-11226787.927149104</v>
      </c>
      <c r="M22" s="116"/>
      <c r="N22" s="116">
        <f t="shared" si="3"/>
        <v>-11226787.927149104</v>
      </c>
      <c r="O22" s="116">
        <f>-'App.2-CG_CGAAP_DepExp_2013'!M22-'App.2-CG_CGAAP_DepExp_2013'!M23-'App.2-CG_CGAAP_DepExp_2013'!M24</f>
        <v>-521863.53008161747</v>
      </c>
      <c r="P22" s="116"/>
      <c r="Q22" s="92">
        <f t="shared" si="4"/>
        <v>-11748651.457230721</v>
      </c>
      <c r="R22" s="94">
        <f t="shared" si="0"/>
        <v>8612051.448774457</v>
      </c>
    </row>
    <row r="23" spans="1:18">
      <c r="A23" s="89">
        <v>47</v>
      </c>
      <c r="B23" s="89">
        <v>1825</v>
      </c>
      <c r="C23" s="97" t="s">
        <v>293</v>
      </c>
      <c r="D23" s="91"/>
      <c r="E23" s="47">
        <f>'App.2-B_Fixed Asset Con''ty 2012'!H23</f>
        <v>0</v>
      </c>
      <c r="F23" s="47"/>
      <c r="G23" s="47">
        <f t="shared" si="1"/>
        <v>0</v>
      </c>
      <c r="H23" s="47"/>
      <c r="I23" s="47"/>
      <c r="J23" s="92">
        <f t="shared" si="2"/>
        <v>0</v>
      </c>
      <c r="K23" s="93"/>
      <c r="L23" s="116">
        <f>'App.2-B_Fixed Asset Con''ty 2012'!M23</f>
        <v>0</v>
      </c>
      <c r="M23" s="116"/>
      <c r="N23" s="116">
        <f t="shared" si="3"/>
        <v>0</v>
      </c>
      <c r="O23" s="116"/>
      <c r="P23" s="116"/>
      <c r="Q23" s="92">
        <f t="shared" si="4"/>
        <v>0</v>
      </c>
      <c r="R23" s="94">
        <f t="shared" si="0"/>
        <v>0</v>
      </c>
    </row>
    <row r="24" spans="1:18">
      <c r="A24" s="89">
        <v>47</v>
      </c>
      <c r="B24" s="89">
        <v>1830</v>
      </c>
      <c r="C24" s="97" t="s">
        <v>146</v>
      </c>
      <c r="D24" s="91"/>
      <c r="E24" s="47">
        <f>'App.2-B_Fixed Asset Con''ty 2012'!H24</f>
        <v>19257979.789999999</v>
      </c>
      <c r="F24" s="47"/>
      <c r="G24" s="47">
        <f t="shared" si="1"/>
        <v>19257979.789999999</v>
      </c>
      <c r="H24" s="47">
        <v>1537422.6544616111</v>
      </c>
      <c r="I24" s="47"/>
      <c r="J24" s="92">
        <f t="shared" si="2"/>
        <v>20795402.44446161</v>
      </c>
      <c r="K24" s="93"/>
      <c r="L24" s="116">
        <f>'App.2-B_Fixed Asset Con''ty 2012'!M24</f>
        <v>-9065972.4600634295</v>
      </c>
      <c r="M24" s="116"/>
      <c r="N24" s="116">
        <f t="shared" si="3"/>
        <v>-9065972.4600634295</v>
      </c>
      <c r="O24" s="116">
        <f>-'App.2-CG_CGAAP_DepExp_2013'!M26</f>
        <v>-376822.38872792566</v>
      </c>
      <c r="P24" s="116"/>
      <c r="Q24" s="92">
        <f t="shared" si="4"/>
        <v>-9442794.8487913553</v>
      </c>
      <c r="R24" s="94">
        <f t="shared" si="0"/>
        <v>11352607.595670255</v>
      </c>
    </row>
    <row r="25" spans="1:18">
      <c r="A25" s="89">
        <v>47</v>
      </c>
      <c r="B25" s="89">
        <v>1835</v>
      </c>
      <c r="C25" s="97" t="s">
        <v>152</v>
      </c>
      <c r="D25" s="91"/>
      <c r="E25" s="47">
        <f>'App.2-B_Fixed Asset Con''ty 2012'!H25</f>
        <v>42025727.919999994</v>
      </c>
      <c r="F25" s="47"/>
      <c r="G25" s="47">
        <f t="shared" si="1"/>
        <v>42025727.919999994</v>
      </c>
      <c r="H25" s="47">
        <v>1532555.7902529691</v>
      </c>
      <c r="I25" s="47"/>
      <c r="J25" s="92">
        <f t="shared" si="2"/>
        <v>43558283.710252963</v>
      </c>
      <c r="K25" s="93"/>
      <c r="L25" s="116">
        <f>'App.2-B_Fixed Asset Con''ty 2012'!M25</f>
        <v>-28313636.480870314</v>
      </c>
      <c r="M25" s="116"/>
      <c r="N25" s="116">
        <f t="shared" si="3"/>
        <v>-28313636.480870314</v>
      </c>
      <c r="O25" s="116">
        <f>-'App.2-CG_CGAAP_DepExp_2013'!M27</f>
        <v>-663373.01498261676</v>
      </c>
      <c r="P25" s="116"/>
      <c r="Q25" s="92">
        <f t="shared" si="4"/>
        <v>-28977009.495852932</v>
      </c>
      <c r="R25" s="94">
        <f t="shared" si="0"/>
        <v>14581274.214400031</v>
      </c>
    </row>
    <row r="26" spans="1:18">
      <c r="A26" s="89">
        <v>47</v>
      </c>
      <c r="B26" s="89">
        <v>1840</v>
      </c>
      <c r="C26" s="97" t="s">
        <v>294</v>
      </c>
      <c r="D26" s="91"/>
      <c r="E26" s="47">
        <f>'App.2-B_Fixed Asset Con''ty 2012'!H26</f>
        <v>20852719.959999997</v>
      </c>
      <c r="F26" s="47"/>
      <c r="G26" s="47">
        <f t="shared" si="1"/>
        <v>20852719.959999997</v>
      </c>
      <c r="H26" s="47">
        <v>420638.96937380987</v>
      </c>
      <c r="I26" s="47"/>
      <c r="J26" s="92">
        <f t="shared" si="2"/>
        <v>21273358.929373808</v>
      </c>
      <c r="K26" s="93"/>
      <c r="L26" s="116">
        <f>'App.2-B_Fixed Asset Con''ty 2012'!M26</f>
        <v>-12176289.314243242</v>
      </c>
      <c r="M26" s="116"/>
      <c r="N26" s="116">
        <f t="shared" si="3"/>
        <v>-12176289.314243242</v>
      </c>
      <c r="O26" s="116">
        <f>-'App.2-CG_CGAAP_DepExp_2013'!M28</f>
        <v>-245531.52139389707</v>
      </c>
      <c r="P26" s="116"/>
      <c r="Q26" s="92">
        <f t="shared" si="4"/>
        <v>-12421820.835637139</v>
      </c>
      <c r="R26" s="94">
        <f t="shared" si="0"/>
        <v>8851538.093736669</v>
      </c>
    </row>
    <row r="27" spans="1:18">
      <c r="A27" s="89">
        <v>47</v>
      </c>
      <c r="B27" s="89">
        <v>1845</v>
      </c>
      <c r="C27" s="97" t="s">
        <v>295</v>
      </c>
      <c r="D27" s="91"/>
      <c r="E27" s="47">
        <f>'App.2-B_Fixed Asset Con''ty 2012'!H27</f>
        <v>21270551.890000004</v>
      </c>
      <c r="F27" s="47"/>
      <c r="G27" s="47">
        <f t="shared" si="1"/>
        <v>21270551.890000004</v>
      </c>
      <c r="H27" s="47">
        <v>497561.55939848791</v>
      </c>
      <c r="I27" s="47"/>
      <c r="J27" s="92">
        <f t="shared" si="2"/>
        <v>21768113.449398492</v>
      </c>
      <c r="K27" s="93"/>
      <c r="L27" s="116">
        <f>'App.2-B_Fixed Asset Con''ty 2012'!M27</f>
        <v>-11662374.439073034</v>
      </c>
      <c r="M27" s="116"/>
      <c r="N27" s="116">
        <f t="shared" si="3"/>
        <v>-11662374.439073034</v>
      </c>
      <c r="O27" s="116">
        <f>-'App.2-CG_CGAAP_DepExp_2013'!M29</f>
        <v>-425924.84497877822</v>
      </c>
      <c r="P27" s="116"/>
      <c r="Q27" s="92">
        <f t="shared" si="4"/>
        <v>-12088299.284051811</v>
      </c>
      <c r="R27" s="94">
        <f t="shared" si="0"/>
        <v>9679814.1653466802</v>
      </c>
    </row>
    <row r="28" spans="1:18">
      <c r="A28" s="89">
        <v>47</v>
      </c>
      <c r="B28" s="89">
        <v>1850</v>
      </c>
      <c r="C28" s="97" t="s">
        <v>154</v>
      </c>
      <c r="D28" s="91"/>
      <c r="E28" s="47">
        <f>'App.2-B_Fixed Asset Con''ty 2012'!H28</f>
        <v>29393619.989999991</v>
      </c>
      <c r="F28" s="47"/>
      <c r="G28" s="47">
        <f t="shared" si="1"/>
        <v>29393619.989999991</v>
      </c>
      <c r="H28" s="47">
        <v>1296640.6397765677</v>
      </c>
      <c r="I28" s="47"/>
      <c r="J28" s="92">
        <f t="shared" si="2"/>
        <v>30690260.62977656</v>
      </c>
      <c r="K28" s="93"/>
      <c r="L28" s="116">
        <f>'App.2-B_Fixed Asset Con''ty 2012'!M28</f>
        <v>-17956843.748284612</v>
      </c>
      <c r="M28" s="116"/>
      <c r="N28" s="116">
        <f t="shared" si="3"/>
        <v>-17956843.748284612</v>
      </c>
      <c r="O28" s="116">
        <f>-'App.2-CG_CGAAP_DepExp_2013'!M30</f>
        <v>-484623.33771702851</v>
      </c>
      <c r="P28" s="116"/>
      <c r="Q28" s="92">
        <f t="shared" si="4"/>
        <v>-18441467.086001642</v>
      </c>
      <c r="R28" s="94">
        <f t="shared" si="0"/>
        <v>12248793.543774918</v>
      </c>
    </row>
    <row r="29" spans="1:18">
      <c r="A29" s="89">
        <v>47</v>
      </c>
      <c r="B29" s="89">
        <v>1855</v>
      </c>
      <c r="C29" s="97" t="s">
        <v>155</v>
      </c>
      <c r="D29" s="91"/>
      <c r="E29" s="47">
        <f>'App.2-B_Fixed Asset Con''ty 2012'!H29</f>
        <v>12342929.800000001</v>
      </c>
      <c r="F29" s="47"/>
      <c r="G29" s="47">
        <f t="shared" si="1"/>
        <v>12342929.800000001</v>
      </c>
      <c r="H29" s="47">
        <v>907301.27409810561</v>
      </c>
      <c r="I29" s="47"/>
      <c r="J29" s="92">
        <f t="shared" si="2"/>
        <v>13250231.074098106</v>
      </c>
      <c r="K29" s="93"/>
      <c r="L29" s="116">
        <f>'App.2-B_Fixed Asset Con''ty 2012'!M29</f>
        <v>-6500462.1287088078</v>
      </c>
      <c r="M29" s="116"/>
      <c r="N29" s="116">
        <f t="shared" si="3"/>
        <v>-6500462.1287088078</v>
      </c>
      <c r="O29" s="116">
        <f>-'App.2-CG_CGAAP_DepExp_2013'!M31</f>
        <v>-219025.34326298372</v>
      </c>
      <c r="P29" s="116"/>
      <c r="Q29" s="92">
        <f t="shared" si="4"/>
        <v>-6719487.4719717912</v>
      </c>
      <c r="R29" s="94">
        <f t="shared" si="0"/>
        <v>6530743.6021263152</v>
      </c>
    </row>
    <row r="30" spans="1:18">
      <c r="A30" s="89">
        <v>47</v>
      </c>
      <c r="B30" s="89">
        <v>1860</v>
      </c>
      <c r="C30" s="97" t="s">
        <v>147</v>
      </c>
      <c r="D30" s="91"/>
      <c r="E30" s="47">
        <f>'App.2-B_Fixed Asset Con''ty 2012'!H30</f>
        <v>8936259.0999999996</v>
      </c>
      <c r="F30" s="47">
        <v>-7076701.2975999974</v>
      </c>
      <c r="G30" s="47">
        <f t="shared" si="1"/>
        <v>1859557.8024000023</v>
      </c>
      <c r="H30" s="47"/>
      <c r="I30" s="47"/>
      <c r="J30" s="92">
        <f t="shared" si="2"/>
        <v>1859557.8024000023</v>
      </c>
      <c r="K30" s="93"/>
      <c r="L30" s="116">
        <f>'App.2-B_Fixed Asset Con''ty 2012'!M30</f>
        <v>-6817821.9762857137</v>
      </c>
      <c r="M30" s="116">
        <v>5868346.9527874291</v>
      </c>
      <c r="N30" s="116">
        <f t="shared" si="3"/>
        <v>-949475.02349828463</v>
      </c>
      <c r="O30" s="116">
        <f>-'App.2-CG_CGAAP_DepExp_2013'!M32-'App.2-CG_CGAAP_DepExp_2013'!M35-'App.2-CG_CGAAP_DepExp_2013'!M36</f>
        <v>-44089.966880000276</v>
      </c>
      <c r="P30" s="116"/>
      <c r="Q30" s="92">
        <f t="shared" si="4"/>
        <v>-993564.99037828494</v>
      </c>
      <c r="R30" s="94">
        <f t="shared" si="0"/>
        <v>865992.81202171731</v>
      </c>
    </row>
    <row r="31" spans="1:18">
      <c r="A31" s="95">
        <v>47</v>
      </c>
      <c r="B31" s="95">
        <v>1860</v>
      </c>
      <c r="C31" s="96" t="s">
        <v>296</v>
      </c>
      <c r="D31" s="91"/>
      <c r="E31" s="47">
        <f>'App.2-B_Fixed Asset Con''ty 2012'!H31</f>
        <v>0</v>
      </c>
      <c r="F31" s="47">
        <v>6523624</v>
      </c>
      <c r="G31" s="47">
        <f t="shared" si="1"/>
        <v>6523624</v>
      </c>
      <c r="H31" s="47">
        <v>132791.12410948519</v>
      </c>
      <c r="I31" s="47"/>
      <c r="J31" s="92">
        <f t="shared" si="2"/>
        <v>6656415.1241094852</v>
      </c>
      <c r="K31" s="93"/>
      <c r="L31" s="116">
        <f>'App.2-B_Fixed Asset Con''ty 2012'!M31</f>
        <v>0</v>
      </c>
      <c r="M31" s="116">
        <v>-1047818</v>
      </c>
      <c r="N31" s="116">
        <f t="shared" si="3"/>
        <v>-1047818</v>
      </c>
      <c r="O31" s="116">
        <f>-'App.2-CG_CGAAP_DepExp_2013'!M34</f>
        <v>-439334.63413698279</v>
      </c>
      <c r="P31" s="116"/>
      <c r="Q31" s="92">
        <f t="shared" si="4"/>
        <v>-1487152.6341369827</v>
      </c>
      <c r="R31" s="94">
        <f t="shared" si="0"/>
        <v>5169262.489972502</v>
      </c>
    </row>
    <row r="32" spans="1:18">
      <c r="A32" s="95" t="s">
        <v>289</v>
      </c>
      <c r="B32" s="95">
        <v>1905</v>
      </c>
      <c r="C32" s="96" t="s">
        <v>163</v>
      </c>
      <c r="D32" s="91"/>
      <c r="E32" s="47">
        <f>'App.2-B_Fixed Asset Con''ty 2012'!H32</f>
        <v>0</v>
      </c>
      <c r="F32" s="47"/>
      <c r="G32" s="47">
        <f t="shared" si="1"/>
        <v>0</v>
      </c>
      <c r="H32" s="47"/>
      <c r="I32" s="47"/>
      <c r="J32" s="92">
        <f t="shared" si="2"/>
        <v>0</v>
      </c>
      <c r="K32" s="93"/>
      <c r="L32" s="116">
        <f>'App.2-B_Fixed Asset Con''ty 2012'!M32</f>
        <v>0</v>
      </c>
      <c r="M32" s="116"/>
      <c r="N32" s="116">
        <f t="shared" si="3"/>
        <v>0</v>
      </c>
      <c r="O32" s="116"/>
      <c r="P32" s="116"/>
      <c r="Q32" s="92">
        <f t="shared" si="4"/>
        <v>0</v>
      </c>
      <c r="R32" s="94">
        <f t="shared" si="0"/>
        <v>0</v>
      </c>
    </row>
    <row r="33" spans="1:18">
      <c r="A33" s="89">
        <v>47</v>
      </c>
      <c r="B33" s="89">
        <v>1908</v>
      </c>
      <c r="C33" s="97" t="s">
        <v>297</v>
      </c>
      <c r="D33" s="91"/>
      <c r="E33" s="47">
        <f>'App.2-B_Fixed Asset Con''ty 2012'!H33</f>
        <v>0</v>
      </c>
      <c r="F33" s="47"/>
      <c r="G33" s="47">
        <f t="shared" si="1"/>
        <v>0</v>
      </c>
      <c r="H33" s="47"/>
      <c r="I33" s="47"/>
      <c r="J33" s="92">
        <f t="shared" si="2"/>
        <v>0</v>
      </c>
      <c r="K33" s="93"/>
      <c r="L33" s="116">
        <f>'App.2-B_Fixed Asset Con''ty 2012'!M33</f>
        <v>0</v>
      </c>
      <c r="M33" s="116"/>
      <c r="N33" s="116">
        <f t="shared" si="3"/>
        <v>0</v>
      </c>
      <c r="O33" s="116"/>
      <c r="P33" s="116"/>
      <c r="Q33" s="92">
        <f t="shared" si="4"/>
        <v>0</v>
      </c>
      <c r="R33" s="94">
        <f t="shared" si="0"/>
        <v>0</v>
      </c>
    </row>
    <row r="34" spans="1:18">
      <c r="A34" s="89">
        <v>13</v>
      </c>
      <c r="B34" s="89">
        <v>1910</v>
      </c>
      <c r="C34" s="97" t="s">
        <v>298</v>
      </c>
      <c r="D34" s="91"/>
      <c r="E34" s="47">
        <f>'App.2-B_Fixed Asset Con''ty 2012'!H34</f>
        <v>0</v>
      </c>
      <c r="F34" s="47"/>
      <c r="G34" s="47">
        <f t="shared" si="1"/>
        <v>0</v>
      </c>
      <c r="H34" s="47"/>
      <c r="I34" s="47"/>
      <c r="J34" s="92">
        <f t="shared" si="2"/>
        <v>0</v>
      </c>
      <c r="K34" s="93"/>
      <c r="L34" s="116">
        <f>'App.2-B_Fixed Asset Con''ty 2012'!M34</f>
        <v>0</v>
      </c>
      <c r="M34" s="116"/>
      <c r="N34" s="116">
        <f t="shared" si="3"/>
        <v>0</v>
      </c>
      <c r="O34" s="116"/>
      <c r="P34" s="116"/>
      <c r="Q34" s="92">
        <f t="shared" si="4"/>
        <v>0</v>
      </c>
      <c r="R34" s="94">
        <f t="shared" si="0"/>
        <v>0</v>
      </c>
    </row>
    <row r="35" spans="1:18">
      <c r="A35" s="89">
        <v>8</v>
      </c>
      <c r="B35" s="89">
        <v>1915</v>
      </c>
      <c r="C35" s="97" t="s">
        <v>299</v>
      </c>
      <c r="D35" s="91"/>
      <c r="E35" s="47">
        <f>'App.2-B_Fixed Asset Con''ty 2012'!H35</f>
        <v>44314.559999999998</v>
      </c>
      <c r="F35" s="47"/>
      <c r="G35" s="47">
        <f t="shared" si="1"/>
        <v>44314.559999999998</v>
      </c>
      <c r="H35" s="47"/>
      <c r="I35" s="47"/>
      <c r="J35" s="92">
        <f t="shared" si="2"/>
        <v>44314.559999999998</v>
      </c>
      <c r="K35" s="93"/>
      <c r="L35" s="116">
        <f>'App.2-B_Fixed Asset Con''ty 2012'!M35</f>
        <v>-41713.578499999989</v>
      </c>
      <c r="M35" s="116"/>
      <c r="N35" s="116">
        <f t="shared" si="3"/>
        <v>-41713.578499999989</v>
      </c>
      <c r="O35" s="116">
        <f>-'App.2-CG_CGAAP_DepExp_2013'!M40</f>
        <v>-938.51849999999945</v>
      </c>
      <c r="P35" s="116"/>
      <c r="Q35" s="92">
        <f t="shared" si="4"/>
        <v>-42652.096999999987</v>
      </c>
      <c r="R35" s="94">
        <f t="shared" si="0"/>
        <v>1662.4630000000107</v>
      </c>
    </row>
    <row r="36" spans="1:18">
      <c r="A36" s="89">
        <v>8</v>
      </c>
      <c r="B36" s="89">
        <v>1915</v>
      </c>
      <c r="C36" s="97" t="s">
        <v>300</v>
      </c>
      <c r="D36" s="91"/>
      <c r="E36" s="47">
        <f>'App.2-B_Fixed Asset Con''ty 2012'!H36</f>
        <v>0</v>
      </c>
      <c r="F36" s="47"/>
      <c r="G36" s="47">
        <f t="shared" si="1"/>
        <v>0</v>
      </c>
      <c r="H36" s="47"/>
      <c r="I36" s="47"/>
      <c r="J36" s="92">
        <f t="shared" si="2"/>
        <v>0</v>
      </c>
      <c r="K36" s="93"/>
      <c r="L36" s="116">
        <f>'App.2-B_Fixed Asset Con''ty 2012'!M36</f>
        <v>0</v>
      </c>
      <c r="M36" s="116"/>
      <c r="N36" s="116">
        <f t="shared" si="3"/>
        <v>0</v>
      </c>
      <c r="O36" s="116"/>
      <c r="P36" s="116"/>
      <c r="Q36" s="92">
        <f t="shared" si="4"/>
        <v>0</v>
      </c>
      <c r="R36" s="94">
        <f t="shared" si="0"/>
        <v>0</v>
      </c>
    </row>
    <row r="37" spans="1:18">
      <c r="A37" s="89">
        <v>50</v>
      </c>
      <c r="B37" s="89">
        <v>1920</v>
      </c>
      <c r="C37" s="97" t="s">
        <v>301</v>
      </c>
      <c r="D37" s="91"/>
      <c r="E37" s="47">
        <f>'App.2-B_Fixed Asset Con''ty 2012'!H37</f>
        <v>162987.72</v>
      </c>
      <c r="F37" s="47">
        <v>204815</v>
      </c>
      <c r="G37" s="47">
        <f t="shared" si="1"/>
        <v>367802.72</v>
      </c>
      <c r="H37" s="47">
        <v>364328</v>
      </c>
      <c r="I37" s="47"/>
      <c r="J37" s="92">
        <f t="shared" si="2"/>
        <v>732130.72</v>
      </c>
      <c r="K37" s="93"/>
      <c r="L37" s="116">
        <f>'App.2-B_Fixed Asset Con''ty 2012'!M37</f>
        <v>-47096.114000000001</v>
      </c>
      <c r="M37" s="116">
        <v>-101801</v>
      </c>
      <c r="N37" s="116">
        <f t="shared" si="3"/>
        <v>-148897.114</v>
      </c>
      <c r="O37" s="116">
        <f>-'App.2-CG_CGAAP_DepExp_2013'!M42</f>
        <v>-109993.41600000001</v>
      </c>
      <c r="P37" s="116"/>
      <c r="Q37" s="92">
        <f t="shared" si="4"/>
        <v>-258890.53000000003</v>
      </c>
      <c r="R37" s="94">
        <f t="shared" si="0"/>
        <v>473240.18999999994</v>
      </c>
    </row>
    <row r="38" spans="1:18">
      <c r="A38" s="89">
        <v>45</v>
      </c>
      <c r="B38" s="98">
        <v>1920</v>
      </c>
      <c r="C38" s="90" t="s">
        <v>302</v>
      </c>
      <c r="D38" s="91"/>
      <c r="E38" s="47">
        <f>'App.2-B_Fixed Asset Con''ty 2012'!H38</f>
        <v>0</v>
      </c>
      <c r="F38" s="47"/>
      <c r="G38" s="47">
        <f t="shared" si="1"/>
        <v>0</v>
      </c>
      <c r="H38" s="47"/>
      <c r="I38" s="47"/>
      <c r="J38" s="92">
        <f t="shared" si="2"/>
        <v>0</v>
      </c>
      <c r="K38" s="93"/>
      <c r="L38" s="116">
        <f>'App.2-B_Fixed Asset Con''ty 2012'!M38</f>
        <v>0</v>
      </c>
      <c r="M38" s="116"/>
      <c r="N38" s="116">
        <f t="shared" si="3"/>
        <v>0</v>
      </c>
      <c r="O38" s="116"/>
      <c r="P38" s="116"/>
      <c r="Q38" s="92">
        <f t="shared" si="4"/>
        <v>0</v>
      </c>
      <c r="R38" s="94">
        <f t="shared" si="0"/>
        <v>0</v>
      </c>
    </row>
    <row r="39" spans="1:18">
      <c r="A39" s="89">
        <v>45.1</v>
      </c>
      <c r="B39" s="98">
        <v>1920</v>
      </c>
      <c r="C39" s="90" t="s">
        <v>303</v>
      </c>
      <c r="D39" s="91"/>
      <c r="E39" s="47">
        <f>'App.2-B_Fixed Asset Con''ty 2012'!H39</f>
        <v>0</v>
      </c>
      <c r="F39" s="47"/>
      <c r="G39" s="47">
        <f t="shared" si="1"/>
        <v>0</v>
      </c>
      <c r="H39" s="47"/>
      <c r="I39" s="47"/>
      <c r="J39" s="92">
        <f t="shared" si="2"/>
        <v>0</v>
      </c>
      <c r="K39" s="93"/>
      <c r="L39" s="116">
        <f>'App.2-B_Fixed Asset Con''ty 2012'!M39</f>
        <v>0</v>
      </c>
      <c r="M39" s="116"/>
      <c r="N39" s="116">
        <f t="shared" si="3"/>
        <v>0</v>
      </c>
      <c r="O39" s="116"/>
      <c r="P39" s="116"/>
      <c r="Q39" s="92">
        <f t="shared" si="4"/>
        <v>0</v>
      </c>
      <c r="R39" s="94">
        <f t="shared" si="0"/>
        <v>0</v>
      </c>
    </row>
    <row r="40" spans="1:18">
      <c r="A40" s="89">
        <v>10</v>
      </c>
      <c r="B40" s="89">
        <v>1930</v>
      </c>
      <c r="C40" s="97" t="s">
        <v>304</v>
      </c>
      <c r="D40" s="91"/>
      <c r="E40" s="47">
        <f>'App.2-B_Fixed Asset Con''ty 2012'!H40</f>
        <v>5258637.7600000007</v>
      </c>
      <c r="F40" s="47"/>
      <c r="G40" s="47">
        <f t="shared" si="1"/>
        <v>5258637.7600000007</v>
      </c>
      <c r="H40" s="47">
        <v>498399</v>
      </c>
      <c r="I40" s="47">
        <f>-458502.24-13467.6</f>
        <v>-471969.83999999997</v>
      </c>
      <c r="J40" s="92">
        <f t="shared" si="2"/>
        <v>5285066.9200000009</v>
      </c>
      <c r="K40" s="93"/>
      <c r="L40" s="116">
        <f>'App.2-B_Fixed Asset Con''ty 2012'!M40</f>
        <v>-3864505.1687202379</v>
      </c>
      <c r="M40" s="116"/>
      <c r="N40" s="116">
        <f t="shared" si="3"/>
        <v>-3864505.1687202379</v>
      </c>
      <c r="O40" s="116">
        <f>-'App.2-CG_CGAAP_DepExp_2013'!M45-'App.2-CG_CGAAP_DepExp_2013'!M46</f>
        <v>-194212.56643262599</v>
      </c>
      <c r="P40" s="116">
        <f>458502.24+13467.6</f>
        <v>471969.83999999997</v>
      </c>
      <c r="Q40" s="92">
        <f t="shared" si="4"/>
        <v>-3586747.895152864</v>
      </c>
      <c r="R40" s="94">
        <f t="shared" si="0"/>
        <v>1698319.0248471368</v>
      </c>
    </row>
    <row r="41" spans="1:18">
      <c r="A41" s="89">
        <v>8</v>
      </c>
      <c r="B41" s="89">
        <v>1935</v>
      </c>
      <c r="C41" s="97" t="s">
        <v>305</v>
      </c>
      <c r="D41" s="91"/>
      <c r="E41" s="47">
        <f>'App.2-B_Fixed Asset Con''ty 2012'!H41</f>
        <v>0</v>
      </c>
      <c r="F41" s="47"/>
      <c r="G41" s="47">
        <f t="shared" si="1"/>
        <v>0</v>
      </c>
      <c r="H41" s="47"/>
      <c r="I41" s="47"/>
      <c r="J41" s="92">
        <f t="shared" si="2"/>
        <v>0</v>
      </c>
      <c r="K41" s="93"/>
      <c r="L41" s="116">
        <f>'App.2-B_Fixed Asset Con''ty 2012'!M41</f>
        <v>0</v>
      </c>
      <c r="M41" s="116"/>
      <c r="N41" s="116">
        <f t="shared" si="3"/>
        <v>0</v>
      </c>
      <c r="O41" s="116"/>
      <c r="P41" s="116"/>
      <c r="Q41" s="92">
        <f t="shared" si="4"/>
        <v>0</v>
      </c>
      <c r="R41" s="94">
        <f t="shared" si="0"/>
        <v>0</v>
      </c>
    </row>
    <row r="42" spans="1:18">
      <c r="A42" s="89">
        <v>8</v>
      </c>
      <c r="B42" s="89">
        <v>1940</v>
      </c>
      <c r="C42" s="97" t="s">
        <v>185</v>
      </c>
      <c r="D42" s="91"/>
      <c r="E42" s="47">
        <f>'App.2-B_Fixed Asset Con''ty 2012'!H42</f>
        <v>1961496.07</v>
      </c>
      <c r="F42" s="47"/>
      <c r="G42" s="47">
        <f t="shared" si="1"/>
        <v>1961496.07</v>
      </c>
      <c r="H42" s="47">
        <v>160000</v>
      </c>
      <c r="I42" s="47"/>
      <c r="J42" s="92">
        <f t="shared" si="2"/>
        <v>2121496.0700000003</v>
      </c>
      <c r="K42" s="93"/>
      <c r="L42" s="116">
        <f>'App.2-B_Fixed Asset Con''ty 2012'!M42</f>
        <v>-1467290.828</v>
      </c>
      <c r="M42" s="116"/>
      <c r="N42" s="116">
        <f t="shared" si="3"/>
        <v>-1467290.828</v>
      </c>
      <c r="O42" s="116">
        <f>-'App.2-CG_CGAAP_DepExp_2013'!M48</f>
        <v>-91072.619000000006</v>
      </c>
      <c r="P42" s="116"/>
      <c r="Q42" s="92">
        <f t="shared" si="4"/>
        <v>-1558363.4469999999</v>
      </c>
      <c r="R42" s="94">
        <f t="shared" si="0"/>
        <v>563132.62300000037</v>
      </c>
    </row>
    <row r="43" spans="1:18">
      <c r="A43" s="89">
        <v>8</v>
      </c>
      <c r="B43" s="89">
        <v>1945</v>
      </c>
      <c r="C43" s="97" t="s">
        <v>306</v>
      </c>
      <c r="D43" s="91"/>
      <c r="E43" s="47">
        <f>'App.2-B_Fixed Asset Con''ty 2012'!H43</f>
        <v>0</v>
      </c>
      <c r="F43" s="47"/>
      <c r="G43" s="47">
        <f t="shared" si="1"/>
        <v>0</v>
      </c>
      <c r="H43" s="47"/>
      <c r="I43" s="47"/>
      <c r="J43" s="92">
        <f t="shared" si="2"/>
        <v>0</v>
      </c>
      <c r="K43" s="93"/>
      <c r="L43" s="116">
        <f>'App.2-B_Fixed Asset Con''ty 2012'!M43</f>
        <v>0</v>
      </c>
      <c r="M43" s="116"/>
      <c r="N43" s="116">
        <f t="shared" si="3"/>
        <v>0</v>
      </c>
      <c r="O43" s="116"/>
      <c r="P43" s="116"/>
      <c r="Q43" s="92">
        <f t="shared" si="4"/>
        <v>0</v>
      </c>
      <c r="R43" s="94">
        <f t="shared" si="0"/>
        <v>0</v>
      </c>
    </row>
    <row r="44" spans="1:18">
      <c r="A44" s="89">
        <v>8</v>
      </c>
      <c r="B44" s="89">
        <v>1950</v>
      </c>
      <c r="C44" s="97" t="s">
        <v>307</v>
      </c>
      <c r="D44" s="91"/>
      <c r="E44" s="47">
        <f>'App.2-B_Fixed Asset Con''ty 2012'!H44</f>
        <v>0</v>
      </c>
      <c r="F44" s="47"/>
      <c r="G44" s="47">
        <f t="shared" si="1"/>
        <v>0</v>
      </c>
      <c r="H44" s="47"/>
      <c r="I44" s="47"/>
      <c r="J44" s="92">
        <f t="shared" si="2"/>
        <v>0</v>
      </c>
      <c r="K44" s="93"/>
      <c r="L44" s="116">
        <f>'App.2-B_Fixed Asset Con''ty 2012'!M44</f>
        <v>0</v>
      </c>
      <c r="M44" s="116"/>
      <c r="N44" s="116">
        <f t="shared" si="3"/>
        <v>0</v>
      </c>
      <c r="O44" s="116"/>
      <c r="P44" s="116"/>
      <c r="Q44" s="92">
        <f t="shared" si="4"/>
        <v>0</v>
      </c>
      <c r="R44" s="94">
        <f t="shared" si="0"/>
        <v>0</v>
      </c>
    </row>
    <row r="45" spans="1:18">
      <c r="A45" s="89">
        <v>8</v>
      </c>
      <c r="B45" s="89">
        <v>1955</v>
      </c>
      <c r="C45" s="97" t="s">
        <v>308</v>
      </c>
      <c r="D45" s="91"/>
      <c r="E45" s="47">
        <f>'App.2-B_Fixed Asset Con''ty 2012'!H45</f>
        <v>2262458.9699999997</v>
      </c>
      <c r="F45" s="47"/>
      <c r="G45" s="47">
        <f t="shared" si="1"/>
        <v>2262458.9699999997</v>
      </c>
      <c r="H45" s="47">
        <v>60000</v>
      </c>
      <c r="I45" s="47"/>
      <c r="J45" s="92">
        <f t="shared" si="2"/>
        <v>2322458.9699999997</v>
      </c>
      <c r="K45" s="93"/>
      <c r="L45" s="116">
        <f>'App.2-B_Fixed Asset Con''ty 2012'!M45</f>
        <v>-1307813.0711999999</v>
      </c>
      <c r="M45" s="116"/>
      <c r="N45" s="116">
        <f t="shared" si="3"/>
        <v>-1307813.0711999999</v>
      </c>
      <c r="O45" s="116">
        <f>-'App.2-CG_CGAAP_DepExp_2013'!M51</f>
        <v>-83040.861199999985</v>
      </c>
      <c r="P45" s="116"/>
      <c r="Q45" s="92">
        <f t="shared" si="4"/>
        <v>-1390853.9323999998</v>
      </c>
      <c r="R45" s="94">
        <f t="shared" si="0"/>
        <v>931605.03759999992</v>
      </c>
    </row>
    <row r="46" spans="1:18">
      <c r="A46" s="99">
        <v>8</v>
      </c>
      <c r="B46" s="99">
        <v>1955</v>
      </c>
      <c r="C46" s="100" t="s">
        <v>309</v>
      </c>
      <c r="D46" s="91"/>
      <c r="E46" s="47">
        <f>'App.2-B_Fixed Asset Con''ty 2012'!H46</f>
        <v>0</v>
      </c>
      <c r="F46" s="47"/>
      <c r="G46" s="47">
        <f t="shared" si="1"/>
        <v>0</v>
      </c>
      <c r="H46" s="47"/>
      <c r="I46" s="47"/>
      <c r="J46" s="92">
        <f t="shared" si="2"/>
        <v>0</v>
      </c>
      <c r="K46" s="93"/>
      <c r="L46" s="116">
        <f>'App.2-B_Fixed Asset Con''ty 2012'!M46</f>
        <v>0</v>
      </c>
      <c r="M46" s="116"/>
      <c r="N46" s="116">
        <f t="shared" si="3"/>
        <v>0</v>
      </c>
      <c r="O46" s="116"/>
      <c r="P46" s="116"/>
      <c r="Q46" s="92">
        <f t="shared" si="4"/>
        <v>0</v>
      </c>
      <c r="R46" s="94">
        <f t="shared" si="0"/>
        <v>0</v>
      </c>
    </row>
    <row r="47" spans="1:18">
      <c r="A47" s="98">
        <v>8</v>
      </c>
      <c r="B47" s="98">
        <v>1960</v>
      </c>
      <c r="C47" s="90" t="s">
        <v>310</v>
      </c>
      <c r="D47" s="91"/>
      <c r="E47" s="47">
        <f>'App.2-B_Fixed Asset Con''ty 2012'!H47</f>
        <v>0</v>
      </c>
      <c r="F47" s="47">
        <v>16502</v>
      </c>
      <c r="G47" s="47">
        <f t="shared" si="1"/>
        <v>16502</v>
      </c>
      <c r="H47" s="47"/>
      <c r="I47" s="47"/>
      <c r="J47" s="92">
        <f t="shared" si="2"/>
        <v>16502</v>
      </c>
      <c r="K47" s="93"/>
      <c r="L47" s="116">
        <f>'App.2-B_Fixed Asset Con''ty 2012'!M47</f>
        <v>0</v>
      </c>
      <c r="M47" s="116">
        <v>-4125</v>
      </c>
      <c r="N47" s="116">
        <f t="shared" si="3"/>
        <v>-4125</v>
      </c>
      <c r="O47" s="116">
        <f>-'App.2-CG_CGAAP_DepExp_2013'!M53</f>
        <v>-1650.1889999999999</v>
      </c>
      <c r="P47" s="116"/>
      <c r="Q47" s="92">
        <f t="shared" si="4"/>
        <v>-5775.1890000000003</v>
      </c>
      <c r="R47" s="94">
        <f t="shared" si="0"/>
        <v>10726.811</v>
      </c>
    </row>
    <row r="48" spans="1:18">
      <c r="A48" s="89">
        <v>47</v>
      </c>
      <c r="B48" s="89">
        <v>1975</v>
      </c>
      <c r="C48" s="97" t="s">
        <v>311</v>
      </c>
      <c r="D48" s="91"/>
      <c r="E48" s="47">
        <f>'App.2-B_Fixed Asset Con''ty 2012'!H48</f>
        <v>0</v>
      </c>
      <c r="F48" s="47"/>
      <c r="G48" s="47">
        <f t="shared" si="1"/>
        <v>0</v>
      </c>
      <c r="H48" s="47"/>
      <c r="I48" s="47"/>
      <c r="J48" s="92">
        <f t="shared" si="2"/>
        <v>0</v>
      </c>
      <c r="K48" s="93"/>
      <c r="L48" s="116">
        <f>'App.2-B_Fixed Asset Con''ty 2012'!M48</f>
        <v>0</v>
      </c>
      <c r="M48" s="116"/>
      <c r="N48" s="116">
        <f t="shared" si="3"/>
        <v>0</v>
      </c>
      <c r="O48" s="116"/>
      <c r="P48" s="116"/>
      <c r="Q48" s="92">
        <f t="shared" si="4"/>
        <v>0</v>
      </c>
      <c r="R48" s="94">
        <f t="shared" si="0"/>
        <v>0</v>
      </c>
    </row>
    <row r="49" spans="1:18">
      <c r="A49" s="89">
        <v>47</v>
      </c>
      <c r="B49" s="89">
        <v>1980</v>
      </c>
      <c r="C49" s="97" t="s">
        <v>202</v>
      </c>
      <c r="D49" s="91"/>
      <c r="E49" s="47">
        <f>'App.2-B_Fixed Asset Con''ty 2012'!H49</f>
        <v>1573528.65</v>
      </c>
      <c r="F49" s="47"/>
      <c r="G49" s="47">
        <f t="shared" si="1"/>
        <v>1573528.65</v>
      </c>
      <c r="H49" s="47">
        <v>380073.10036859824</v>
      </c>
      <c r="I49" s="47"/>
      <c r="J49" s="92">
        <f t="shared" si="2"/>
        <v>1953601.7503685982</v>
      </c>
      <c r="K49" s="93"/>
      <c r="L49" s="116">
        <f>'App.2-B_Fixed Asset Con''ty 2012'!M49</f>
        <v>-1274629.6933333334</v>
      </c>
      <c r="M49" s="116"/>
      <c r="N49" s="116">
        <f t="shared" si="3"/>
        <v>-1274629.6933333334</v>
      </c>
      <c r="O49" s="116">
        <f>-'App.2-CG_CGAAP_DepExp_2013'!M55</f>
        <v>-30741.531514347666</v>
      </c>
      <c r="P49" s="116"/>
      <c r="Q49" s="92">
        <f t="shared" si="4"/>
        <v>-1305371.2248476811</v>
      </c>
      <c r="R49" s="94">
        <f t="shared" si="0"/>
        <v>648230.52552091703</v>
      </c>
    </row>
    <row r="50" spans="1:18">
      <c r="A50" s="89">
        <v>47</v>
      </c>
      <c r="B50" s="89">
        <v>1985</v>
      </c>
      <c r="C50" s="97" t="s">
        <v>312</v>
      </c>
      <c r="D50" s="91"/>
      <c r="E50" s="47">
        <f>'App.2-B_Fixed Asset Con''ty 2012'!H50</f>
        <v>42116.86</v>
      </c>
      <c r="F50" s="47"/>
      <c r="G50" s="47">
        <f t="shared" si="1"/>
        <v>42116.86</v>
      </c>
      <c r="H50" s="47"/>
      <c r="I50" s="47"/>
      <c r="J50" s="92">
        <f t="shared" si="2"/>
        <v>42116.86</v>
      </c>
      <c r="K50" s="93"/>
      <c r="L50" s="116">
        <f>'App.2-B_Fixed Asset Con''ty 2012'!M50</f>
        <v>-42116.86</v>
      </c>
      <c r="M50" s="116"/>
      <c r="N50" s="116">
        <f t="shared" si="3"/>
        <v>-42116.86</v>
      </c>
      <c r="O50" s="116">
        <f>-'App.2-CG_CGAAP_DepExp_2013'!M56</f>
        <v>0</v>
      </c>
      <c r="P50" s="116"/>
      <c r="Q50" s="92">
        <f t="shared" si="4"/>
        <v>-42116.86</v>
      </c>
      <c r="R50" s="94">
        <f t="shared" si="0"/>
        <v>0</v>
      </c>
    </row>
    <row r="51" spans="1:18">
      <c r="A51" s="89">
        <v>47</v>
      </c>
      <c r="B51" s="89">
        <v>1995</v>
      </c>
      <c r="C51" s="97" t="s">
        <v>313</v>
      </c>
      <c r="D51" s="91"/>
      <c r="E51" s="47">
        <f>'App.2-B_Fixed Asset Con''ty 2012'!H51</f>
        <v>-15309085.009999998</v>
      </c>
      <c r="F51" s="47"/>
      <c r="G51" s="47">
        <f t="shared" si="1"/>
        <v>-15309085.009999998</v>
      </c>
      <c r="H51" s="47">
        <v>-703790</v>
      </c>
      <c r="I51" s="47"/>
      <c r="J51" s="92">
        <f t="shared" si="2"/>
        <v>-16012875.009999998</v>
      </c>
      <c r="K51" s="93"/>
      <c r="L51" s="116">
        <f>'App.2-B_Fixed Asset Con''ty 2012'!M51</f>
        <v>4003411.2279999997</v>
      </c>
      <c r="M51" s="116"/>
      <c r="N51" s="116">
        <f t="shared" si="3"/>
        <v>4003411.2279999997</v>
      </c>
      <c r="O51" s="116">
        <f>-'App.2-CG_CGAAP_DepExp_2013'!M57</f>
        <v>294856.06108450261</v>
      </c>
      <c r="P51" s="116"/>
      <c r="Q51" s="92">
        <f t="shared" si="4"/>
        <v>4298267.2890845025</v>
      </c>
      <c r="R51" s="94">
        <f t="shared" si="0"/>
        <v>-11714607.720915496</v>
      </c>
    </row>
    <row r="52" spans="1:18">
      <c r="A52" s="89"/>
      <c r="B52" s="89">
        <v>1330</v>
      </c>
      <c r="C52" s="90" t="s">
        <v>322</v>
      </c>
      <c r="D52" s="91"/>
      <c r="E52" s="47">
        <f>'App.2-B_Fixed Asset Con''ty 2012'!H52</f>
        <v>1127820</v>
      </c>
      <c r="F52" s="47"/>
      <c r="G52" s="47">
        <f t="shared" si="1"/>
        <v>1127820</v>
      </c>
      <c r="H52" s="47"/>
      <c r="I52" s="47"/>
      <c r="J52" s="92">
        <f t="shared" si="2"/>
        <v>1127820</v>
      </c>
      <c r="K52" s="103"/>
      <c r="L52" s="47">
        <f>'App.2-B_Fixed Asset Con''ty 2012'!M52</f>
        <v>0</v>
      </c>
      <c r="M52" s="47"/>
      <c r="N52" s="116">
        <f t="shared" si="3"/>
        <v>0</v>
      </c>
      <c r="O52" s="47"/>
      <c r="P52" s="47"/>
      <c r="Q52" s="92">
        <f t="shared" si="4"/>
        <v>0</v>
      </c>
      <c r="R52" s="94">
        <f t="shared" si="0"/>
        <v>1127820</v>
      </c>
    </row>
    <row r="53" spans="1:18">
      <c r="A53" s="101"/>
      <c r="B53" s="101">
        <v>2055</v>
      </c>
      <c r="C53" s="102" t="s">
        <v>314</v>
      </c>
      <c r="D53" s="91"/>
      <c r="E53" s="47">
        <f>'App.2-B_Fixed Asset Con''ty 2012'!H53</f>
        <v>544624.55999999982</v>
      </c>
      <c r="F53" s="47"/>
      <c r="G53" s="47">
        <f t="shared" si="1"/>
        <v>544624.55999999982</v>
      </c>
      <c r="H53" s="47">
        <v>308138.28999999998</v>
      </c>
      <c r="I53" s="47">
        <f>-E53</f>
        <v>-544624.55999999982</v>
      </c>
      <c r="J53" s="92">
        <f t="shared" si="2"/>
        <v>308138.29000000004</v>
      </c>
      <c r="K53" s="103"/>
      <c r="L53" s="47">
        <f>'App.2-B_Fixed Asset Con''ty 2012'!M53</f>
        <v>0</v>
      </c>
      <c r="M53" s="47"/>
      <c r="N53" s="116">
        <f t="shared" si="3"/>
        <v>0</v>
      </c>
      <c r="O53" s="47"/>
      <c r="P53" s="47"/>
      <c r="Q53" s="92">
        <f t="shared" si="4"/>
        <v>0</v>
      </c>
      <c r="R53" s="94">
        <f t="shared" si="0"/>
        <v>308138.29000000004</v>
      </c>
    </row>
    <row r="54" spans="1:18">
      <c r="A54" s="101"/>
      <c r="B54" s="101"/>
      <c r="C54" s="104"/>
      <c r="D54" s="91"/>
      <c r="E54" s="47">
        <f>'App.2-B_Fixed Asset Con''ty 2012'!H54</f>
        <v>0</v>
      </c>
      <c r="F54" s="47"/>
      <c r="G54" s="47"/>
      <c r="H54" s="47"/>
      <c r="I54" s="47"/>
      <c r="J54" s="94"/>
      <c r="K54" s="103"/>
      <c r="L54" s="47">
        <f>'App.2-B_Fixed Asset Con''ty 2012'!M54</f>
        <v>0</v>
      </c>
      <c r="M54" s="47"/>
      <c r="N54" s="47"/>
      <c r="O54" s="47"/>
      <c r="P54" s="47"/>
      <c r="Q54" s="94"/>
      <c r="R54" s="94"/>
    </row>
    <row r="55" spans="1:18">
      <c r="A55" s="1129" t="s">
        <v>323</v>
      </c>
      <c r="B55" s="1130"/>
      <c r="C55" s="1131"/>
      <c r="D55" s="105"/>
      <c r="E55" s="106">
        <f t="shared" ref="E55:J55" si="5">SUM(E16:E54)</f>
        <v>182936225.5</v>
      </c>
      <c r="F55" s="106">
        <f t="shared" si="5"/>
        <v>-56413.297599997371</v>
      </c>
      <c r="G55" s="106">
        <f t="shared" si="5"/>
        <v>182879812.2024</v>
      </c>
      <c r="H55" s="106">
        <f t="shared" si="5"/>
        <v>11560743.04784481</v>
      </c>
      <c r="I55" s="106">
        <f t="shared" si="5"/>
        <v>-1016594.3999999998</v>
      </c>
      <c r="J55" s="106">
        <f t="shared" si="5"/>
        <v>193423960.85024479</v>
      </c>
      <c r="K55" s="106"/>
      <c r="L55" s="106">
        <f t="shared" ref="L55:R55" si="6">SUM(L16:L53)</f>
        <v>-114511431.93088198</v>
      </c>
      <c r="M55" s="106">
        <f t="shared" si="6"/>
        <v>4632623.9527874291</v>
      </c>
      <c r="N55" s="106">
        <f t="shared" si="6"/>
        <v>-109878807.97809455</v>
      </c>
      <c r="O55" s="106">
        <f>SUM(O16:O53)</f>
        <v>-4272049.6696416037</v>
      </c>
      <c r="P55" s="106">
        <f t="shared" si="6"/>
        <v>471969.83999999997</v>
      </c>
      <c r="Q55" s="106">
        <f t="shared" si="6"/>
        <v>-113678887.80773619</v>
      </c>
      <c r="R55" s="106">
        <f t="shared" si="6"/>
        <v>79745073.042508632</v>
      </c>
    </row>
    <row r="56" spans="1:18">
      <c r="A56" s="101">
        <v>12</v>
      </c>
      <c r="B56" s="101">
        <v>1611</v>
      </c>
      <c r="C56" s="102" t="s">
        <v>148</v>
      </c>
      <c r="D56" s="91"/>
      <c r="E56" s="47">
        <f>'App.2-B_Fixed Asset Con''ty 2012'!E56</f>
        <v>-129738.68479200001</v>
      </c>
      <c r="F56" s="47"/>
      <c r="G56" s="47">
        <f t="shared" ref="G56" si="7">E56+F56</f>
        <v>-129738.68479200001</v>
      </c>
      <c r="H56" s="47"/>
      <c r="I56" s="47"/>
      <c r="J56" s="92">
        <f t="shared" ref="J56" si="8">G56+H56+I56</f>
        <v>-129738.68479200001</v>
      </c>
      <c r="K56" s="103"/>
      <c r="L56" s="47">
        <f>'App.2-B_Fixed Asset Con''ty 2012'!M56</f>
        <v>64280.89</v>
      </c>
      <c r="M56" s="47"/>
      <c r="N56" s="116">
        <f t="shared" ref="N56" si="9">L56+M56</f>
        <v>64280.89</v>
      </c>
      <c r="O56" s="47">
        <f>25947.74</f>
        <v>25947.74</v>
      </c>
      <c r="P56" s="47"/>
      <c r="Q56" s="92">
        <f t="shared" ref="Q56" si="10">N56+O56+P56</f>
        <v>90228.63</v>
      </c>
      <c r="R56" s="94">
        <f>J56+Q56</f>
        <v>-39510.05479200001</v>
      </c>
    </row>
    <row r="57" spans="1:18">
      <c r="A57" s="1129" t="s">
        <v>324</v>
      </c>
      <c r="B57" s="1130"/>
      <c r="C57" s="1131"/>
      <c r="D57" s="105"/>
      <c r="E57" s="106">
        <f t="shared" ref="E57:J57" si="11">SUM(E55:E56)</f>
        <v>182806486.81520799</v>
      </c>
      <c r="F57" s="106">
        <f t="shared" si="11"/>
        <v>-56413.297599997371</v>
      </c>
      <c r="G57" s="106">
        <f t="shared" si="11"/>
        <v>182750073.51760799</v>
      </c>
      <c r="H57" s="106">
        <f t="shared" si="11"/>
        <v>11560743.04784481</v>
      </c>
      <c r="I57" s="106">
        <f t="shared" si="11"/>
        <v>-1016594.3999999998</v>
      </c>
      <c r="J57" s="106">
        <f t="shared" si="11"/>
        <v>193294222.16545278</v>
      </c>
      <c r="K57" s="106"/>
      <c r="L57" s="106">
        <f>SUM(L55:L56)</f>
        <v>-114447151.04088198</v>
      </c>
      <c r="M57" s="106">
        <f t="shared" ref="M57:R57" si="12">SUM(M55:M56)</f>
        <v>4632623.9527874291</v>
      </c>
      <c r="N57" s="106">
        <f t="shared" si="12"/>
        <v>-109814527.08809455</v>
      </c>
      <c r="O57" s="106">
        <f t="shared" si="12"/>
        <v>-4246101.9296416035</v>
      </c>
      <c r="P57" s="106">
        <f t="shared" si="12"/>
        <v>471969.83999999997</v>
      </c>
      <c r="Q57" s="106">
        <f t="shared" si="12"/>
        <v>-113588659.17773619</v>
      </c>
      <c r="R57" s="106">
        <f t="shared" si="12"/>
        <v>79705562.98771663</v>
      </c>
    </row>
    <row r="59" spans="1:18">
      <c r="D59" s="73"/>
      <c r="F59" s="119" t="s">
        <v>328</v>
      </c>
      <c r="G59" s="69">
        <f>G57-G52-G53</f>
        <v>181077628.95760798</v>
      </c>
      <c r="J59" s="69">
        <f>J57-J52-J53</f>
        <v>191858263.87545279</v>
      </c>
      <c r="K59" s="108"/>
      <c r="L59" s="107" t="s">
        <v>315</v>
      </c>
      <c r="M59" s="108"/>
      <c r="N59" s="108"/>
      <c r="R59" s="69">
        <f>R57-R52-R53</f>
        <v>78269604.697716624</v>
      </c>
    </row>
    <row r="60" spans="1:18">
      <c r="A60" s="101">
        <v>10</v>
      </c>
      <c r="B60" s="101"/>
      <c r="C60" s="104" t="s">
        <v>316</v>
      </c>
      <c r="D60" s="73"/>
      <c r="I60" s="30" t="s">
        <v>329</v>
      </c>
      <c r="J60" s="120">
        <f>(J59+G59)/2</f>
        <v>186467946.41653037</v>
      </c>
      <c r="K60" s="108"/>
      <c r="L60" s="108" t="s">
        <v>316</v>
      </c>
      <c r="M60" s="108"/>
      <c r="N60" s="108"/>
      <c r="O60" s="109">
        <f>O40</f>
        <v>-194212.56643262599</v>
      </c>
      <c r="Q60" s="120">
        <f>(Q57+N57)/2</f>
        <v>-111701593.13291538</v>
      </c>
      <c r="R60" s="120">
        <f>J60+Q60</f>
        <v>74766353.283614993</v>
      </c>
    </row>
    <row r="61" spans="1:18">
      <c r="A61" s="101">
        <v>8</v>
      </c>
      <c r="B61" s="101"/>
      <c r="C61" s="104" t="s">
        <v>305</v>
      </c>
      <c r="K61" s="108"/>
      <c r="L61" s="108" t="s">
        <v>305</v>
      </c>
      <c r="M61" s="108"/>
      <c r="N61" s="108"/>
      <c r="O61" s="110">
        <f>O42</f>
        <v>-91072.619000000006</v>
      </c>
    </row>
    <row r="62" spans="1:18">
      <c r="K62" s="30"/>
      <c r="L62" s="111" t="s">
        <v>317</v>
      </c>
      <c r="O62" s="112">
        <f>O57-O60-O61</f>
        <v>-3960816.7442089776</v>
      </c>
    </row>
    <row r="64" spans="1:18">
      <c r="A64" s="113" t="s">
        <v>270</v>
      </c>
    </row>
    <row r="66" spans="1:18">
      <c r="A66" s="72">
        <v>1</v>
      </c>
      <c r="B66" s="1128" t="s">
        <v>318</v>
      </c>
      <c r="C66" s="1128"/>
      <c r="D66" s="1128"/>
      <c r="E66" s="1128"/>
      <c r="F66" s="1128"/>
      <c r="G66" s="1128"/>
      <c r="H66" s="1128"/>
      <c r="I66" s="1128"/>
      <c r="J66" s="1128"/>
      <c r="K66" s="1128"/>
      <c r="L66" s="1128"/>
      <c r="M66" s="1128"/>
      <c r="N66" s="1128"/>
      <c r="O66" s="1128"/>
      <c r="P66" s="1128"/>
      <c r="Q66" s="1128"/>
      <c r="R66" s="1128"/>
    </row>
    <row r="67" spans="1:18">
      <c r="B67" s="1128"/>
      <c r="C67" s="1128"/>
      <c r="D67" s="1128"/>
      <c r="E67" s="1128"/>
      <c r="F67" s="1128"/>
      <c r="G67" s="1128"/>
      <c r="H67" s="1128"/>
      <c r="I67" s="1128"/>
      <c r="J67" s="1128"/>
      <c r="K67" s="1128"/>
      <c r="L67" s="1128"/>
      <c r="M67" s="1128"/>
      <c r="N67" s="1128"/>
      <c r="O67" s="1128"/>
      <c r="P67" s="1128"/>
      <c r="Q67" s="1128"/>
      <c r="R67" s="1128"/>
    </row>
    <row r="68" spans="1:18" ht="12.75" customHeight="1"/>
    <row r="69" spans="1:18">
      <c r="A69" s="72">
        <v>2</v>
      </c>
      <c r="B69" s="1123" t="s">
        <v>319</v>
      </c>
      <c r="C69" s="1123"/>
      <c r="D69" s="1123"/>
      <c r="E69" s="1123"/>
      <c r="F69" s="1123"/>
      <c r="G69" s="1123"/>
      <c r="H69" s="1123"/>
      <c r="I69" s="1123"/>
      <c r="J69" s="1123"/>
      <c r="K69" s="1123"/>
      <c r="L69" s="1123"/>
      <c r="M69" s="1123"/>
      <c r="N69" s="1123"/>
      <c r="O69" s="1123"/>
      <c r="P69" s="1123"/>
      <c r="Q69" s="1123"/>
      <c r="R69" s="1123"/>
    </row>
    <row r="70" spans="1:18">
      <c r="B70" s="1123"/>
      <c r="C70" s="1123"/>
      <c r="D70" s="1123"/>
      <c r="E70" s="1123"/>
      <c r="F70" s="1123"/>
      <c r="G70" s="1123"/>
      <c r="H70" s="1123"/>
      <c r="I70" s="1123"/>
      <c r="J70" s="1123"/>
      <c r="K70" s="1123"/>
      <c r="L70" s="1123"/>
      <c r="M70" s="1123"/>
      <c r="N70" s="1123"/>
      <c r="O70" s="1123"/>
      <c r="P70" s="1123"/>
      <c r="Q70" s="1123"/>
      <c r="R70" s="1123"/>
    </row>
    <row r="72" spans="1:18">
      <c r="A72" s="72">
        <v>3</v>
      </c>
      <c r="B72" s="1124" t="s">
        <v>320</v>
      </c>
      <c r="C72" s="1124"/>
      <c r="D72" s="1124"/>
      <c r="E72" s="1124"/>
      <c r="F72" s="1124"/>
      <c r="G72" s="1124"/>
      <c r="H72" s="1124"/>
      <c r="I72" s="1124"/>
      <c r="J72" s="1124"/>
      <c r="K72" s="1124"/>
      <c r="L72" s="1124"/>
      <c r="M72" s="1124"/>
      <c r="N72" s="1124"/>
      <c r="O72" s="1124"/>
      <c r="P72" s="1124"/>
      <c r="Q72" s="1124"/>
      <c r="R72" s="1124"/>
    </row>
    <row r="74" spans="1:18">
      <c r="A74" s="72">
        <v>4</v>
      </c>
      <c r="B74" s="114" t="s">
        <v>321</v>
      </c>
    </row>
  </sheetData>
  <mergeCells count="9">
    <mergeCell ref="B66:R67"/>
    <mergeCell ref="B69:R70"/>
    <mergeCell ref="B72:R72"/>
    <mergeCell ref="A9:R9"/>
    <mergeCell ref="A10:R10"/>
    <mergeCell ref="E14:J14"/>
    <mergeCell ref="L14:Q14"/>
    <mergeCell ref="A55:C55"/>
    <mergeCell ref="A57:C57"/>
  </mergeCells>
  <printOptions horizontalCentered="1"/>
  <pageMargins left="0.74803149606299213" right="0.74803149606299213" top="0.74803149606299213" bottom="0.70866141732283472" header="0.51181102362204722" footer="0.51181102362204722"/>
  <pageSetup scale="48" fitToHeight="0" orientation="landscape" r:id="rId1"/>
  <headerFooter alignWithMargins="0"/>
</worksheet>
</file>

<file path=xl/worksheets/sheet11.xml><?xml version="1.0" encoding="utf-8"?>
<worksheet xmlns="http://schemas.openxmlformats.org/spreadsheetml/2006/main" xmlns:r="http://schemas.openxmlformats.org/officeDocument/2006/relationships">
  <dimension ref="A1:N79"/>
  <sheetViews>
    <sheetView showGridLines="0" zoomScaleNormal="100" workbookViewId="0">
      <selection activeCell="J24" sqref="J24"/>
    </sheetView>
  </sheetViews>
  <sheetFormatPr defaultRowHeight="12.75"/>
  <cols>
    <col min="1" max="1" width="9.140625" style="30"/>
    <col min="2" max="2" width="52" style="30" customWidth="1"/>
    <col min="3" max="3" width="14.28515625" style="30" bestFit="1" customWidth="1"/>
    <col min="4" max="4" width="12.85546875" style="30" bestFit="1" customWidth="1"/>
    <col min="5" max="5" width="13.42578125" style="30" bestFit="1" customWidth="1"/>
    <col min="6" max="6" width="11.85546875" style="30" bestFit="1" customWidth="1"/>
    <col min="7" max="7" width="17.7109375" style="30" bestFit="1" customWidth="1"/>
    <col min="8" max="8" width="6" style="30" bestFit="1" customWidth="1"/>
    <col min="9" max="10" width="12.5703125" style="30" bestFit="1" customWidth="1"/>
    <col min="11" max="11" width="17.42578125" style="30" customWidth="1"/>
    <col min="12" max="12" width="11.85546875" style="30" bestFit="1" customWidth="1"/>
    <col min="13" max="257" width="9.140625" style="30"/>
    <col min="258" max="258" width="2.7109375" style="30" customWidth="1"/>
    <col min="259" max="259" width="9.140625" style="30"/>
    <col min="260" max="260" width="40.28515625" style="30" bestFit="1" customWidth="1"/>
    <col min="261" max="261" width="10.7109375" style="30" customWidth="1"/>
    <col min="262" max="262" width="10" style="30" customWidth="1"/>
    <col min="263" max="263" width="17.85546875" style="30" customWidth="1"/>
    <col min="264" max="264" width="7.7109375" style="30" customWidth="1"/>
    <col min="265" max="265" width="12.28515625" style="30" customWidth="1"/>
    <col min="266" max="266" width="12.7109375" style="30" customWidth="1"/>
    <col min="267" max="267" width="13.5703125" style="30" customWidth="1"/>
    <col min="268" max="268" width="13" style="30" customWidth="1"/>
    <col min="269" max="513" width="9.140625" style="30"/>
    <col min="514" max="514" width="2.7109375" style="30" customWidth="1"/>
    <col min="515" max="515" width="9.140625" style="30"/>
    <col min="516" max="516" width="40.28515625" style="30" bestFit="1" customWidth="1"/>
    <col min="517" max="517" width="10.7109375" style="30" customWidth="1"/>
    <col min="518" max="518" width="10" style="30" customWidth="1"/>
    <col min="519" max="519" width="17.85546875" style="30" customWidth="1"/>
    <col min="520" max="520" width="7.7109375" style="30" customWidth="1"/>
    <col min="521" max="521" width="12.28515625" style="30" customWidth="1"/>
    <col min="522" max="522" width="12.7109375" style="30" customWidth="1"/>
    <col min="523" max="523" width="13.5703125" style="30" customWidth="1"/>
    <col min="524" max="524" width="13" style="30" customWidth="1"/>
    <col min="525" max="769" width="9.140625" style="30"/>
    <col min="770" max="770" width="2.7109375" style="30" customWidth="1"/>
    <col min="771" max="771" width="9.140625" style="30"/>
    <col min="772" max="772" width="40.28515625" style="30" bestFit="1" customWidth="1"/>
    <col min="773" max="773" width="10.7109375" style="30" customWidth="1"/>
    <col min="774" max="774" width="10" style="30" customWidth="1"/>
    <col min="775" max="775" width="17.85546875" style="30" customWidth="1"/>
    <col min="776" max="776" width="7.7109375" style="30" customWidth="1"/>
    <col min="777" max="777" width="12.28515625" style="30" customWidth="1"/>
    <col min="778" max="778" width="12.7109375" style="30" customWidth="1"/>
    <col min="779" max="779" width="13.5703125" style="30" customWidth="1"/>
    <col min="780" max="780" width="13" style="30" customWidth="1"/>
    <col min="781" max="1025" width="9.140625" style="30"/>
    <col min="1026" max="1026" width="2.7109375" style="30" customWidth="1"/>
    <col min="1027" max="1027" width="9.140625" style="30"/>
    <col min="1028" max="1028" width="40.28515625" style="30" bestFit="1" customWidth="1"/>
    <col min="1029" max="1029" width="10.7109375" style="30" customWidth="1"/>
    <col min="1030" max="1030" width="10" style="30" customWidth="1"/>
    <col min="1031" max="1031" width="17.85546875" style="30" customWidth="1"/>
    <col min="1032" max="1032" width="7.7109375" style="30" customWidth="1"/>
    <col min="1033" max="1033" width="12.28515625" style="30" customWidth="1"/>
    <col min="1034" max="1034" width="12.7109375" style="30" customWidth="1"/>
    <col min="1035" max="1035" width="13.5703125" style="30" customWidth="1"/>
    <col min="1036" max="1036" width="13" style="30" customWidth="1"/>
    <col min="1037" max="1281" width="9.140625" style="30"/>
    <col min="1282" max="1282" width="2.7109375" style="30" customWidth="1"/>
    <col min="1283" max="1283" width="9.140625" style="30"/>
    <col min="1284" max="1284" width="40.28515625" style="30" bestFit="1" customWidth="1"/>
    <col min="1285" max="1285" width="10.7109375" style="30" customWidth="1"/>
    <col min="1286" max="1286" width="10" style="30" customWidth="1"/>
    <col min="1287" max="1287" width="17.85546875" style="30" customWidth="1"/>
    <col min="1288" max="1288" width="7.7109375" style="30" customWidth="1"/>
    <col min="1289" max="1289" width="12.28515625" style="30" customWidth="1"/>
    <col min="1290" max="1290" width="12.7109375" style="30" customWidth="1"/>
    <col min="1291" max="1291" width="13.5703125" style="30" customWidth="1"/>
    <col min="1292" max="1292" width="13" style="30" customWidth="1"/>
    <col min="1293" max="1537" width="9.140625" style="30"/>
    <col min="1538" max="1538" width="2.7109375" style="30" customWidth="1"/>
    <col min="1539" max="1539" width="9.140625" style="30"/>
    <col min="1540" max="1540" width="40.28515625" style="30" bestFit="1" customWidth="1"/>
    <col min="1541" max="1541" width="10.7109375" style="30" customWidth="1"/>
    <col min="1542" max="1542" width="10" style="30" customWidth="1"/>
    <col min="1543" max="1543" width="17.85546875" style="30" customWidth="1"/>
    <col min="1544" max="1544" width="7.7109375" style="30" customWidth="1"/>
    <col min="1545" max="1545" width="12.28515625" style="30" customWidth="1"/>
    <col min="1546" max="1546" width="12.7109375" style="30" customWidth="1"/>
    <col min="1547" max="1547" width="13.5703125" style="30" customWidth="1"/>
    <col min="1548" max="1548" width="13" style="30" customWidth="1"/>
    <col min="1549" max="1793" width="9.140625" style="30"/>
    <col min="1794" max="1794" width="2.7109375" style="30" customWidth="1"/>
    <col min="1795" max="1795" width="9.140625" style="30"/>
    <col min="1796" max="1796" width="40.28515625" style="30" bestFit="1" customWidth="1"/>
    <col min="1797" max="1797" width="10.7109375" style="30" customWidth="1"/>
    <col min="1798" max="1798" width="10" style="30" customWidth="1"/>
    <col min="1799" max="1799" width="17.85546875" style="30" customWidth="1"/>
    <col min="1800" max="1800" width="7.7109375" style="30" customWidth="1"/>
    <col min="1801" max="1801" width="12.28515625" style="30" customWidth="1"/>
    <col min="1802" max="1802" width="12.7109375" style="30" customWidth="1"/>
    <col min="1803" max="1803" width="13.5703125" style="30" customWidth="1"/>
    <col min="1804" max="1804" width="13" style="30" customWidth="1"/>
    <col min="1805" max="2049" width="9.140625" style="30"/>
    <col min="2050" max="2050" width="2.7109375" style="30" customWidth="1"/>
    <col min="2051" max="2051" width="9.140625" style="30"/>
    <col min="2052" max="2052" width="40.28515625" style="30" bestFit="1" customWidth="1"/>
    <col min="2053" max="2053" width="10.7109375" style="30" customWidth="1"/>
    <col min="2054" max="2054" width="10" style="30" customWidth="1"/>
    <col min="2055" max="2055" width="17.85546875" style="30" customWidth="1"/>
    <col min="2056" max="2056" width="7.7109375" style="30" customWidth="1"/>
    <col min="2057" max="2057" width="12.28515625" style="30" customWidth="1"/>
    <col min="2058" max="2058" width="12.7109375" style="30" customWidth="1"/>
    <col min="2059" max="2059" width="13.5703125" style="30" customWidth="1"/>
    <col min="2060" max="2060" width="13" style="30" customWidth="1"/>
    <col min="2061" max="2305" width="9.140625" style="30"/>
    <col min="2306" max="2306" width="2.7109375" style="30" customWidth="1"/>
    <col min="2307" max="2307" width="9.140625" style="30"/>
    <col min="2308" max="2308" width="40.28515625" style="30" bestFit="1" customWidth="1"/>
    <col min="2309" max="2309" width="10.7109375" style="30" customWidth="1"/>
    <col min="2310" max="2310" width="10" style="30" customWidth="1"/>
    <col min="2311" max="2311" width="17.85546875" style="30" customWidth="1"/>
    <col min="2312" max="2312" width="7.7109375" style="30" customWidth="1"/>
    <col min="2313" max="2313" width="12.28515625" style="30" customWidth="1"/>
    <col min="2314" max="2314" width="12.7109375" style="30" customWidth="1"/>
    <col min="2315" max="2315" width="13.5703125" style="30" customWidth="1"/>
    <col min="2316" max="2316" width="13" style="30" customWidth="1"/>
    <col min="2317" max="2561" width="9.140625" style="30"/>
    <col min="2562" max="2562" width="2.7109375" style="30" customWidth="1"/>
    <col min="2563" max="2563" width="9.140625" style="30"/>
    <col min="2564" max="2564" width="40.28515625" style="30" bestFit="1" customWidth="1"/>
    <col min="2565" max="2565" width="10.7109375" style="30" customWidth="1"/>
    <col min="2566" max="2566" width="10" style="30" customWidth="1"/>
    <col min="2567" max="2567" width="17.85546875" style="30" customWidth="1"/>
    <col min="2568" max="2568" width="7.7109375" style="30" customWidth="1"/>
    <col min="2569" max="2569" width="12.28515625" style="30" customWidth="1"/>
    <col min="2570" max="2570" width="12.7109375" style="30" customWidth="1"/>
    <col min="2571" max="2571" width="13.5703125" style="30" customWidth="1"/>
    <col min="2572" max="2572" width="13" style="30" customWidth="1"/>
    <col min="2573" max="2817" width="9.140625" style="30"/>
    <col min="2818" max="2818" width="2.7109375" style="30" customWidth="1"/>
    <col min="2819" max="2819" width="9.140625" style="30"/>
    <col min="2820" max="2820" width="40.28515625" style="30" bestFit="1" customWidth="1"/>
    <col min="2821" max="2821" width="10.7109375" style="30" customWidth="1"/>
    <col min="2822" max="2822" width="10" style="30" customWidth="1"/>
    <col min="2823" max="2823" width="17.85546875" style="30" customWidth="1"/>
    <col min="2824" max="2824" width="7.7109375" style="30" customWidth="1"/>
    <col min="2825" max="2825" width="12.28515625" style="30" customWidth="1"/>
    <col min="2826" max="2826" width="12.7109375" style="30" customWidth="1"/>
    <col min="2827" max="2827" width="13.5703125" style="30" customWidth="1"/>
    <col min="2828" max="2828" width="13" style="30" customWidth="1"/>
    <col min="2829" max="3073" width="9.140625" style="30"/>
    <col min="3074" max="3074" width="2.7109375" style="30" customWidth="1"/>
    <col min="3075" max="3075" width="9.140625" style="30"/>
    <col min="3076" max="3076" width="40.28515625" style="30" bestFit="1" customWidth="1"/>
    <col min="3077" max="3077" width="10.7109375" style="30" customWidth="1"/>
    <col min="3078" max="3078" width="10" style="30" customWidth="1"/>
    <col min="3079" max="3079" width="17.85546875" style="30" customWidth="1"/>
    <col min="3080" max="3080" width="7.7109375" style="30" customWidth="1"/>
    <col min="3081" max="3081" width="12.28515625" style="30" customWidth="1"/>
    <col min="3082" max="3082" width="12.7109375" style="30" customWidth="1"/>
    <col min="3083" max="3083" width="13.5703125" style="30" customWidth="1"/>
    <col min="3084" max="3084" width="13" style="30" customWidth="1"/>
    <col min="3085" max="3329" width="9.140625" style="30"/>
    <col min="3330" max="3330" width="2.7109375" style="30" customWidth="1"/>
    <col min="3331" max="3331" width="9.140625" style="30"/>
    <col min="3332" max="3332" width="40.28515625" style="30" bestFit="1" customWidth="1"/>
    <col min="3333" max="3333" width="10.7109375" style="30" customWidth="1"/>
    <col min="3334" max="3334" width="10" style="30" customWidth="1"/>
    <col min="3335" max="3335" width="17.85546875" style="30" customWidth="1"/>
    <col min="3336" max="3336" width="7.7109375" style="30" customWidth="1"/>
    <col min="3337" max="3337" width="12.28515625" style="30" customWidth="1"/>
    <col min="3338" max="3338" width="12.7109375" style="30" customWidth="1"/>
    <col min="3339" max="3339" width="13.5703125" style="30" customWidth="1"/>
    <col min="3340" max="3340" width="13" style="30" customWidth="1"/>
    <col min="3341" max="3585" width="9.140625" style="30"/>
    <col min="3586" max="3586" width="2.7109375" style="30" customWidth="1"/>
    <col min="3587" max="3587" width="9.140625" style="30"/>
    <col min="3588" max="3588" width="40.28515625" style="30" bestFit="1" customWidth="1"/>
    <col min="3589" max="3589" width="10.7109375" style="30" customWidth="1"/>
    <col min="3590" max="3590" width="10" style="30" customWidth="1"/>
    <col min="3591" max="3591" width="17.85546875" style="30" customWidth="1"/>
    <col min="3592" max="3592" width="7.7109375" style="30" customWidth="1"/>
    <col min="3593" max="3593" width="12.28515625" style="30" customWidth="1"/>
    <col min="3594" max="3594" width="12.7109375" style="30" customWidth="1"/>
    <col min="3595" max="3595" width="13.5703125" style="30" customWidth="1"/>
    <col min="3596" max="3596" width="13" style="30" customWidth="1"/>
    <col min="3597" max="3841" width="9.140625" style="30"/>
    <col min="3842" max="3842" width="2.7109375" style="30" customWidth="1"/>
    <col min="3843" max="3843" width="9.140625" style="30"/>
    <col min="3844" max="3844" width="40.28515625" style="30" bestFit="1" customWidth="1"/>
    <col min="3845" max="3845" width="10.7109375" style="30" customWidth="1"/>
    <col min="3846" max="3846" width="10" style="30" customWidth="1"/>
    <col min="3847" max="3847" width="17.85546875" style="30" customWidth="1"/>
    <col min="3848" max="3848" width="7.7109375" style="30" customWidth="1"/>
    <col min="3849" max="3849" width="12.28515625" style="30" customWidth="1"/>
    <col min="3850" max="3850" width="12.7109375" style="30" customWidth="1"/>
    <col min="3851" max="3851" width="13.5703125" style="30" customWidth="1"/>
    <col min="3852" max="3852" width="13" style="30" customWidth="1"/>
    <col min="3853" max="4097" width="9.140625" style="30"/>
    <col min="4098" max="4098" width="2.7109375" style="30" customWidth="1"/>
    <col min="4099" max="4099" width="9.140625" style="30"/>
    <col min="4100" max="4100" width="40.28515625" style="30" bestFit="1" customWidth="1"/>
    <col min="4101" max="4101" width="10.7109375" style="30" customWidth="1"/>
    <col min="4102" max="4102" width="10" style="30" customWidth="1"/>
    <col min="4103" max="4103" width="17.85546875" style="30" customWidth="1"/>
    <col min="4104" max="4104" width="7.7109375" style="30" customWidth="1"/>
    <col min="4105" max="4105" width="12.28515625" style="30" customWidth="1"/>
    <col min="4106" max="4106" width="12.7109375" style="30" customWidth="1"/>
    <col min="4107" max="4107" width="13.5703125" style="30" customWidth="1"/>
    <col min="4108" max="4108" width="13" style="30" customWidth="1"/>
    <col min="4109" max="4353" width="9.140625" style="30"/>
    <col min="4354" max="4354" width="2.7109375" style="30" customWidth="1"/>
    <col min="4355" max="4355" width="9.140625" style="30"/>
    <col min="4356" max="4356" width="40.28515625" style="30" bestFit="1" customWidth="1"/>
    <col min="4357" max="4357" width="10.7109375" style="30" customWidth="1"/>
    <col min="4358" max="4358" width="10" style="30" customWidth="1"/>
    <col min="4359" max="4359" width="17.85546875" style="30" customWidth="1"/>
    <col min="4360" max="4360" width="7.7109375" style="30" customWidth="1"/>
    <col min="4361" max="4361" width="12.28515625" style="30" customWidth="1"/>
    <col min="4362" max="4362" width="12.7109375" style="30" customWidth="1"/>
    <col min="4363" max="4363" width="13.5703125" style="30" customWidth="1"/>
    <col min="4364" max="4364" width="13" style="30" customWidth="1"/>
    <col min="4365" max="4609" width="9.140625" style="30"/>
    <col min="4610" max="4610" width="2.7109375" style="30" customWidth="1"/>
    <col min="4611" max="4611" width="9.140625" style="30"/>
    <col min="4612" max="4612" width="40.28515625" style="30" bestFit="1" customWidth="1"/>
    <col min="4613" max="4613" width="10.7109375" style="30" customWidth="1"/>
    <col min="4614" max="4614" width="10" style="30" customWidth="1"/>
    <col min="4615" max="4615" width="17.85546875" style="30" customWidth="1"/>
    <col min="4616" max="4616" width="7.7109375" style="30" customWidth="1"/>
    <col min="4617" max="4617" width="12.28515625" style="30" customWidth="1"/>
    <col min="4618" max="4618" width="12.7109375" style="30" customWidth="1"/>
    <col min="4619" max="4619" width="13.5703125" style="30" customWidth="1"/>
    <col min="4620" max="4620" width="13" style="30" customWidth="1"/>
    <col min="4621" max="4865" width="9.140625" style="30"/>
    <col min="4866" max="4866" width="2.7109375" style="30" customWidth="1"/>
    <col min="4867" max="4867" width="9.140625" style="30"/>
    <col min="4868" max="4868" width="40.28515625" style="30" bestFit="1" customWidth="1"/>
    <col min="4869" max="4869" width="10.7109375" style="30" customWidth="1"/>
    <col min="4870" max="4870" width="10" style="30" customWidth="1"/>
    <col min="4871" max="4871" width="17.85546875" style="30" customWidth="1"/>
    <col min="4872" max="4872" width="7.7109375" style="30" customWidth="1"/>
    <col min="4873" max="4873" width="12.28515625" style="30" customWidth="1"/>
    <col min="4874" max="4874" width="12.7109375" style="30" customWidth="1"/>
    <col min="4875" max="4875" width="13.5703125" style="30" customWidth="1"/>
    <col min="4876" max="4876" width="13" style="30" customWidth="1"/>
    <col min="4877" max="5121" width="9.140625" style="30"/>
    <col min="5122" max="5122" width="2.7109375" style="30" customWidth="1"/>
    <col min="5123" max="5123" width="9.140625" style="30"/>
    <col min="5124" max="5124" width="40.28515625" style="30" bestFit="1" customWidth="1"/>
    <col min="5125" max="5125" width="10.7109375" style="30" customWidth="1"/>
    <col min="5126" max="5126" width="10" style="30" customWidth="1"/>
    <col min="5127" max="5127" width="17.85546875" style="30" customWidth="1"/>
    <col min="5128" max="5128" width="7.7109375" style="30" customWidth="1"/>
    <col min="5129" max="5129" width="12.28515625" style="30" customWidth="1"/>
    <col min="5130" max="5130" width="12.7109375" style="30" customWidth="1"/>
    <col min="5131" max="5131" width="13.5703125" style="30" customWidth="1"/>
    <col min="5132" max="5132" width="13" style="30" customWidth="1"/>
    <col min="5133" max="5377" width="9.140625" style="30"/>
    <col min="5378" max="5378" width="2.7109375" style="30" customWidth="1"/>
    <col min="5379" max="5379" width="9.140625" style="30"/>
    <col min="5380" max="5380" width="40.28515625" style="30" bestFit="1" customWidth="1"/>
    <col min="5381" max="5381" width="10.7109375" style="30" customWidth="1"/>
    <col min="5382" max="5382" width="10" style="30" customWidth="1"/>
    <col min="5383" max="5383" width="17.85546875" style="30" customWidth="1"/>
    <col min="5384" max="5384" width="7.7109375" style="30" customWidth="1"/>
    <col min="5385" max="5385" width="12.28515625" style="30" customWidth="1"/>
    <col min="5386" max="5386" width="12.7109375" style="30" customWidth="1"/>
    <col min="5387" max="5387" width="13.5703125" style="30" customWidth="1"/>
    <col min="5388" max="5388" width="13" style="30" customWidth="1"/>
    <col min="5389" max="5633" width="9.140625" style="30"/>
    <col min="5634" max="5634" width="2.7109375" style="30" customWidth="1"/>
    <col min="5635" max="5635" width="9.140625" style="30"/>
    <col min="5636" max="5636" width="40.28515625" style="30" bestFit="1" customWidth="1"/>
    <col min="5637" max="5637" width="10.7109375" style="30" customWidth="1"/>
    <col min="5638" max="5638" width="10" style="30" customWidth="1"/>
    <col min="5639" max="5639" width="17.85546875" style="30" customWidth="1"/>
    <col min="5640" max="5640" width="7.7109375" style="30" customWidth="1"/>
    <col min="5641" max="5641" width="12.28515625" style="30" customWidth="1"/>
    <col min="5642" max="5642" width="12.7109375" style="30" customWidth="1"/>
    <col min="5643" max="5643" width="13.5703125" style="30" customWidth="1"/>
    <col min="5644" max="5644" width="13" style="30" customWidth="1"/>
    <col min="5645" max="5889" width="9.140625" style="30"/>
    <col min="5890" max="5890" width="2.7109375" style="30" customWidth="1"/>
    <col min="5891" max="5891" width="9.140625" style="30"/>
    <col min="5892" max="5892" width="40.28515625" style="30" bestFit="1" customWidth="1"/>
    <col min="5893" max="5893" width="10.7109375" style="30" customWidth="1"/>
    <col min="5894" max="5894" width="10" style="30" customWidth="1"/>
    <col min="5895" max="5895" width="17.85546875" style="30" customWidth="1"/>
    <col min="5896" max="5896" width="7.7109375" style="30" customWidth="1"/>
    <col min="5897" max="5897" width="12.28515625" style="30" customWidth="1"/>
    <col min="5898" max="5898" width="12.7109375" style="30" customWidth="1"/>
    <col min="5899" max="5899" width="13.5703125" style="30" customWidth="1"/>
    <col min="5900" max="5900" width="13" style="30" customWidth="1"/>
    <col min="5901" max="6145" width="9.140625" style="30"/>
    <col min="6146" max="6146" width="2.7109375" style="30" customWidth="1"/>
    <col min="6147" max="6147" width="9.140625" style="30"/>
    <col min="6148" max="6148" width="40.28515625" style="30" bestFit="1" customWidth="1"/>
    <col min="6149" max="6149" width="10.7109375" style="30" customWidth="1"/>
    <col min="6150" max="6150" width="10" style="30" customWidth="1"/>
    <col min="6151" max="6151" width="17.85546875" style="30" customWidth="1"/>
    <col min="6152" max="6152" width="7.7109375" style="30" customWidth="1"/>
    <col min="6153" max="6153" width="12.28515625" style="30" customWidth="1"/>
    <col min="6154" max="6154" width="12.7109375" style="30" customWidth="1"/>
    <col min="6155" max="6155" width="13.5703125" style="30" customWidth="1"/>
    <col min="6156" max="6156" width="13" style="30" customWidth="1"/>
    <col min="6157" max="6401" width="9.140625" style="30"/>
    <col min="6402" max="6402" width="2.7109375" style="30" customWidth="1"/>
    <col min="6403" max="6403" width="9.140625" style="30"/>
    <col min="6404" max="6404" width="40.28515625" style="30" bestFit="1" customWidth="1"/>
    <col min="6405" max="6405" width="10.7109375" style="30" customWidth="1"/>
    <col min="6406" max="6406" width="10" style="30" customWidth="1"/>
    <col min="6407" max="6407" width="17.85546875" style="30" customWidth="1"/>
    <col min="6408" max="6408" width="7.7109375" style="30" customWidth="1"/>
    <col min="6409" max="6409" width="12.28515625" style="30" customWidth="1"/>
    <col min="6410" max="6410" width="12.7109375" style="30" customWidth="1"/>
    <col min="6411" max="6411" width="13.5703125" style="30" customWidth="1"/>
    <col min="6412" max="6412" width="13" style="30" customWidth="1"/>
    <col min="6413" max="6657" width="9.140625" style="30"/>
    <col min="6658" max="6658" width="2.7109375" style="30" customWidth="1"/>
    <col min="6659" max="6659" width="9.140625" style="30"/>
    <col min="6660" max="6660" width="40.28515625" style="30" bestFit="1" customWidth="1"/>
    <col min="6661" max="6661" width="10.7109375" style="30" customWidth="1"/>
    <col min="6662" max="6662" width="10" style="30" customWidth="1"/>
    <col min="6663" max="6663" width="17.85546875" style="30" customWidth="1"/>
    <col min="6664" max="6664" width="7.7109375" style="30" customWidth="1"/>
    <col min="6665" max="6665" width="12.28515625" style="30" customWidth="1"/>
    <col min="6666" max="6666" width="12.7109375" style="30" customWidth="1"/>
    <col min="6667" max="6667" width="13.5703125" style="30" customWidth="1"/>
    <col min="6668" max="6668" width="13" style="30" customWidth="1"/>
    <col min="6669" max="6913" width="9.140625" style="30"/>
    <col min="6914" max="6914" width="2.7109375" style="30" customWidth="1"/>
    <col min="6915" max="6915" width="9.140625" style="30"/>
    <col min="6916" max="6916" width="40.28515625" style="30" bestFit="1" customWidth="1"/>
    <col min="6917" max="6917" width="10.7109375" style="30" customWidth="1"/>
    <col min="6918" max="6918" width="10" style="30" customWidth="1"/>
    <col min="6919" max="6919" width="17.85546875" style="30" customWidth="1"/>
    <col min="6920" max="6920" width="7.7109375" style="30" customWidth="1"/>
    <col min="6921" max="6921" width="12.28515625" style="30" customWidth="1"/>
    <col min="6922" max="6922" width="12.7109375" style="30" customWidth="1"/>
    <col min="6923" max="6923" width="13.5703125" style="30" customWidth="1"/>
    <col min="6924" max="6924" width="13" style="30" customWidth="1"/>
    <col min="6925" max="7169" width="9.140625" style="30"/>
    <col min="7170" max="7170" width="2.7109375" style="30" customWidth="1"/>
    <col min="7171" max="7171" width="9.140625" style="30"/>
    <col min="7172" max="7172" width="40.28515625" style="30" bestFit="1" customWidth="1"/>
    <col min="7173" max="7173" width="10.7109375" style="30" customWidth="1"/>
    <col min="7174" max="7174" width="10" style="30" customWidth="1"/>
    <col min="7175" max="7175" width="17.85546875" style="30" customWidth="1"/>
    <col min="7176" max="7176" width="7.7109375" style="30" customWidth="1"/>
    <col min="7177" max="7177" width="12.28515625" style="30" customWidth="1"/>
    <col min="7178" max="7178" width="12.7109375" style="30" customWidth="1"/>
    <col min="7179" max="7179" width="13.5703125" style="30" customWidth="1"/>
    <col min="7180" max="7180" width="13" style="30" customWidth="1"/>
    <col min="7181" max="7425" width="9.140625" style="30"/>
    <col min="7426" max="7426" width="2.7109375" style="30" customWidth="1"/>
    <col min="7427" max="7427" width="9.140625" style="30"/>
    <col min="7428" max="7428" width="40.28515625" style="30" bestFit="1" customWidth="1"/>
    <col min="7429" max="7429" width="10.7109375" style="30" customWidth="1"/>
    <col min="7430" max="7430" width="10" style="30" customWidth="1"/>
    <col min="7431" max="7431" width="17.85546875" style="30" customWidth="1"/>
    <col min="7432" max="7432" width="7.7109375" style="30" customWidth="1"/>
    <col min="7433" max="7433" width="12.28515625" style="30" customWidth="1"/>
    <col min="7434" max="7434" width="12.7109375" style="30" customWidth="1"/>
    <col min="7435" max="7435" width="13.5703125" style="30" customWidth="1"/>
    <col min="7436" max="7436" width="13" style="30" customWidth="1"/>
    <col min="7437" max="7681" width="9.140625" style="30"/>
    <col min="7682" max="7682" width="2.7109375" style="30" customWidth="1"/>
    <col min="7683" max="7683" width="9.140625" style="30"/>
    <col min="7684" max="7684" width="40.28515625" style="30" bestFit="1" customWidth="1"/>
    <col min="7685" max="7685" width="10.7109375" style="30" customWidth="1"/>
    <col min="7686" max="7686" width="10" style="30" customWidth="1"/>
    <col min="7687" max="7687" width="17.85546875" style="30" customWidth="1"/>
    <col min="7688" max="7688" width="7.7109375" style="30" customWidth="1"/>
    <col min="7689" max="7689" width="12.28515625" style="30" customWidth="1"/>
    <col min="7690" max="7690" width="12.7109375" style="30" customWidth="1"/>
    <col min="7691" max="7691" width="13.5703125" style="30" customWidth="1"/>
    <col min="7692" max="7692" width="13" style="30" customWidth="1"/>
    <col min="7693" max="7937" width="9.140625" style="30"/>
    <col min="7938" max="7938" width="2.7109375" style="30" customWidth="1"/>
    <col min="7939" max="7939" width="9.140625" style="30"/>
    <col min="7940" max="7940" width="40.28515625" style="30" bestFit="1" customWidth="1"/>
    <col min="7941" max="7941" width="10.7109375" style="30" customWidth="1"/>
    <col min="7942" max="7942" width="10" style="30" customWidth="1"/>
    <col min="7943" max="7943" width="17.85546875" style="30" customWidth="1"/>
    <col min="7944" max="7944" width="7.7109375" style="30" customWidth="1"/>
    <col min="7945" max="7945" width="12.28515625" style="30" customWidth="1"/>
    <col min="7946" max="7946" width="12.7109375" style="30" customWidth="1"/>
    <col min="7947" max="7947" width="13.5703125" style="30" customWidth="1"/>
    <col min="7948" max="7948" width="13" style="30" customWidth="1"/>
    <col min="7949" max="8193" width="9.140625" style="30"/>
    <col min="8194" max="8194" width="2.7109375" style="30" customWidth="1"/>
    <col min="8195" max="8195" width="9.140625" style="30"/>
    <col min="8196" max="8196" width="40.28515625" style="30" bestFit="1" customWidth="1"/>
    <col min="8197" max="8197" width="10.7109375" style="30" customWidth="1"/>
    <col min="8198" max="8198" width="10" style="30" customWidth="1"/>
    <col min="8199" max="8199" width="17.85546875" style="30" customWidth="1"/>
    <col min="8200" max="8200" width="7.7109375" style="30" customWidth="1"/>
    <col min="8201" max="8201" width="12.28515625" style="30" customWidth="1"/>
    <col min="8202" max="8202" width="12.7109375" style="30" customWidth="1"/>
    <col min="8203" max="8203" width="13.5703125" style="30" customWidth="1"/>
    <col min="8204" max="8204" width="13" style="30" customWidth="1"/>
    <col min="8205" max="8449" width="9.140625" style="30"/>
    <col min="8450" max="8450" width="2.7109375" style="30" customWidth="1"/>
    <col min="8451" max="8451" width="9.140625" style="30"/>
    <col min="8452" max="8452" width="40.28515625" style="30" bestFit="1" customWidth="1"/>
    <col min="8453" max="8453" width="10.7109375" style="30" customWidth="1"/>
    <col min="8454" max="8454" width="10" style="30" customWidth="1"/>
    <col min="8455" max="8455" width="17.85546875" style="30" customWidth="1"/>
    <col min="8456" max="8456" width="7.7109375" style="30" customWidth="1"/>
    <col min="8457" max="8457" width="12.28515625" style="30" customWidth="1"/>
    <col min="8458" max="8458" width="12.7109375" style="30" customWidth="1"/>
    <col min="8459" max="8459" width="13.5703125" style="30" customWidth="1"/>
    <col min="8460" max="8460" width="13" style="30" customWidth="1"/>
    <col min="8461" max="8705" width="9.140625" style="30"/>
    <col min="8706" max="8706" width="2.7109375" style="30" customWidth="1"/>
    <col min="8707" max="8707" width="9.140625" style="30"/>
    <col min="8708" max="8708" width="40.28515625" style="30" bestFit="1" customWidth="1"/>
    <col min="8709" max="8709" width="10.7109375" style="30" customWidth="1"/>
    <col min="8710" max="8710" width="10" style="30" customWidth="1"/>
    <col min="8711" max="8711" width="17.85546875" style="30" customWidth="1"/>
    <col min="8712" max="8712" width="7.7109375" style="30" customWidth="1"/>
    <col min="8713" max="8713" width="12.28515625" style="30" customWidth="1"/>
    <col min="8714" max="8714" width="12.7109375" style="30" customWidth="1"/>
    <col min="8715" max="8715" width="13.5703125" style="30" customWidth="1"/>
    <col min="8716" max="8716" width="13" style="30" customWidth="1"/>
    <col min="8717" max="8961" width="9.140625" style="30"/>
    <col min="8962" max="8962" width="2.7109375" style="30" customWidth="1"/>
    <col min="8963" max="8963" width="9.140625" style="30"/>
    <col min="8964" max="8964" width="40.28515625" style="30" bestFit="1" customWidth="1"/>
    <col min="8965" max="8965" width="10.7109375" style="30" customWidth="1"/>
    <col min="8966" max="8966" width="10" style="30" customWidth="1"/>
    <col min="8967" max="8967" width="17.85546875" style="30" customWidth="1"/>
    <col min="8968" max="8968" width="7.7109375" style="30" customWidth="1"/>
    <col min="8969" max="8969" width="12.28515625" style="30" customWidth="1"/>
    <col min="8970" max="8970" width="12.7109375" style="30" customWidth="1"/>
    <col min="8971" max="8971" width="13.5703125" style="30" customWidth="1"/>
    <col min="8972" max="8972" width="13" style="30" customWidth="1"/>
    <col min="8973" max="9217" width="9.140625" style="30"/>
    <col min="9218" max="9218" width="2.7109375" style="30" customWidth="1"/>
    <col min="9219" max="9219" width="9.140625" style="30"/>
    <col min="9220" max="9220" width="40.28515625" style="30" bestFit="1" customWidth="1"/>
    <col min="9221" max="9221" width="10.7109375" style="30" customWidth="1"/>
    <col min="9222" max="9222" width="10" style="30" customWidth="1"/>
    <col min="9223" max="9223" width="17.85546875" style="30" customWidth="1"/>
    <col min="9224" max="9224" width="7.7109375" style="30" customWidth="1"/>
    <col min="9225" max="9225" width="12.28515625" style="30" customWidth="1"/>
    <col min="9226" max="9226" width="12.7109375" style="30" customWidth="1"/>
    <col min="9227" max="9227" width="13.5703125" style="30" customWidth="1"/>
    <col min="9228" max="9228" width="13" style="30" customWidth="1"/>
    <col min="9229" max="9473" width="9.140625" style="30"/>
    <col min="9474" max="9474" width="2.7109375" style="30" customWidth="1"/>
    <col min="9475" max="9475" width="9.140625" style="30"/>
    <col min="9476" max="9476" width="40.28515625" style="30" bestFit="1" customWidth="1"/>
    <col min="9477" max="9477" width="10.7109375" style="30" customWidth="1"/>
    <col min="9478" max="9478" width="10" style="30" customWidth="1"/>
    <col min="9479" max="9479" width="17.85546875" style="30" customWidth="1"/>
    <col min="9480" max="9480" width="7.7109375" style="30" customWidth="1"/>
    <col min="9481" max="9481" width="12.28515625" style="30" customWidth="1"/>
    <col min="9482" max="9482" width="12.7109375" style="30" customWidth="1"/>
    <col min="9483" max="9483" width="13.5703125" style="30" customWidth="1"/>
    <col min="9484" max="9484" width="13" style="30" customWidth="1"/>
    <col min="9485" max="9729" width="9.140625" style="30"/>
    <col min="9730" max="9730" width="2.7109375" style="30" customWidth="1"/>
    <col min="9731" max="9731" width="9.140625" style="30"/>
    <col min="9732" max="9732" width="40.28515625" style="30" bestFit="1" customWidth="1"/>
    <col min="9733" max="9733" width="10.7109375" style="30" customWidth="1"/>
    <col min="9734" max="9734" width="10" style="30" customWidth="1"/>
    <col min="9735" max="9735" width="17.85546875" style="30" customWidth="1"/>
    <col min="9736" max="9736" width="7.7109375" style="30" customWidth="1"/>
    <col min="9737" max="9737" width="12.28515625" style="30" customWidth="1"/>
    <col min="9738" max="9738" width="12.7109375" style="30" customWidth="1"/>
    <col min="9739" max="9739" width="13.5703125" style="30" customWidth="1"/>
    <col min="9740" max="9740" width="13" style="30" customWidth="1"/>
    <col min="9741" max="9985" width="9.140625" style="30"/>
    <col min="9986" max="9986" width="2.7109375" style="30" customWidth="1"/>
    <col min="9987" max="9987" width="9.140625" style="30"/>
    <col min="9988" max="9988" width="40.28515625" style="30" bestFit="1" customWidth="1"/>
    <col min="9989" max="9989" width="10.7109375" style="30" customWidth="1"/>
    <col min="9990" max="9990" width="10" style="30" customWidth="1"/>
    <col min="9991" max="9991" width="17.85546875" style="30" customWidth="1"/>
    <col min="9992" max="9992" width="7.7109375" style="30" customWidth="1"/>
    <col min="9993" max="9993" width="12.28515625" style="30" customWidth="1"/>
    <col min="9994" max="9994" width="12.7109375" style="30" customWidth="1"/>
    <col min="9995" max="9995" width="13.5703125" style="30" customWidth="1"/>
    <col min="9996" max="9996" width="13" style="30" customWidth="1"/>
    <col min="9997" max="10241" width="9.140625" style="30"/>
    <col min="10242" max="10242" width="2.7109375" style="30" customWidth="1"/>
    <col min="10243" max="10243" width="9.140625" style="30"/>
    <col min="10244" max="10244" width="40.28515625" style="30" bestFit="1" customWidth="1"/>
    <col min="10245" max="10245" width="10.7109375" style="30" customWidth="1"/>
    <col min="10246" max="10246" width="10" style="30" customWidth="1"/>
    <col min="10247" max="10247" width="17.85546875" style="30" customWidth="1"/>
    <col min="10248" max="10248" width="7.7109375" style="30" customWidth="1"/>
    <col min="10249" max="10249" width="12.28515625" style="30" customWidth="1"/>
    <col min="10250" max="10250" width="12.7109375" style="30" customWidth="1"/>
    <col min="10251" max="10251" width="13.5703125" style="30" customWidth="1"/>
    <col min="10252" max="10252" width="13" style="30" customWidth="1"/>
    <col min="10253" max="10497" width="9.140625" style="30"/>
    <col min="10498" max="10498" width="2.7109375" style="30" customWidth="1"/>
    <col min="10499" max="10499" width="9.140625" style="30"/>
    <col min="10500" max="10500" width="40.28515625" style="30" bestFit="1" customWidth="1"/>
    <col min="10501" max="10501" width="10.7109375" style="30" customWidth="1"/>
    <col min="10502" max="10502" width="10" style="30" customWidth="1"/>
    <col min="10503" max="10503" width="17.85546875" style="30" customWidth="1"/>
    <col min="10504" max="10504" width="7.7109375" style="30" customWidth="1"/>
    <col min="10505" max="10505" width="12.28515625" style="30" customWidth="1"/>
    <col min="10506" max="10506" width="12.7109375" style="30" customWidth="1"/>
    <col min="10507" max="10507" width="13.5703125" style="30" customWidth="1"/>
    <col min="10508" max="10508" width="13" style="30" customWidth="1"/>
    <col min="10509" max="10753" width="9.140625" style="30"/>
    <col min="10754" max="10754" width="2.7109375" style="30" customWidth="1"/>
    <col min="10755" max="10755" width="9.140625" style="30"/>
    <col min="10756" max="10756" width="40.28515625" style="30" bestFit="1" customWidth="1"/>
    <col min="10757" max="10757" width="10.7109375" style="30" customWidth="1"/>
    <col min="10758" max="10758" width="10" style="30" customWidth="1"/>
    <col min="10759" max="10759" width="17.85546875" style="30" customWidth="1"/>
    <col min="10760" max="10760" width="7.7109375" style="30" customWidth="1"/>
    <col min="10761" max="10761" width="12.28515625" style="30" customWidth="1"/>
    <col min="10762" max="10762" width="12.7109375" style="30" customWidth="1"/>
    <col min="10763" max="10763" width="13.5703125" style="30" customWidth="1"/>
    <col min="10764" max="10764" width="13" style="30" customWidth="1"/>
    <col min="10765" max="11009" width="9.140625" style="30"/>
    <col min="11010" max="11010" width="2.7109375" style="30" customWidth="1"/>
    <col min="11011" max="11011" width="9.140625" style="30"/>
    <col min="11012" max="11012" width="40.28515625" style="30" bestFit="1" customWidth="1"/>
    <col min="11013" max="11013" width="10.7109375" style="30" customWidth="1"/>
    <col min="11014" max="11014" width="10" style="30" customWidth="1"/>
    <col min="11015" max="11015" width="17.85546875" style="30" customWidth="1"/>
    <col min="11016" max="11016" width="7.7109375" style="30" customWidth="1"/>
    <col min="11017" max="11017" width="12.28515625" style="30" customWidth="1"/>
    <col min="11018" max="11018" width="12.7109375" style="30" customWidth="1"/>
    <col min="11019" max="11019" width="13.5703125" style="30" customWidth="1"/>
    <col min="11020" max="11020" width="13" style="30" customWidth="1"/>
    <col min="11021" max="11265" width="9.140625" style="30"/>
    <col min="11266" max="11266" width="2.7109375" style="30" customWidth="1"/>
    <col min="11267" max="11267" width="9.140625" style="30"/>
    <col min="11268" max="11268" width="40.28515625" style="30" bestFit="1" customWidth="1"/>
    <col min="11269" max="11269" width="10.7109375" style="30" customWidth="1"/>
    <col min="11270" max="11270" width="10" style="30" customWidth="1"/>
    <col min="11271" max="11271" width="17.85546875" style="30" customWidth="1"/>
    <col min="11272" max="11272" width="7.7109375" style="30" customWidth="1"/>
    <col min="11273" max="11273" width="12.28515625" style="30" customWidth="1"/>
    <col min="11274" max="11274" width="12.7109375" style="30" customWidth="1"/>
    <col min="11275" max="11275" width="13.5703125" style="30" customWidth="1"/>
    <col min="11276" max="11276" width="13" style="30" customWidth="1"/>
    <col min="11277" max="11521" width="9.140625" style="30"/>
    <col min="11522" max="11522" width="2.7109375" style="30" customWidth="1"/>
    <col min="11523" max="11523" width="9.140625" style="30"/>
    <col min="11524" max="11524" width="40.28515625" style="30" bestFit="1" customWidth="1"/>
    <col min="11525" max="11525" width="10.7109375" style="30" customWidth="1"/>
    <col min="11526" max="11526" width="10" style="30" customWidth="1"/>
    <col min="11527" max="11527" width="17.85546875" style="30" customWidth="1"/>
    <col min="11528" max="11528" width="7.7109375" style="30" customWidth="1"/>
    <col min="11529" max="11529" width="12.28515625" style="30" customWidth="1"/>
    <col min="11530" max="11530" width="12.7109375" style="30" customWidth="1"/>
    <col min="11531" max="11531" width="13.5703125" style="30" customWidth="1"/>
    <col min="11532" max="11532" width="13" style="30" customWidth="1"/>
    <col min="11533" max="11777" width="9.140625" style="30"/>
    <col min="11778" max="11778" width="2.7109375" style="30" customWidth="1"/>
    <col min="11779" max="11779" width="9.140625" style="30"/>
    <col min="11780" max="11780" width="40.28515625" style="30" bestFit="1" customWidth="1"/>
    <col min="11781" max="11781" width="10.7109375" style="30" customWidth="1"/>
    <col min="11782" max="11782" width="10" style="30" customWidth="1"/>
    <col min="11783" max="11783" width="17.85546875" style="30" customWidth="1"/>
    <col min="11784" max="11784" width="7.7109375" style="30" customWidth="1"/>
    <col min="11785" max="11785" width="12.28515625" style="30" customWidth="1"/>
    <col min="11786" max="11786" width="12.7109375" style="30" customWidth="1"/>
    <col min="11787" max="11787" width="13.5703125" style="30" customWidth="1"/>
    <col min="11788" max="11788" width="13" style="30" customWidth="1"/>
    <col min="11789" max="12033" width="9.140625" style="30"/>
    <col min="12034" max="12034" width="2.7109375" style="30" customWidth="1"/>
    <col min="12035" max="12035" width="9.140625" style="30"/>
    <col min="12036" max="12036" width="40.28515625" style="30" bestFit="1" customWidth="1"/>
    <col min="12037" max="12037" width="10.7109375" style="30" customWidth="1"/>
    <col min="12038" max="12038" width="10" style="30" customWidth="1"/>
    <col min="12039" max="12039" width="17.85546875" style="30" customWidth="1"/>
    <col min="12040" max="12040" width="7.7109375" style="30" customWidth="1"/>
    <col min="12041" max="12041" width="12.28515625" style="30" customWidth="1"/>
    <col min="12042" max="12042" width="12.7109375" style="30" customWidth="1"/>
    <col min="12043" max="12043" width="13.5703125" style="30" customWidth="1"/>
    <col min="12044" max="12044" width="13" style="30" customWidth="1"/>
    <col min="12045" max="12289" width="9.140625" style="30"/>
    <col min="12290" max="12290" width="2.7109375" style="30" customWidth="1"/>
    <col min="12291" max="12291" width="9.140625" style="30"/>
    <col min="12292" max="12292" width="40.28515625" style="30" bestFit="1" customWidth="1"/>
    <col min="12293" max="12293" width="10.7109375" style="30" customWidth="1"/>
    <col min="12294" max="12294" width="10" style="30" customWidth="1"/>
    <col min="12295" max="12295" width="17.85546875" style="30" customWidth="1"/>
    <col min="12296" max="12296" width="7.7109375" style="30" customWidth="1"/>
    <col min="12297" max="12297" width="12.28515625" style="30" customWidth="1"/>
    <col min="12298" max="12298" width="12.7109375" style="30" customWidth="1"/>
    <col min="12299" max="12299" width="13.5703125" style="30" customWidth="1"/>
    <col min="12300" max="12300" width="13" style="30" customWidth="1"/>
    <col min="12301" max="12545" width="9.140625" style="30"/>
    <col min="12546" max="12546" width="2.7109375" style="30" customWidth="1"/>
    <col min="12547" max="12547" width="9.140625" style="30"/>
    <col min="12548" max="12548" width="40.28515625" style="30" bestFit="1" customWidth="1"/>
    <col min="12549" max="12549" width="10.7109375" style="30" customWidth="1"/>
    <col min="12550" max="12550" width="10" style="30" customWidth="1"/>
    <col min="12551" max="12551" width="17.85546875" style="30" customWidth="1"/>
    <col min="12552" max="12552" width="7.7109375" style="30" customWidth="1"/>
    <col min="12553" max="12553" width="12.28515625" style="30" customWidth="1"/>
    <col min="12554" max="12554" width="12.7109375" style="30" customWidth="1"/>
    <col min="12555" max="12555" width="13.5703125" style="30" customWidth="1"/>
    <col min="12556" max="12556" width="13" style="30" customWidth="1"/>
    <col min="12557" max="12801" width="9.140625" style="30"/>
    <col min="12802" max="12802" width="2.7109375" style="30" customWidth="1"/>
    <col min="12803" max="12803" width="9.140625" style="30"/>
    <col min="12804" max="12804" width="40.28515625" style="30" bestFit="1" customWidth="1"/>
    <col min="12805" max="12805" width="10.7109375" style="30" customWidth="1"/>
    <col min="12806" max="12806" width="10" style="30" customWidth="1"/>
    <col min="12807" max="12807" width="17.85546875" style="30" customWidth="1"/>
    <col min="12808" max="12808" width="7.7109375" style="30" customWidth="1"/>
    <col min="12809" max="12809" width="12.28515625" style="30" customWidth="1"/>
    <col min="12810" max="12810" width="12.7109375" style="30" customWidth="1"/>
    <col min="12811" max="12811" width="13.5703125" style="30" customWidth="1"/>
    <col min="12812" max="12812" width="13" style="30" customWidth="1"/>
    <col min="12813" max="13057" width="9.140625" style="30"/>
    <col min="13058" max="13058" width="2.7109375" style="30" customWidth="1"/>
    <col min="13059" max="13059" width="9.140625" style="30"/>
    <col min="13060" max="13060" width="40.28515625" style="30" bestFit="1" customWidth="1"/>
    <col min="13061" max="13061" width="10.7109375" style="30" customWidth="1"/>
    <col min="13062" max="13062" width="10" style="30" customWidth="1"/>
    <col min="13063" max="13063" width="17.85546875" style="30" customWidth="1"/>
    <col min="13064" max="13064" width="7.7109375" style="30" customWidth="1"/>
    <col min="13065" max="13065" width="12.28515625" style="30" customWidth="1"/>
    <col min="13066" max="13066" width="12.7109375" style="30" customWidth="1"/>
    <col min="13067" max="13067" width="13.5703125" style="30" customWidth="1"/>
    <col min="13068" max="13068" width="13" style="30" customWidth="1"/>
    <col min="13069" max="13313" width="9.140625" style="30"/>
    <col min="13314" max="13314" width="2.7109375" style="30" customWidth="1"/>
    <col min="13315" max="13315" width="9.140625" style="30"/>
    <col min="13316" max="13316" width="40.28515625" style="30" bestFit="1" customWidth="1"/>
    <col min="13317" max="13317" width="10.7109375" style="30" customWidth="1"/>
    <col min="13318" max="13318" width="10" style="30" customWidth="1"/>
    <col min="13319" max="13319" width="17.85546875" style="30" customWidth="1"/>
    <col min="13320" max="13320" width="7.7109375" style="30" customWidth="1"/>
    <col min="13321" max="13321" width="12.28515625" style="30" customWidth="1"/>
    <col min="13322" max="13322" width="12.7109375" style="30" customWidth="1"/>
    <col min="13323" max="13323" width="13.5703125" style="30" customWidth="1"/>
    <col min="13324" max="13324" width="13" style="30" customWidth="1"/>
    <col min="13325" max="13569" width="9.140625" style="30"/>
    <col min="13570" max="13570" width="2.7109375" style="30" customWidth="1"/>
    <col min="13571" max="13571" width="9.140625" style="30"/>
    <col min="13572" max="13572" width="40.28515625" style="30" bestFit="1" customWidth="1"/>
    <col min="13573" max="13573" width="10.7109375" style="30" customWidth="1"/>
    <col min="13574" max="13574" width="10" style="30" customWidth="1"/>
    <col min="13575" max="13575" width="17.85546875" style="30" customWidth="1"/>
    <col min="13576" max="13576" width="7.7109375" style="30" customWidth="1"/>
    <col min="13577" max="13577" width="12.28515625" style="30" customWidth="1"/>
    <col min="13578" max="13578" width="12.7109375" style="30" customWidth="1"/>
    <col min="13579" max="13579" width="13.5703125" style="30" customWidth="1"/>
    <col min="13580" max="13580" width="13" style="30" customWidth="1"/>
    <col min="13581" max="13825" width="9.140625" style="30"/>
    <col min="13826" max="13826" width="2.7109375" style="30" customWidth="1"/>
    <col min="13827" max="13827" width="9.140625" style="30"/>
    <col min="13828" max="13828" width="40.28515625" style="30" bestFit="1" customWidth="1"/>
    <col min="13829" max="13829" width="10.7109375" style="30" customWidth="1"/>
    <col min="13830" max="13830" width="10" style="30" customWidth="1"/>
    <col min="13831" max="13831" width="17.85546875" style="30" customWidth="1"/>
    <col min="13832" max="13832" width="7.7109375" style="30" customWidth="1"/>
    <col min="13833" max="13833" width="12.28515625" style="30" customWidth="1"/>
    <col min="13834" max="13834" width="12.7109375" style="30" customWidth="1"/>
    <col min="13835" max="13835" width="13.5703125" style="30" customWidth="1"/>
    <col min="13836" max="13836" width="13" style="30" customWidth="1"/>
    <col min="13837" max="14081" width="9.140625" style="30"/>
    <col min="14082" max="14082" width="2.7109375" style="30" customWidth="1"/>
    <col min="14083" max="14083" width="9.140625" style="30"/>
    <col min="14084" max="14084" width="40.28515625" style="30" bestFit="1" customWidth="1"/>
    <col min="14085" max="14085" width="10.7109375" style="30" customWidth="1"/>
    <col min="14086" max="14086" width="10" style="30" customWidth="1"/>
    <col min="14087" max="14087" width="17.85546875" style="30" customWidth="1"/>
    <col min="14088" max="14088" width="7.7109375" style="30" customWidth="1"/>
    <col min="14089" max="14089" width="12.28515625" style="30" customWidth="1"/>
    <col min="14090" max="14090" width="12.7109375" style="30" customWidth="1"/>
    <col min="14091" max="14091" width="13.5703125" style="30" customWidth="1"/>
    <col min="14092" max="14092" width="13" style="30" customWidth="1"/>
    <col min="14093" max="14337" width="9.140625" style="30"/>
    <col min="14338" max="14338" width="2.7109375" style="30" customWidth="1"/>
    <col min="14339" max="14339" width="9.140625" style="30"/>
    <col min="14340" max="14340" width="40.28515625" style="30" bestFit="1" customWidth="1"/>
    <col min="14341" max="14341" width="10.7109375" style="30" customWidth="1"/>
    <col min="14342" max="14342" width="10" style="30" customWidth="1"/>
    <col min="14343" max="14343" width="17.85546875" style="30" customWidth="1"/>
    <col min="14344" max="14344" width="7.7109375" style="30" customWidth="1"/>
    <col min="14345" max="14345" width="12.28515625" style="30" customWidth="1"/>
    <col min="14346" max="14346" width="12.7109375" style="30" customWidth="1"/>
    <col min="14347" max="14347" width="13.5703125" style="30" customWidth="1"/>
    <col min="14348" max="14348" width="13" style="30" customWidth="1"/>
    <col min="14349" max="14593" width="9.140625" style="30"/>
    <col min="14594" max="14594" width="2.7109375" style="30" customWidth="1"/>
    <col min="14595" max="14595" width="9.140625" style="30"/>
    <col min="14596" max="14596" width="40.28515625" style="30" bestFit="1" customWidth="1"/>
    <col min="14597" max="14597" width="10.7109375" style="30" customWidth="1"/>
    <col min="14598" max="14598" width="10" style="30" customWidth="1"/>
    <col min="14599" max="14599" width="17.85546875" style="30" customWidth="1"/>
    <col min="14600" max="14600" width="7.7109375" style="30" customWidth="1"/>
    <col min="14601" max="14601" width="12.28515625" style="30" customWidth="1"/>
    <col min="14602" max="14602" width="12.7109375" style="30" customWidth="1"/>
    <col min="14603" max="14603" width="13.5703125" style="30" customWidth="1"/>
    <col min="14604" max="14604" width="13" style="30" customWidth="1"/>
    <col min="14605" max="14849" width="9.140625" style="30"/>
    <col min="14850" max="14850" width="2.7109375" style="30" customWidth="1"/>
    <col min="14851" max="14851" width="9.140625" style="30"/>
    <col min="14852" max="14852" width="40.28515625" style="30" bestFit="1" customWidth="1"/>
    <col min="14853" max="14853" width="10.7109375" style="30" customWidth="1"/>
    <col min="14854" max="14854" width="10" style="30" customWidth="1"/>
    <col min="14855" max="14855" width="17.85546875" style="30" customWidth="1"/>
    <col min="14856" max="14856" width="7.7109375" style="30" customWidth="1"/>
    <col min="14857" max="14857" width="12.28515625" style="30" customWidth="1"/>
    <col min="14858" max="14858" width="12.7109375" style="30" customWidth="1"/>
    <col min="14859" max="14859" width="13.5703125" style="30" customWidth="1"/>
    <col min="14860" max="14860" width="13" style="30" customWidth="1"/>
    <col min="14861" max="15105" width="9.140625" style="30"/>
    <col min="15106" max="15106" width="2.7109375" style="30" customWidth="1"/>
    <col min="15107" max="15107" width="9.140625" style="30"/>
    <col min="15108" max="15108" width="40.28515625" style="30" bestFit="1" customWidth="1"/>
    <col min="15109" max="15109" width="10.7109375" style="30" customWidth="1"/>
    <col min="15110" max="15110" width="10" style="30" customWidth="1"/>
    <col min="15111" max="15111" width="17.85546875" style="30" customWidth="1"/>
    <col min="15112" max="15112" width="7.7109375" style="30" customWidth="1"/>
    <col min="15113" max="15113" width="12.28515625" style="30" customWidth="1"/>
    <col min="15114" max="15114" width="12.7109375" style="30" customWidth="1"/>
    <col min="15115" max="15115" width="13.5703125" style="30" customWidth="1"/>
    <col min="15116" max="15116" width="13" style="30" customWidth="1"/>
    <col min="15117" max="15361" width="9.140625" style="30"/>
    <col min="15362" max="15362" width="2.7109375" style="30" customWidth="1"/>
    <col min="15363" max="15363" width="9.140625" style="30"/>
    <col min="15364" max="15364" width="40.28515625" style="30" bestFit="1" customWidth="1"/>
    <col min="15365" max="15365" width="10.7109375" style="30" customWidth="1"/>
    <col min="15366" max="15366" width="10" style="30" customWidth="1"/>
    <col min="15367" max="15367" width="17.85546875" style="30" customWidth="1"/>
    <col min="15368" max="15368" width="7.7109375" style="30" customWidth="1"/>
    <col min="15369" max="15369" width="12.28515625" style="30" customWidth="1"/>
    <col min="15370" max="15370" width="12.7109375" style="30" customWidth="1"/>
    <col min="15371" max="15371" width="13.5703125" style="30" customWidth="1"/>
    <col min="15372" max="15372" width="13" style="30" customWidth="1"/>
    <col min="15373" max="15617" width="9.140625" style="30"/>
    <col min="15618" max="15618" width="2.7109375" style="30" customWidth="1"/>
    <col min="15619" max="15619" width="9.140625" style="30"/>
    <col min="15620" max="15620" width="40.28515625" style="30" bestFit="1" customWidth="1"/>
    <col min="15621" max="15621" width="10.7109375" style="30" customWidth="1"/>
    <col min="15622" max="15622" width="10" style="30" customWidth="1"/>
    <col min="15623" max="15623" width="17.85546875" style="30" customWidth="1"/>
    <col min="15624" max="15624" width="7.7109375" style="30" customWidth="1"/>
    <col min="15625" max="15625" width="12.28515625" style="30" customWidth="1"/>
    <col min="15626" max="15626" width="12.7109375" style="30" customWidth="1"/>
    <col min="15627" max="15627" width="13.5703125" style="30" customWidth="1"/>
    <col min="15628" max="15628" width="13" style="30" customWidth="1"/>
    <col min="15629" max="15873" width="9.140625" style="30"/>
    <col min="15874" max="15874" width="2.7109375" style="30" customWidth="1"/>
    <col min="15875" max="15875" width="9.140625" style="30"/>
    <col min="15876" max="15876" width="40.28515625" style="30" bestFit="1" customWidth="1"/>
    <col min="15877" max="15877" width="10.7109375" style="30" customWidth="1"/>
    <col min="15878" max="15878" width="10" style="30" customWidth="1"/>
    <col min="15879" max="15879" width="17.85546875" style="30" customWidth="1"/>
    <col min="15880" max="15880" width="7.7109375" style="30" customWidth="1"/>
    <col min="15881" max="15881" width="12.28515625" style="30" customWidth="1"/>
    <col min="15882" max="15882" width="12.7109375" style="30" customWidth="1"/>
    <col min="15883" max="15883" width="13.5703125" style="30" customWidth="1"/>
    <col min="15884" max="15884" width="13" style="30" customWidth="1"/>
    <col min="15885" max="16129" width="9.140625" style="30"/>
    <col min="16130" max="16130" width="2.7109375" style="30" customWidth="1"/>
    <col min="16131" max="16131" width="9.140625" style="30"/>
    <col min="16132" max="16132" width="40.28515625" style="30" bestFit="1" customWidth="1"/>
    <col min="16133" max="16133" width="10.7109375" style="30" customWidth="1"/>
    <col min="16134" max="16134" width="10" style="30" customWidth="1"/>
    <col min="16135" max="16135" width="17.85546875" style="30" customWidth="1"/>
    <col min="16136" max="16136" width="7.7109375" style="30" customWidth="1"/>
    <col min="16137" max="16137" width="12.28515625" style="30" customWidth="1"/>
    <col min="16138" max="16138" width="12.7109375" style="30" customWidth="1"/>
    <col min="16139" max="16139" width="13.5703125" style="30" customWidth="1"/>
    <col min="16140" max="16140" width="13" style="30" customWidth="1"/>
    <col min="16141" max="16384" width="9.140625" style="30"/>
  </cols>
  <sheetData>
    <row r="1" spans="1:13">
      <c r="H1" s="121"/>
      <c r="I1" s="61"/>
      <c r="J1" s="61"/>
      <c r="K1" s="31" t="s">
        <v>131</v>
      </c>
      <c r="L1" s="32" t="str">
        <f>'LDC Info'!$E$18</f>
        <v>EB-2012-0126</v>
      </c>
      <c r="M1" s="61"/>
    </row>
    <row r="2" spans="1:13">
      <c r="H2" s="121"/>
      <c r="I2" s="61"/>
      <c r="J2" s="61"/>
      <c r="K2" s="31" t="s">
        <v>132</v>
      </c>
      <c r="L2" s="33"/>
      <c r="M2" s="61"/>
    </row>
    <row r="3" spans="1:13">
      <c r="H3" s="121"/>
      <c r="I3" s="61"/>
      <c r="J3" s="61"/>
      <c r="K3" s="31" t="s">
        <v>133</v>
      </c>
      <c r="L3" s="33"/>
      <c r="M3" s="61"/>
    </row>
    <row r="4" spans="1:13">
      <c r="H4" s="121"/>
      <c r="I4" s="61"/>
      <c r="J4" s="61"/>
      <c r="K4" s="31" t="s">
        <v>134</v>
      </c>
      <c r="L4" s="33"/>
      <c r="M4" s="61"/>
    </row>
    <row r="5" spans="1:13">
      <c r="H5" s="121"/>
      <c r="I5" s="61"/>
      <c r="J5" s="61"/>
      <c r="K5" s="31" t="s">
        <v>135</v>
      </c>
      <c r="L5" s="34"/>
      <c r="M5" s="61"/>
    </row>
    <row r="6" spans="1:13">
      <c r="H6" s="121"/>
      <c r="I6" s="61"/>
      <c r="J6" s="61"/>
      <c r="K6" s="31"/>
      <c r="L6" s="32"/>
      <c r="M6" s="61"/>
    </row>
    <row r="7" spans="1:13">
      <c r="H7" s="121"/>
      <c r="I7" s="61"/>
      <c r="J7" s="122"/>
      <c r="K7" s="31" t="s">
        <v>136</v>
      </c>
      <c r="L7" s="34" t="s">
        <v>1171</v>
      </c>
      <c r="M7" s="122"/>
    </row>
    <row r="9" spans="1:13" ht="18">
      <c r="A9" s="1132" t="s">
        <v>330</v>
      </c>
      <c r="B9" s="1132"/>
      <c r="C9" s="1132"/>
      <c r="D9" s="1132"/>
      <c r="E9" s="1132"/>
      <c r="F9" s="1132"/>
      <c r="G9" s="1132"/>
      <c r="H9" s="1132"/>
      <c r="I9" s="1132"/>
      <c r="J9" s="1132"/>
      <c r="K9" s="1132"/>
      <c r="L9" s="1132"/>
    </row>
    <row r="10" spans="1:13" ht="18">
      <c r="A10" s="1132" t="s">
        <v>331</v>
      </c>
      <c r="B10" s="1132"/>
      <c r="C10" s="1132"/>
      <c r="D10" s="1132"/>
      <c r="E10" s="1132"/>
      <c r="F10" s="1132"/>
      <c r="G10" s="1132"/>
      <c r="H10" s="1132"/>
      <c r="I10" s="1132"/>
      <c r="J10" s="1132"/>
      <c r="K10" s="1132"/>
      <c r="L10" s="1132"/>
    </row>
    <row r="11" spans="1:13" ht="21.75" customHeight="1">
      <c r="A11" s="1133" t="s">
        <v>332</v>
      </c>
      <c r="B11" s="1133"/>
      <c r="C11" s="1133"/>
      <c r="D11" s="1133"/>
      <c r="E11" s="1133"/>
      <c r="F11" s="1133"/>
      <c r="G11" s="1133"/>
      <c r="H11" s="1133"/>
      <c r="I11" s="1133"/>
      <c r="J11" s="1133"/>
      <c r="K11" s="1133"/>
      <c r="L11" s="1133"/>
    </row>
    <row r="12" spans="1:13" ht="13.5" customHeight="1">
      <c r="A12" s="123"/>
      <c r="B12" s="123"/>
      <c r="C12" s="124" t="s">
        <v>333</v>
      </c>
      <c r="D12" s="125">
        <v>2011</v>
      </c>
      <c r="E12" s="124" t="s">
        <v>143</v>
      </c>
      <c r="H12" s="123"/>
      <c r="I12" s="123"/>
      <c r="J12" s="123"/>
    </row>
    <row r="13" spans="1:13" ht="15" customHeight="1" thickBot="1"/>
    <row r="14" spans="1:13" ht="61.5" customHeight="1">
      <c r="A14" s="1134" t="s">
        <v>334</v>
      </c>
      <c r="B14" s="1136" t="s">
        <v>279</v>
      </c>
      <c r="C14" s="126" t="s">
        <v>335</v>
      </c>
      <c r="D14" s="126" t="s">
        <v>336</v>
      </c>
      <c r="E14" s="126" t="s">
        <v>337</v>
      </c>
      <c r="F14" s="126" t="s">
        <v>282</v>
      </c>
      <c r="G14" s="126" t="s">
        <v>338</v>
      </c>
      <c r="H14" s="126" t="s">
        <v>339</v>
      </c>
      <c r="I14" s="126" t="s">
        <v>280</v>
      </c>
      <c r="J14" s="127" t="s">
        <v>340</v>
      </c>
      <c r="K14" s="1138" t="s">
        <v>341</v>
      </c>
      <c r="L14" s="127" t="s">
        <v>342</v>
      </c>
    </row>
    <row r="15" spans="1:13" ht="19.5" customHeight="1" thickBot="1">
      <c r="A15" s="1135"/>
      <c r="B15" s="1137"/>
      <c r="C15" s="128" t="s">
        <v>343</v>
      </c>
      <c r="D15" s="128" t="s">
        <v>344</v>
      </c>
      <c r="E15" s="128" t="s">
        <v>345</v>
      </c>
      <c r="F15" s="128" t="s">
        <v>346</v>
      </c>
      <c r="G15" s="129" t="s">
        <v>347</v>
      </c>
      <c r="H15" s="128" t="s">
        <v>348</v>
      </c>
      <c r="I15" s="128" t="s">
        <v>349</v>
      </c>
      <c r="J15" s="130" t="s">
        <v>350</v>
      </c>
      <c r="K15" s="1139"/>
      <c r="L15" s="130" t="s">
        <v>351</v>
      </c>
    </row>
    <row r="16" spans="1:13">
      <c r="A16" s="131">
        <v>1611</v>
      </c>
      <c r="B16" s="132" t="s">
        <v>286</v>
      </c>
      <c r="C16" s="133">
        <f>VLOOKUP(A16,'App.2-B_Fixed Asset Con''ty 2011'!$B$16:$E$53,4,FALSE)</f>
        <v>2505349.5</v>
      </c>
      <c r="D16" s="133">
        <v>-1500808.3599999999</v>
      </c>
      <c r="E16" s="134">
        <f>C16+D16</f>
        <v>1004541.1400000001</v>
      </c>
      <c r="F16" s="133">
        <f>VLOOKUP(A16,'App.2-B_Fixed Asset Con''ty 2011'!$B$16:$F$53,5,FALSE)</f>
        <v>138685.47</v>
      </c>
      <c r="G16" s="135">
        <f>E16+0.5*F16</f>
        <v>1073883.8750000002</v>
      </c>
      <c r="H16" s="136">
        <v>5</v>
      </c>
      <c r="I16" s="137">
        <f t="shared" ref="I16:I54" si="0">IF(H16=0,"",1/H16)</f>
        <v>0.2</v>
      </c>
      <c r="J16" s="138">
        <f t="shared" ref="J16:J54" si="1">IF(H16=0,0,G16/H16)</f>
        <v>214776.77500000005</v>
      </c>
      <c r="K16" s="133">
        <f>-'App.2-B_Fixed Asset Con''ty 2011'!K16</f>
        <v>214776.78</v>
      </c>
      <c r="L16" s="138">
        <f>IF(ISERROR(+J16-K16), "", +J16-K16)</f>
        <v>-4.999999946448952E-3</v>
      </c>
    </row>
    <row r="17" spans="1:12">
      <c r="A17" s="139">
        <v>1612</v>
      </c>
      <c r="B17" s="140" t="s">
        <v>288</v>
      </c>
      <c r="C17" s="141">
        <f>VLOOKUP(A17,'App.2-B_Fixed Asset Con''ty 2011'!$B$16:$E$53,4,FALSE)</f>
        <v>0</v>
      </c>
      <c r="D17" s="141"/>
      <c r="E17" s="134">
        <f t="shared" ref="E17:E54" si="2">C17+D17</f>
        <v>0</v>
      </c>
      <c r="F17" s="133">
        <f>VLOOKUP(A17,'App.2-B_Fixed Asset Con''ty 2011'!$B$16:$F$53,5,FALSE)</f>
        <v>0</v>
      </c>
      <c r="G17" s="142">
        <f t="shared" ref="G17:G54" si="3">E17+0.5*F17</f>
        <v>0</v>
      </c>
      <c r="H17" s="143"/>
      <c r="I17" s="144" t="str">
        <f t="shared" si="0"/>
        <v/>
      </c>
      <c r="J17" s="145">
        <f t="shared" si="1"/>
        <v>0</v>
      </c>
      <c r="K17" s="133">
        <f>-'App.2-B_Fixed Asset Con''ty 2011'!K17</f>
        <v>0</v>
      </c>
      <c r="L17" s="145">
        <f t="shared" ref="L17:L54" si="4">IF(ISERROR(+J17-K17), "", +J17-K17)</f>
        <v>0</v>
      </c>
    </row>
    <row r="18" spans="1:12">
      <c r="A18" s="146">
        <v>1805</v>
      </c>
      <c r="B18" s="147" t="s">
        <v>163</v>
      </c>
      <c r="C18" s="141">
        <f>VLOOKUP(A18,'App.2-B_Fixed Asset Con''ty 2011'!$B$16:$E$53,4,FALSE)</f>
        <v>857298.24</v>
      </c>
      <c r="D18" s="141"/>
      <c r="E18" s="134">
        <f t="shared" si="2"/>
        <v>857298.24</v>
      </c>
      <c r="F18" s="133">
        <f>VLOOKUP(A18,'App.2-B_Fixed Asset Con''ty 2011'!$B$16:$F$53,5,FALSE)</f>
        <v>0</v>
      </c>
      <c r="G18" s="142">
        <f t="shared" si="3"/>
        <v>857298.24</v>
      </c>
      <c r="H18" s="143"/>
      <c r="I18" s="144" t="str">
        <f t="shared" si="0"/>
        <v/>
      </c>
      <c r="J18" s="145">
        <f t="shared" si="1"/>
        <v>0</v>
      </c>
      <c r="K18" s="133">
        <f>-'App.2-B_Fixed Asset Con''ty 2011'!K18</f>
        <v>0</v>
      </c>
      <c r="L18" s="145">
        <f t="shared" si="4"/>
        <v>0</v>
      </c>
    </row>
    <row r="19" spans="1:12">
      <c r="A19" s="139">
        <v>1808</v>
      </c>
      <c r="B19" s="148" t="s">
        <v>162</v>
      </c>
      <c r="C19" s="141">
        <f>VLOOKUP(A19,'App.2-B_Fixed Asset Con''ty 2011'!$B$16:$E$53,4,FALSE)</f>
        <v>9230592.6199999992</v>
      </c>
      <c r="D19" s="141">
        <v>-1213773.5900000017</v>
      </c>
      <c r="E19" s="134">
        <f t="shared" si="2"/>
        <v>8016819.0299999975</v>
      </c>
      <c r="F19" s="133">
        <f>VLOOKUP(A19,'App.2-B_Fixed Asset Con''ty 2011'!$B$16:$F$53,5,FALSE)</f>
        <v>0</v>
      </c>
      <c r="G19" s="142">
        <f t="shared" si="3"/>
        <v>8016819.0299999975</v>
      </c>
      <c r="H19" s="143">
        <v>50</v>
      </c>
      <c r="I19" s="144">
        <f t="shared" si="0"/>
        <v>0.02</v>
      </c>
      <c r="J19" s="145">
        <f t="shared" si="1"/>
        <v>160336.38059999995</v>
      </c>
      <c r="K19" s="133">
        <f>-'App.2-B_Fixed Asset Con''ty 2011'!K19</f>
        <v>183886.11</v>
      </c>
      <c r="L19" s="145">
        <f t="shared" si="4"/>
        <v>-23549.72940000004</v>
      </c>
    </row>
    <row r="20" spans="1:12">
      <c r="A20" s="139">
        <v>1808</v>
      </c>
      <c r="B20" s="140" t="s">
        <v>352</v>
      </c>
      <c r="C20" s="141">
        <f>'App.2-B_Fixed Asset Con''ty 2011'!E20</f>
        <v>567528.35</v>
      </c>
      <c r="D20" s="141"/>
      <c r="E20" s="134">
        <f t="shared" si="2"/>
        <v>567528.35</v>
      </c>
      <c r="F20" s="133">
        <f>'App.2-B_Fixed Asset Con''ty 2011'!F20</f>
        <v>159351.34</v>
      </c>
      <c r="G20" s="142">
        <f t="shared" si="3"/>
        <v>647204.02</v>
      </c>
      <c r="H20" s="143">
        <v>15</v>
      </c>
      <c r="I20" s="144">
        <f t="shared" si="0"/>
        <v>6.6666666666666666E-2</v>
      </c>
      <c r="J20" s="145">
        <f t="shared" si="1"/>
        <v>43146.934666666668</v>
      </c>
      <c r="K20" s="133">
        <f>-'App.2-B_Fixed Asset Con''ty 2011'!K20</f>
        <v>43146.92</v>
      </c>
      <c r="L20" s="145">
        <f t="shared" si="4"/>
        <v>1.466666666965466E-2</v>
      </c>
    </row>
    <row r="21" spans="1:12">
      <c r="A21" s="139">
        <v>1815</v>
      </c>
      <c r="B21" s="148" t="s">
        <v>291</v>
      </c>
      <c r="C21" s="141">
        <f>VLOOKUP(A21,'App.2-B_Fixed Asset Con''ty 2011'!$B$16:$E$53,4,FALSE)</f>
        <v>0</v>
      </c>
      <c r="D21" s="141"/>
      <c r="E21" s="134">
        <f t="shared" si="2"/>
        <v>0</v>
      </c>
      <c r="F21" s="133">
        <f>VLOOKUP(A21,'App.2-B_Fixed Asset Con''ty 2011'!$B$16:$F$53,5,FALSE)</f>
        <v>0</v>
      </c>
      <c r="G21" s="142">
        <f t="shared" si="3"/>
        <v>0</v>
      </c>
      <c r="H21" s="143"/>
      <c r="I21" s="144" t="str">
        <f t="shared" si="0"/>
        <v/>
      </c>
      <c r="J21" s="145">
        <f t="shared" si="1"/>
        <v>0</v>
      </c>
      <c r="K21" s="133">
        <f>-'App.2-B_Fixed Asset Con''ty 2011'!K21</f>
        <v>0</v>
      </c>
      <c r="L21" s="145">
        <f t="shared" si="4"/>
        <v>0</v>
      </c>
    </row>
    <row r="22" spans="1:12">
      <c r="A22" s="139">
        <v>1820</v>
      </c>
      <c r="B22" s="140" t="s">
        <v>292</v>
      </c>
      <c r="C22" s="141">
        <f>VLOOKUP(A22,'App.2-B_Fixed Asset Con''ty 2011'!$B$16:$E$53,4,FALSE)</f>
        <v>16299670.350000001</v>
      </c>
      <c r="D22" s="141">
        <v>-3109316.7462499999</v>
      </c>
      <c r="E22" s="134">
        <f t="shared" si="2"/>
        <v>13190353.603750002</v>
      </c>
      <c r="F22" s="133">
        <f>VLOOKUP(A22,'App.2-B_Fixed Asset Con''ty 2011'!$B$16:$F$53,5,FALSE)</f>
        <v>161491.04999999999</v>
      </c>
      <c r="G22" s="142">
        <f t="shared" si="3"/>
        <v>13271099.128750002</v>
      </c>
      <c r="H22" s="143">
        <v>30</v>
      </c>
      <c r="I22" s="144">
        <f t="shared" si="0"/>
        <v>3.3333333333333333E-2</v>
      </c>
      <c r="J22" s="145">
        <f t="shared" si="1"/>
        <v>442369.9709583334</v>
      </c>
      <c r="K22" s="133">
        <f>-'App.2-B_Fixed Asset Con''ty 2011'!K22</f>
        <v>436762.62</v>
      </c>
      <c r="L22" s="145">
        <f t="shared" si="4"/>
        <v>5607.3509583334089</v>
      </c>
    </row>
    <row r="23" spans="1:12">
      <c r="A23" s="139">
        <v>1825</v>
      </c>
      <c r="B23" s="148" t="s">
        <v>293</v>
      </c>
      <c r="C23" s="141">
        <f>VLOOKUP(A23,'App.2-B_Fixed Asset Con''ty 2011'!$B$16:$E$53,4,FALSE)</f>
        <v>0</v>
      </c>
      <c r="D23" s="141"/>
      <c r="E23" s="134">
        <f t="shared" si="2"/>
        <v>0</v>
      </c>
      <c r="F23" s="133">
        <f>VLOOKUP(A23,'App.2-B_Fixed Asset Con''ty 2011'!$B$16:$F$53,5,FALSE)</f>
        <v>0</v>
      </c>
      <c r="G23" s="142">
        <f t="shared" si="3"/>
        <v>0</v>
      </c>
      <c r="H23" s="143"/>
      <c r="I23" s="144" t="str">
        <f t="shared" si="0"/>
        <v/>
      </c>
      <c r="J23" s="145">
        <f t="shared" si="1"/>
        <v>0</v>
      </c>
      <c r="K23" s="133">
        <f>-'App.2-B_Fixed Asset Con''ty 2011'!K23</f>
        <v>0</v>
      </c>
      <c r="L23" s="145">
        <f t="shared" si="4"/>
        <v>0</v>
      </c>
    </row>
    <row r="24" spans="1:12">
      <c r="A24" s="139">
        <v>1830</v>
      </c>
      <c r="B24" s="148" t="s">
        <v>146</v>
      </c>
      <c r="C24" s="141">
        <f>VLOOKUP(A24,'App.2-B_Fixed Asset Con''ty 2011'!$B$16:$E$53,4,FALSE)</f>
        <v>16383182.68</v>
      </c>
      <c r="D24" s="141">
        <v>-2532569.9846000001</v>
      </c>
      <c r="E24" s="134">
        <f t="shared" si="2"/>
        <v>13850612.6954</v>
      </c>
      <c r="F24" s="133">
        <f>VLOOKUP(A24,'App.2-B_Fixed Asset Con''ty 2011'!$B$16:$F$53,5,FALSE)</f>
        <v>1607668.4</v>
      </c>
      <c r="G24" s="142">
        <f t="shared" si="3"/>
        <v>14654446.895399999</v>
      </c>
      <c r="H24" s="143">
        <v>25</v>
      </c>
      <c r="I24" s="144">
        <f t="shared" si="0"/>
        <v>0.04</v>
      </c>
      <c r="J24" s="145">
        <f t="shared" si="1"/>
        <v>586177.87581599993</v>
      </c>
      <c r="K24" s="133">
        <f>-'App.2-B_Fixed Asset Con''ty 2011'!K24</f>
        <v>607615.34</v>
      </c>
      <c r="L24" s="145">
        <f t="shared" si="4"/>
        <v>-21437.46418400004</v>
      </c>
    </row>
    <row r="25" spans="1:12">
      <c r="A25" s="139">
        <v>1835</v>
      </c>
      <c r="B25" s="148" t="s">
        <v>152</v>
      </c>
      <c r="C25" s="141">
        <f>VLOOKUP(A25,'App.2-B_Fixed Asset Con''ty 2011'!$B$16:$E$53,4,FALSE)</f>
        <v>40866691.43</v>
      </c>
      <c r="D25" s="141">
        <v>-11468376.482076198</v>
      </c>
      <c r="E25" s="134">
        <f t="shared" si="2"/>
        <v>29398314.947923802</v>
      </c>
      <c r="F25" s="133">
        <f>VLOOKUP(A25,'App.2-B_Fixed Asset Con''ty 2011'!$B$16:$F$53,5,FALSE)</f>
        <v>836176.62</v>
      </c>
      <c r="G25" s="142">
        <f t="shared" si="3"/>
        <v>29816403.2579238</v>
      </c>
      <c r="H25" s="143">
        <v>25</v>
      </c>
      <c r="I25" s="144">
        <f t="shared" si="0"/>
        <v>0.04</v>
      </c>
      <c r="J25" s="145">
        <f t="shared" si="1"/>
        <v>1192656.130316952</v>
      </c>
      <c r="K25" s="133">
        <f>-'App.2-B_Fixed Asset Con''ty 2011'!K25</f>
        <v>1173922.6100000001</v>
      </c>
      <c r="L25" s="145">
        <f t="shared" si="4"/>
        <v>18733.520316951908</v>
      </c>
    </row>
    <row r="26" spans="1:12">
      <c r="A26" s="139">
        <v>1840</v>
      </c>
      <c r="B26" s="148" t="s">
        <v>294</v>
      </c>
      <c r="C26" s="141">
        <f>VLOOKUP(A26,'App.2-B_Fixed Asset Con''ty 2011'!$B$16:$E$53,4,FALSE)</f>
        <v>19095049.899999999</v>
      </c>
      <c r="D26" s="141">
        <v>-1040048.2878221695</v>
      </c>
      <c r="E26" s="134">
        <f t="shared" si="2"/>
        <v>18055001.61217783</v>
      </c>
      <c r="F26" s="133">
        <f>VLOOKUP(A26,'App.2-B_Fixed Asset Con''ty 2011'!$B$16:$F$53,5,FALSE)</f>
        <v>862067.59</v>
      </c>
      <c r="G26" s="142">
        <f t="shared" si="3"/>
        <v>18486035.407177832</v>
      </c>
      <c r="H26" s="143">
        <v>25</v>
      </c>
      <c r="I26" s="144">
        <f t="shared" si="0"/>
        <v>0.04</v>
      </c>
      <c r="J26" s="145">
        <f t="shared" si="1"/>
        <v>739441.41628711333</v>
      </c>
      <c r="K26" s="133">
        <f>-'App.2-B_Fixed Asset Con''ty 2011'!K26</f>
        <v>707708.22</v>
      </c>
      <c r="L26" s="145">
        <f t="shared" si="4"/>
        <v>31733.196287113358</v>
      </c>
    </row>
    <row r="27" spans="1:12">
      <c r="A27" s="139">
        <v>1845</v>
      </c>
      <c r="B27" s="148" t="s">
        <v>295</v>
      </c>
      <c r="C27" s="141">
        <f>VLOOKUP(A27,'App.2-B_Fixed Asset Con''ty 2011'!$B$16:$E$53,4,FALSE)</f>
        <v>19989151.240000002</v>
      </c>
      <c r="D27" s="141">
        <v>-867333.37752823171</v>
      </c>
      <c r="E27" s="134">
        <f t="shared" si="2"/>
        <v>19121817.86247177</v>
      </c>
      <c r="F27" s="133">
        <f>VLOOKUP(A27,'App.2-B_Fixed Asset Con''ty 2011'!$B$16:$F$53,5,FALSE)</f>
        <v>676951.37</v>
      </c>
      <c r="G27" s="142">
        <f t="shared" si="3"/>
        <v>19460293.547471769</v>
      </c>
      <c r="H27" s="143">
        <v>25</v>
      </c>
      <c r="I27" s="144">
        <f t="shared" si="0"/>
        <v>0.04</v>
      </c>
      <c r="J27" s="145">
        <f t="shared" si="1"/>
        <v>778411.74189887079</v>
      </c>
      <c r="K27" s="133">
        <f>-'App.2-B_Fixed Asset Con''ty 2011'!K27</f>
        <v>746852.59</v>
      </c>
      <c r="L27" s="145">
        <f t="shared" si="4"/>
        <v>31559.151898870827</v>
      </c>
    </row>
    <row r="28" spans="1:12">
      <c r="A28" s="139">
        <v>1850</v>
      </c>
      <c r="B28" s="148" t="s">
        <v>154</v>
      </c>
      <c r="C28" s="141">
        <f>VLOOKUP(A28,'App.2-B_Fixed Asset Con''ty 2011'!$B$16:$E$53,4,FALSE)</f>
        <v>26909415.529999994</v>
      </c>
      <c r="D28" s="141">
        <v>-5955530.8989818189</v>
      </c>
      <c r="E28" s="134">
        <f t="shared" si="2"/>
        <v>20953884.631018177</v>
      </c>
      <c r="F28" s="133">
        <f>VLOOKUP(A28,'App.2-B_Fixed Asset Con''ty 2011'!$B$16:$F$53,5,FALSE)</f>
        <v>1019439.58</v>
      </c>
      <c r="G28" s="142">
        <f t="shared" si="3"/>
        <v>21463604.421018176</v>
      </c>
      <c r="H28" s="143">
        <v>25</v>
      </c>
      <c r="I28" s="144">
        <f t="shared" si="0"/>
        <v>0.04</v>
      </c>
      <c r="J28" s="145">
        <f t="shared" si="1"/>
        <v>858544.17684072698</v>
      </c>
      <c r="K28" s="133">
        <f>-'App.2-B_Fixed Asset Con''ty 2011'!K28</f>
        <v>863400.9</v>
      </c>
      <c r="L28" s="145">
        <f t="shared" si="4"/>
        <v>-4856.7231592730386</v>
      </c>
    </row>
    <row r="29" spans="1:12">
      <c r="A29" s="139">
        <v>1855</v>
      </c>
      <c r="B29" s="148" t="s">
        <v>155</v>
      </c>
      <c r="C29" s="141">
        <f>VLOOKUP(A29,'App.2-B_Fixed Asset Con''ty 2011'!$B$16:$E$53,4,FALSE)</f>
        <v>9977239.7000000011</v>
      </c>
      <c r="D29" s="141">
        <v>-1570156.2051238243</v>
      </c>
      <c r="E29" s="134">
        <f t="shared" si="2"/>
        <v>8407083.4948761761</v>
      </c>
      <c r="F29" s="133">
        <f>VLOOKUP(A29,'App.2-B_Fixed Asset Con''ty 2011'!$B$16:$F$53,5,FALSE)</f>
        <v>993811.25</v>
      </c>
      <c r="G29" s="142">
        <f t="shared" si="3"/>
        <v>8903989.1198761761</v>
      </c>
      <c r="H29" s="143">
        <v>25</v>
      </c>
      <c r="I29" s="144">
        <f t="shared" si="0"/>
        <v>0.04</v>
      </c>
      <c r="J29" s="145">
        <f t="shared" si="1"/>
        <v>356159.56479504704</v>
      </c>
      <c r="K29" s="133">
        <f>-'App.2-B_Fixed Asset Con''ty 2011'!K29</f>
        <v>343957.6</v>
      </c>
      <c r="L29" s="145">
        <f t="shared" si="4"/>
        <v>12201.964795047068</v>
      </c>
    </row>
    <row r="30" spans="1:12">
      <c r="A30" s="139">
        <v>1860</v>
      </c>
      <c r="B30" s="148" t="s">
        <v>147</v>
      </c>
      <c r="C30" s="141">
        <f>VLOOKUP(A30,'App.2-B_Fixed Asset Con''ty 2011'!$B$16:$E$53,4,FALSE)</f>
        <v>8810025.3099999987</v>
      </c>
      <c r="D30" s="141">
        <v>-2462814.9506545453</v>
      </c>
      <c r="E30" s="134">
        <f t="shared" si="2"/>
        <v>6347210.3593454529</v>
      </c>
      <c r="F30" s="133">
        <f>VLOOKUP(A30,'App.2-B_Fixed Asset Con''ty 2011'!$B$16:$F$53,5,FALSE)</f>
        <v>18979.8</v>
      </c>
      <c r="G30" s="142">
        <f t="shared" si="3"/>
        <v>6356700.2593454532</v>
      </c>
      <c r="H30" s="143">
        <v>25</v>
      </c>
      <c r="I30" s="144">
        <f t="shared" si="0"/>
        <v>0.04</v>
      </c>
      <c r="J30" s="145">
        <f t="shared" si="1"/>
        <v>254268.01037381814</v>
      </c>
      <c r="K30" s="133">
        <f>-'App.2-B_Fixed Asset Con''ty 2011'!K30</f>
        <v>237974.5</v>
      </c>
      <c r="L30" s="145">
        <f t="shared" si="4"/>
        <v>16293.510373818135</v>
      </c>
    </row>
    <row r="31" spans="1:12">
      <c r="A31" s="146">
        <v>1860</v>
      </c>
      <c r="B31" s="147" t="s">
        <v>296</v>
      </c>
      <c r="C31" s="141">
        <v>0</v>
      </c>
      <c r="D31" s="141"/>
      <c r="E31" s="134">
        <f t="shared" si="2"/>
        <v>0</v>
      </c>
      <c r="F31" s="133"/>
      <c r="G31" s="142">
        <f t="shared" si="3"/>
        <v>0</v>
      </c>
      <c r="H31" s="143"/>
      <c r="I31" s="144" t="str">
        <f t="shared" si="0"/>
        <v/>
      </c>
      <c r="J31" s="145">
        <f t="shared" si="1"/>
        <v>0</v>
      </c>
      <c r="K31" s="133">
        <f>-'App.2-B_Fixed Asset Con''ty 2011'!K31</f>
        <v>0</v>
      </c>
      <c r="L31" s="145">
        <f t="shared" si="4"/>
        <v>0</v>
      </c>
    </row>
    <row r="32" spans="1:12">
      <c r="A32" s="146">
        <v>1905</v>
      </c>
      <c r="B32" s="147" t="s">
        <v>163</v>
      </c>
      <c r="C32" s="141">
        <f>VLOOKUP(A32,'App.2-B_Fixed Asset Con''ty 2011'!$B$16:$E$53,4,FALSE)</f>
        <v>0</v>
      </c>
      <c r="D32" s="141"/>
      <c r="E32" s="134">
        <f t="shared" si="2"/>
        <v>0</v>
      </c>
      <c r="F32" s="133">
        <f>VLOOKUP(A32,'App.2-B_Fixed Asset Con''ty 2011'!$B$16:$F$53,5,FALSE)</f>
        <v>0</v>
      </c>
      <c r="G32" s="142">
        <f t="shared" si="3"/>
        <v>0</v>
      </c>
      <c r="H32" s="143"/>
      <c r="I32" s="144" t="str">
        <f t="shared" si="0"/>
        <v/>
      </c>
      <c r="J32" s="145">
        <f t="shared" si="1"/>
        <v>0</v>
      </c>
      <c r="K32" s="133">
        <f>-'App.2-B_Fixed Asset Con''ty 2011'!K32</f>
        <v>0</v>
      </c>
      <c r="L32" s="145">
        <f t="shared" si="4"/>
        <v>0</v>
      </c>
    </row>
    <row r="33" spans="1:12">
      <c r="A33" s="139">
        <v>1908</v>
      </c>
      <c r="B33" s="148" t="s">
        <v>297</v>
      </c>
      <c r="C33" s="141">
        <f>VLOOKUP(A33,'App.2-B_Fixed Asset Con''ty 2011'!$B$16:$E$53,4,FALSE)</f>
        <v>0</v>
      </c>
      <c r="D33" s="141"/>
      <c r="E33" s="134">
        <f t="shared" si="2"/>
        <v>0</v>
      </c>
      <c r="F33" s="133">
        <f>VLOOKUP(A33,'App.2-B_Fixed Asset Con''ty 2011'!$B$16:$F$53,5,FALSE)</f>
        <v>0</v>
      </c>
      <c r="G33" s="142">
        <f t="shared" si="3"/>
        <v>0</v>
      </c>
      <c r="H33" s="143"/>
      <c r="I33" s="144" t="str">
        <f t="shared" si="0"/>
        <v/>
      </c>
      <c r="J33" s="145">
        <f t="shared" si="1"/>
        <v>0</v>
      </c>
      <c r="K33" s="133">
        <f>-'App.2-B_Fixed Asset Con''ty 2011'!K33</f>
        <v>0</v>
      </c>
      <c r="L33" s="145">
        <f t="shared" si="4"/>
        <v>0</v>
      </c>
    </row>
    <row r="34" spans="1:12">
      <c r="A34" s="139">
        <v>1910</v>
      </c>
      <c r="B34" s="148" t="s">
        <v>298</v>
      </c>
      <c r="C34" s="141">
        <f>VLOOKUP(A34,'App.2-B_Fixed Asset Con''ty 2011'!$B$16:$E$53,4,FALSE)</f>
        <v>0</v>
      </c>
      <c r="D34" s="141"/>
      <c r="E34" s="134">
        <f t="shared" si="2"/>
        <v>0</v>
      </c>
      <c r="F34" s="133">
        <f>VLOOKUP(A34,'App.2-B_Fixed Asset Con''ty 2011'!$B$16:$F$53,5,FALSE)</f>
        <v>0</v>
      </c>
      <c r="G34" s="142">
        <f t="shared" si="3"/>
        <v>0</v>
      </c>
      <c r="H34" s="143"/>
      <c r="I34" s="144" t="str">
        <f t="shared" si="0"/>
        <v/>
      </c>
      <c r="J34" s="145">
        <f t="shared" si="1"/>
        <v>0</v>
      </c>
      <c r="K34" s="133">
        <f>-'App.2-B_Fixed Asset Con''ty 2011'!K34</f>
        <v>0</v>
      </c>
      <c r="L34" s="145">
        <f t="shared" si="4"/>
        <v>0</v>
      </c>
    </row>
    <row r="35" spans="1:12">
      <c r="A35" s="139">
        <v>1915</v>
      </c>
      <c r="B35" s="148" t="s">
        <v>299</v>
      </c>
      <c r="C35" s="141">
        <f>VLOOKUP(A35,'App.2-B_Fixed Asset Con''ty 2011'!$B$16:$E$53,4,FALSE)</f>
        <v>44314.559999999998</v>
      </c>
      <c r="D35" s="141">
        <v>-35143.94</v>
      </c>
      <c r="E35" s="134">
        <f t="shared" si="2"/>
        <v>9170.6199999999953</v>
      </c>
      <c r="F35" s="133">
        <f>VLOOKUP(A35,'App.2-B_Fixed Asset Con''ty 2011'!$B$16:$F$53,5,FALSE)</f>
        <v>0</v>
      </c>
      <c r="G35" s="142">
        <f t="shared" si="3"/>
        <v>9170.6199999999953</v>
      </c>
      <c r="H35" s="143">
        <v>10</v>
      </c>
      <c r="I35" s="144">
        <f t="shared" si="0"/>
        <v>0.1</v>
      </c>
      <c r="J35" s="145">
        <f t="shared" si="1"/>
        <v>917.06199999999956</v>
      </c>
      <c r="K35" s="133">
        <f>-'App.2-B_Fixed Asset Con''ty 2011'!K35</f>
        <v>938.52</v>
      </c>
      <c r="L35" s="145">
        <f t="shared" si="4"/>
        <v>-21.458000000000425</v>
      </c>
    </row>
    <row r="36" spans="1:12">
      <c r="A36" s="139">
        <v>1915</v>
      </c>
      <c r="B36" s="148" t="s">
        <v>300</v>
      </c>
      <c r="C36" s="141">
        <v>0</v>
      </c>
      <c r="D36" s="141"/>
      <c r="E36" s="134">
        <f t="shared" si="2"/>
        <v>0</v>
      </c>
      <c r="F36" s="133">
        <f>VLOOKUP(A36,'App.2-B_Fixed Asset Con''ty 2011'!$B$16:$F$53,5,FALSE)</f>
        <v>0</v>
      </c>
      <c r="G36" s="142">
        <f t="shared" si="3"/>
        <v>0</v>
      </c>
      <c r="H36" s="143"/>
      <c r="I36" s="144" t="str">
        <f t="shared" si="0"/>
        <v/>
      </c>
      <c r="J36" s="145">
        <f t="shared" si="1"/>
        <v>0</v>
      </c>
      <c r="K36" s="133">
        <f>-'App.2-B_Fixed Asset Con''ty 2011'!K36</f>
        <v>0</v>
      </c>
      <c r="L36" s="145">
        <f t="shared" si="4"/>
        <v>0</v>
      </c>
    </row>
    <row r="37" spans="1:12">
      <c r="A37" s="139">
        <v>1920</v>
      </c>
      <c r="B37" s="148" t="s">
        <v>301</v>
      </c>
      <c r="C37" s="141">
        <f>VLOOKUP(A37,'App.2-B_Fixed Asset Con''ty 2011'!$B$16:$E$53,4,FALSE)</f>
        <v>0</v>
      </c>
      <c r="D37" s="141"/>
      <c r="E37" s="134">
        <f t="shared" si="2"/>
        <v>0</v>
      </c>
      <c r="F37" s="133">
        <f>VLOOKUP(A37,'App.2-B_Fixed Asset Con''ty 2011'!$B$16:$F$53,5,FALSE)</f>
        <v>153986.72</v>
      </c>
      <c r="G37" s="142">
        <f t="shared" si="3"/>
        <v>76993.36</v>
      </c>
      <c r="H37" s="143">
        <v>5</v>
      </c>
      <c r="I37" s="144">
        <f t="shared" si="0"/>
        <v>0.2</v>
      </c>
      <c r="J37" s="145">
        <f t="shared" si="1"/>
        <v>15398.672</v>
      </c>
      <c r="K37" s="133">
        <f>-'App.2-B_Fixed Asset Con''ty 2011'!K37</f>
        <v>15398.67</v>
      </c>
      <c r="L37" s="145">
        <f t="shared" si="4"/>
        <v>2.0000000004074536E-3</v>
      </c>
    </row>
    <row r="38" spans="1:12">
      <c r="A38" s="149">
        <v>1920</v>
      </c>
      <c r="B38" s="140" t="s">
        <v>302</v>
      </c>
      <c r="C38" s="141">
        <f>VLOOKUP(A38,'App.2-B_Fixed Asset Con''ty 2011'!$B$16:$E$53,4,FALSE)</f>
        <v>0</v>
      </c>
      <c r="D38" s="141"/>
      <c r="E38" s="134">
        <f t="shared" si="2"/>
        <v>0</v>
      </c>
      <c r="F38" s="133">
        <v>0</v>
      </c>
      <c r="G38" s="142">
        <f t="shared" si="3"/>
        <v>0</v>
      </c>
      <c r="H38" s="143"/>
      <c r="I38" s="144" t="str">
        <f t="shared" si="0"/>
        <v/>
      </c>
      <c r="J38" s="145">
        <f t="shared" si="1"/>
        <v>0</v>
      </c>
      <c r="K38" s="133">
        <f>-'App.2-B_Fixed Asset Con''ty 2011'!K38</f>
        <v>0</v>
      </c>
      <c r="L38" s="145">
        <f t="shared" si="4"/>
        <v>0</v>
      </c>
    </row>
    <row r="39" spans="1:12">
      <c r="A39" s="149">
        <v>1920</v>
      </c>
      <c r="B39" s="140" t="s">
        <v>303</v>
      </c>
      <c r="C39" s="141">
        <f>VLOOKUP(A39,'App.2-B_Fixed Asset Con''ty 2011'!$B$16:$E$53,4,FALSE)</f>
        <v>0</v>
      </c>
      <c r="D39" s="141"/>
      <c r="E39" s="134">
        <f t="shared" si="2"/>
        <v>0</v>
      </c>
      <c r="F39" s="133">
        <v>0</v>
      </c>
      <c r="G39" s="142">
        <f t="shared" si="3"/>
        <v>0</v>
      </c>
      <c r="H39" s="143"/>
      <c r="I39" s="144" t="str">
        <f t="shared" si="0"/>
        <v/>
      </c>
      <c r="J39" s="145">
        <f t="shared" si="1"/>
        <v>0</v>
      </c>
      <c r="K39" s="133">
        <f>-'App.2-B_Fixed Asset Con''ty 2011'!K39</f>
        <v>0</v>
      </c>
      <c r="L39" s="145">
        <f t="shared" si="4"/>
        <v>0</v>
      </c>
    </row>
    <row r="40" spans="1:12">
      <c r="A40" s="139">
        <v>1930</v>
      </c>
      <c r="B40" s="148" t="s">
        <v>304</v>
      </c>
      <c r="C40" s="141">
        <v>1439497.0600000003</v>
      </c>
      <c r="D40" s="141">
        <v>-974132.73</v>
      </c>
      <c r="E40" s="134">
        <f t="shared" si="2"/>
        <v>465364.33000000031</v>
      </c>
      <c r="F40" s="141">
        <v>58915.74</v>
      </c>
      <c r="G40" s="142">
        <f t="shared" si="3"/>
        <v>494822.2000000003</v>
      </c>
      <c r="H40" s="143">
        <v>4</v>
      </c>
      <c r="I40" s="144">
        <f t="shared" si="0"/>
        <v>0.25</v>
      </c>
      <c r="J40" s="145">
        <f t="shared" si="1"/>
        <v>123705.55000000008</v>
      </c>
      <c r="K40" s="141">
        <v>135293.01999999999</v>
      </c>
      <c r="L40" s="145">
        <f t="shared" si="4"/>
        <v>-11587.469999999914</v>
      </c>
    </row>
    <row r="41" spans="1:12">
      <c r="A41" s="139">
        <v>1930</v>
      </c>
      <c r="B41" s="148" t="s">
        <v>304</v>
      </c>
      <c r="C41" s="141">
        <v>3601992.5100000007</v>
      </c>
      <c r="D41" s="141">
        <v>-1616759.58</v>
      </c>
      <c r="E41" s="134">
        <f t="shared" si="2"/>
        <v>1985232.9300000006</v>
      </c>
      <c r="F41" s="141">
        <v>504034.33</v>
      </c>
      <c r="G41" s="142">
        <f t="shared" si="3"/>
        <v>2237250.0950000007</v>
      </c>
      <c r="H41" s="143">
        <v>8</v>
      </c>
      <c r="I41" s="144">
        <f t="shared" si="0"/>
        <v>0.125</v>
      </c>
      <c r="J41" s="145">
        <f t="shared" si="1"/>
        <v>279656.26187500008</v>
      </c>
      <c r="K41" s="141">
        <v>284186.01</v>
      </c>
      <c r="L41" s="145">
        <f t="shared" si="4"/>
        <v>-4529.7481249999255</v>
      </c>
    </row>
    <row r="42" spans="1:12">
      <c r="A42" s="139">
        <v>1935</v>
      </c>
      <c r="B42" s="148" t="s">
        <v>305</v>
      </c>
      <c r="C42" s="141">
        <f>VLOOKUP(A42,'App.2-B_Fixed Asset Con''ty 2011'!$B$16:$E$53,4,FALSE)</f>
        <v>0</v>
      </c>
      <c r="D42" s="141"/>
      <c r="E42" s="134">
        <f t="shared" si="2"/>
        <v>0</v>
      </c>
      <c r="F42" s="133">
        <f>VLOOKUP(A42,'App.2-B_Fixed Asset Con''ty 2011'!$B$16:$F$53,5,FALSE)</f>
        <v>0</v>
      </c>
      <c r="G42" s="142">
        <f t="shared" si="3"/>
        <v>0</v>
      </c>
      <c r="H42" s="143"/>
      <c r="I42" s="144" t="str">
        <f t="shared" si="0"/>
        <v/>
      </c>
      <c r="J42" s="145">
        <f t="shared" si="1"/>
        <v>0</v>
      </c>
      <c r="K42" s="133"/>
      <c r="L42" s="145">
        <f t="shared" si="4"/>
        <v>0</v>
      </c>
    </row>
    <row r="43" spans="1:12">
      <c r="A43" s="139">
        <v>1940</v>
      </c>
      <c r="B43" s="148" t="s">
        <v>185</v>
      </c>
      <c r="C43" s="141">
        <f>VLOOKUP(A43,'App.2-B_Fixed Asset Con''ty 2011'!$B$16:$E$53,4,FALSE)</f>
        <v>1741755.78</v>
      </c>
      <c r="D43" s="141">
        <v>-943943.62999999989</v>
      </c>
      <c r="E43" s="134">
        <f t="shared" si="2"/>
        <v>797812.15000000014</v>
      </c>
      <c r="F43" s="133">
        <f>VLOOKUP(A43,'App.2-B_Fixed Asset Con''ty 2011'!$B$16:$F$53,5,FALSE)</f>
        <v>77853.63</v>
      </c>
      <c r="G43" s="142">
        <f t="shared" si="3"/>
        <v>836738.96500000008</v>
      </c>
      <c r="H43" s="143">
        <v>10</v>
      </c>
      <c r="I43" s="144">
        <f t="shared" si="0"/>
        <v>0.1</v>
      </c>
      <c r="J43" s="145">
        <f t="shared" si="1"/>
        <v>83673.896500000003</v>
      </c>
      <c r="K43" s="133">
        <f>-'App.2-B_Fixed Asset Con''ty 2011'!K42</f>
        <v>82930.460000000006</v>
      </c>
      <c r="L43" s="145">
        <f t="shared" si="4"/>
        <v>743.43649999999616</v>
      </c>
    </row>
    <row r="44" spans="1:12">
      <c r="A44" s="139">
        <v>1945</v>
      </c>
      <c r="B44" s="148" t="s">
        <v>306</v>
      </c>
      <c r="C44" s="141">
        <f>VLOOKUP(A44,'App.2-B_Fixed Asset Con''ty 2011'!$B$16:$E$53,4,FALSE)</f>
        <v>0</v>
      </c>
      <c r="D44" s="141"/>
      <c r="E44" s="134">
        <f t="shared" si="2"/>
        <v>0</v>
      </c>
      <c r="F44" s="133">
        <f>VLOOKUP(A44,'App.2-B_Fixed Asset Con''ty 2011'!$B$16:$F$53,5,FALSE)</f>
        <v>0</v>
      </c>
      <c r="G44" s="142">
        <f t="shared" si="3"/>
        <v>0</v>
      </c>
      <c r="H44" s="143"/>
      <c r="I44" s="144" t="str">
        <f t="shared" si="0"/>
        <v/>
      </c>
      <c r="J44" s="145">
        <f t="shared" si="1"/>
        <v>0</v>
      </c>
      <c r="K44" s="133">
        <f>-'App.2-B_Fixed Asset Con''ty 2011'!K43</f>
        <v>0</v>
      </c>
      <c r="L44" s="145">
        <f t="shared" si="4"/>
        <v>0</v>
      </c>
    </row>
    <row r="45" spans="1:12">
      <c r="A45" s="139">
        <v>1950</v>
      </c>
      <c r="B45" s="148" t="s">
        <v>307</v>
      </c>
      <c r="C45" s="141">
        <f>VLOOKUP(A45,'App.2-B_Fixed Asset Con''ty 2011'!$B$16:$E$53,4,FALSE)</f>
        <v>0</v>
      </c>
      <c r="D45" s="141"/>
      <c r="E45" s="134">
        <f t="shared" si="2"/>
        <v>0</v>
      </c>
      <c r="F45" s="133">
        <f>VLOOKUP(A45,'App.2-B_Fixed Asset Con''ty 2011'!$B$16:$F$53,5,FALSE)</f>
        <v>0</v>
      </c>
      <c r="G45" s="142">
        <f t="shared" si="3"/>
        <v>0</v>
      </c>
      <c r="H45" s="143"/>
      <c r="I45" s="144" t="str">
        <f t="shared" si="0"/>
        <v/>
      </c>
      <c r="J45" s="145">
        <f t="shared" si="1"/>
        <v>0</v>
      </c>
      <c r="K45" s="133">
        <f>-'App.2-B_Fixed Asset Con''ty 2011'!K44</f>
        <v>0</v>
      </c>
      <c r="L45" s="145">
        <f t="shared" si="4"/>
        <v>0</v>
      </c>
    </row>
    <row r="46" spans="1:12">
      <c r="A46" s="139">
        <v>1955</v>
      </c>
      <c r="B46" s="148" t="s">
        <v>308</v>
      </c>
      <c r="C46" s="141">
        <f>VLOOKUP(A46,'App.2-B_Fixed Asset Con''ty 2011'!$B$16:$E$53,4,FALSE)</f>
        <v>2212829.86</v>
      </c>
      <c r="D46" s="141">
        <v>-25345.88</v>
      </c>
      <c r="E46" s="134">
        <f t="shared" si="2"/>
        <v>2187483.98</v>
      </c>
      <c r="F46" s="133">
        <f>VLOOKUP(A46,'App.2-B_Fixed Asset Con''ty 2011'!$B$16:$F$53,5,FALSE)</f>
        <v>7757</v>
      </c>
      <c r="G46" s="142">
        <f t="shared" si="3"/>
        <v>2191362.48</v>
      </c>
      <c r="H46" s="143">
        <v>25</v>
      </c>
      <c r="I46" s="144">
        <f t="shared" si="0"/>
        <v>0.04</v>
      </c>
      <c r="J46" s="145">
        <f t="shared" si="1"/>
        <v>87654.499200000006</v>
      </c>
      <c r="K46" s="133">
        <f>-'App.2-B_Fixed Asset Con''ty 2011'!K45</f>
        <v>78788.239999999991</v>
      </c>
      <c r="L46" s="145">
        <f t="shared" si="4"/>
        <v>8866.259200000015</v>
      </c>
    </row>
    <row r="47" spans="1:12">
      <c r="A47" s="150">
        <v>1955</v>
      </c>
      <c r="B47" s="151" t="s">
        <v>309</v>
      </c>
      <c r="C47" s="141">
        <v>0</v>
      </c>
      <c r="D47" s="141"/>
      <c r="E47" s="134">
        <f t="shared" si="2"/>
        <v>0</v>
      </c>
      <c r="F47" s="133"/>
      <c r="G47" s="142">
        <f t="shared" si="3"/>
        <v>0</v>
      </c>
      <c r="H47" s="143"/>
      <c r="I47" s="144" t="str">
        <f t="shared" si="0"/>
        <v/>
      </c>
      <c r="J47" s="145">
        <f t="shared" si="1"/>
        <v>0</v>
      </c>
      <c r="K47" s="133">
        <f>-'App.2-B_Fixed Asset Con''ty 2011'!K46</f>
        <v>0</v>
      </c>
      <c r="L47" s="145">
        <f t="shared" si="4"/>
        <v>0</v>
      </c>
    </row>
    <row r="48" spans="1:12">
      <c r="A48" s="149">
        <v>1960</v>
      </c>
      <c r="B48" s="140" t="s">
        <v>310</v>
      </c>
      <c r="C48" s="141">
        <f>VLOOKUP(A48,'App.2-B_Fixed Asset Con''ty 2011'!$B$16:$E$53,4,FALSE)</f>
        <v>0</v>
      </c>
      <c r="D48" s="141"/>
      <c r="E48" s="134">
        <f t="shared" si="2"/>
        <v>0</v>
      </c>
      <c r="F48" s="133">
        <f>VLOOKUP(A48,'App.2-B_Fixed Asset Con''ty 2011'!$B$16:$F$53,5,FALSE)</f>
        <v>0</v>
      </c>
      <c r="G48" s="142">
        <f t="shared" si="3"/>
        <v>0</v>
      </c>
      <c r="H48" s="143"/>
      <c r="I48" s="144" t="str">
        <f t="shared" si="0"/>
        <v/>
      </c>
      <c r="J48" s="145">
        <f t="shared" si="1"/>
        <v>0</v>
      </c>
      <c r="K48" s="133">
        <f>-'App.2-B_Fixed Asset Con''ty 2011'!K47</f>
        <v>0</v>
      </c>
      <c r="L48" s="145">
        <f t="shared" si="4"/>
        <v>0</v>
      </c>
    </row>
    <row r="49" spans="1:14">
      <c r="A49" s="139">
        <v>1975</v>
      </c>
      <c r="B49" s="148" t="s">
        <v>311</v>
      </c>
      <c r="C49" s="141">
        <f>VLOOKUP(A49,'App.2-B_Fixed Asset Con''ty 2011'!$B$16:$E$53,4,FALSE)</f>
        <v>0</v>
      </c>
      <c r="D49" s="141"/>
      <c r="E49" s="134">
        <f t="shared" si="2"/>
        <v>0</v>
      </c>
      <c r="F49" s="133">
        <f>VLOOKUP(A49,'App.2-B_Fixed Asset Con''ty 2011'!$B$16:$F$53,5,FALSE)</f>
        <v>0</v>
      </c>
      <c r="G49" s="142">
        <f t="shared" si="3"/>
        <v>0</v>
      </c>
      <c r="H49" s="143"/>
      <c r="I49" s="144" t="str">
        <f t="shared" si="0"/>
        <v/>
      </c>
      <c r="J49" s="145">
        <f t="shared" si="1"/>
        <v>0</v>
      </c>
      <c r="K49" s="133">
        <f>-'App.2-B_Fixed Asset Con''ty 2011'!K48</f>
        <v>0</v>
      </c>
      <c r="L49" s="145">
        <f t="shared" si="4"/>
        <v>0</v>
      </c>
    </row>
    <row r="50" spans="1:14">
      <c r="A50" s="139">
        <v>1980</v>
      </c>
      <c r="B50" s="148" t="s">
        <v>353</v>
      </c>
      <c r="C50" s="141">
        <f>VLOOKUP(A50,'App.2-B_Fixed Asset Con''ty 2011'!$B$16:$E$53,4,FALSE)</f>
        <v>1555443.13</v>
      </c>
      <c r="D50" s="141">
        <v>-712774.26</v>
      </c>
      <c r="E50" s="134">
        <f t="shared" si="2"/>
        <v>842668.86999999988</v>
      </c>
      <c r="F50" s="133">
        <f>VLOOKUP(A50,'App.2-B_Fixed Asset Con''ty 2011'!$B$16:$F$53,5,FALSE)</f>
        <v>17265</v>
      </c>
      <c r="G50" s="142">
        <f t="shared" si="3"/>
        <v>851301.36999999988</v>
      </c>
      <c r="H50" s="143">
        <v>15</v>
      </c>
      <c r="I50" s="144">
        <f t="shared" si="0"/>
        <v>6.6666666666666666E-2</v>
      </c>
      <c r="J50" s="145">
        <f t="shared" si="1"/>
        <v>56753.424666666659</v>
      </c>
      <c r="K50" s="133">
        <f>-'App.2-B_Fixed Asset Con''ty 2011'!K49</f>
        <v>56753.42</v>
      </c>
      <c r="L50" s="145">
        <f t="shared" si="4"/>
        <v>4.6666666603414342E-3</v>
      </c>
    </row>
    <row r="51" spans="1:14">
      <c r="A51" s="139">
        <v>1985</v>
      </c>
      <c r="B51" s="148" t="s">
        <v>312</v>
      </c>
      <c r="C51" s="141">
        <f>VLOOKUP(A51,'App.2-B_Fixed Asset Con''ty 2011'!$B$16:$E$53,4,FALSE)</f>
        <v>42116.86</v>
      </c>
      <c r="D51" s="141">
        <v>-42116.860000000008</v>
      </c>
      <c r="E51" s="134">
        <f t="shared" si="2"/>
        <v>0</v>
      </c>
      <c r="F51" s="133">
        <f>VLOOKUP(A51,'App.2-B_Fixed Asset Con''ty 2011'!$B$16:$F$53,5,FALSE)</f>
        <v>0</v>
      </c>
      <c r="G51" s="142">
        <f t="shared" si="3"/>
        <v>0</v>
      </c>
      <c r="H51" s="143"/>
      <c r="I51" s="144" t="str">
        <f t="shared" si="0"/>
        <v/>
      </c>
      <c r="J51" s="145">
        <f t="shared" si="1"/>
        <v>0</v>
      </c>
      <c r="K51" s="133">
        <f>-'App.2-B_Fixed Asset Con''ty 2011'!K50</f>
        <v>0</v>
      </c>
      <c r="L51" s="145">
        <f t="shared" si="4"/>
        <v>0</v>
      </c>
    </row>
    <row r="52" spans="1:14">
      <c r="A52" s="139">
        <v>1995</v>
      </c>
      <c r="B52" s="148" t="s">
        <v>313</v>
      </c>
      <c r="C52" s="141">
        <f>VLOOKUP(A52,'App.2-B_Fixed Asset Con''ty 2011'!$B$16:$E$53,4,FALSE)</f>
        <v>-13513098.059999999</v>
      </c>
      <c r="D52" s="141"/>
      <c r="E52" s="134">
        <f t="shared" si="2"/>
        <v>-13513098.059999999</v>
      </c>
      <c r="F52" s="133">
        <f>VLOOKUP(A52,'App.2-B_Fixed Asset Con''ty 2011'!$B$16:$F$53,5,FALSE)</f>
        <v>-1065202.67</v>
      </c>
      <c r="G52" s="142">
        <f t="shared" si="3"/>
        <v>-14045699.395</v>
      </c>
      <c r="H52" s="143">
        <v>25</v>
      </c>
      <c r="I52" s="144">
        <f t="shared" si="0"/>
        <v>0.04</v>
      </c>
      <c r="J52" s="152">
        <f t="shared" si="1"/>
        <v>-561827.97580000001</v>
      </c>
      <c r="K52" s="133">
        <f>-'App.2-B_Fixed Asset Con''ty 2011'!K51</f>
        <v>-561827.97</v>
      </c>
      <c r="L52" s="145">
        <f t="shared" si="4"/>
        <v>-5.8000000426545739E-3</v>
      </c>
    </row>
    <row r="53" spans="1:14">
      <c r="A53" s="139">
        <v>1330</v>
      </c>
      <c r="B53" s="140" t="s">
        <v>322</v>
      </c>
      <c r="C53" s="141">
        <f>VLOOKUP(A53,'App.2-B_Fixed Asset Con''ty 2011'!$B$16:$E$53,4,FALSE)</f>
        <v>1022658</v>
      </c>
      <c r="D53" s="141"/>
      <c r="E53" s="134">
        <f t="shared" si="2"/>
        <v>1022658</v>
      </c>
      <c r="F53" s="133">
        <f>VLOOKUP(A53,'App.2-B_Fixed Asset Con''ty 2011'!$B$16:$F$53,5,FALSE)</f>
        <v>105162</v>
      </c>
      <c r="G53" s="142">
        <f t="shared" si="3"/>
        <v>1075239</v>
      </c>
      <c r="H53" s="143"/>
      <c r="I53" s="144" t="str">
        <f t="shared" si="0"/>
        <v/>
      </c>
      <c r="J53" s="152">
        <f t="shared" si="1"/>
        <v>0</v>
      </c>
      <c r="K53" s="133">
        <f>-'App.2-B_Fixed Asset Con''ty 2011'!K52</f>
        <v>0</v>
      </c>
      <c r="L53" s="145">
        <f t="shared" si="4"/>
        <v>0</v>
      </c>
    </row>
    <row r="54" spans="1:14" ht="13.5" thickBot="1">
      <c r="A54" s="153">
        <v>2055</v>
      </c>
      <c r="B54" s="102" t="s">
        <v>354</v>
      </c>
      <c r="C54" s="154">
        <f>VLOOKUP(A54,'App.2-B_Fixed Asset Con''ty 2011'!$B$16:$E$53,4,FALSE)</f>
        <v>228308</v>
      </c>
      <c r="D54" s="154"/>
      <c r="E54" s="155">
        <f t="shared" si="2"/>
        <v>228308</v>
      </c>
      <c r="F54" s="154">
        <f>VLOOKUP(A54,'App.2-B_Fixed Asset Con''ty 2011'!$B$16:$F$53,5,FALSE)</f>
        <v>430858.53</v>
      </c>
      <c r="G54" s="156">
        <f t="shared" si="3"/>
        <v>443737.26500000001</v>
      </c>
      <c r="H54" s="157"/>
      <c r="I54" s="158" t="str">
        <f t="shared" si="0"/>
        <v/>
      </c>
      <c r="J54" s="159">
        <f t="shared" si="1"/>
        <v>0</v>
      </c>
      <c r="K54" s="160">
        <f>-'App.2-B_Fixed Asset Con''ty 2011'!K53</f>
        <v>0</v>
      </c>
      <c r="L54" s="161">
        <f t="shared" si="4"/>
        <v>0</v>
      </c>
    </row>
    <row r="55" spans="1:14" ht="14.25" thickTop="1" thickBot="1">
      <c r="A55" s="1140" t="s">
        <v>323</v>
      </c>
      <c r="B55" s="1141"/>
      <c r="C55" s="162">
        <f>SUM(C15:C54)</f>
        <v>169867012.55000001</v>
      </c>
      <c r="D55" s="162">
        <f t="shared" ref="D55" si="5">SUM(D15:D54)</f>
        <v>-36070945.763036788</v>
      </c>
      <c r="E55" s="162">
        <f>SUM(E15:E54)</f>
        <v>133796066.78696322</v>
      </c>
      <c r="F55" s="162">
        <f>SUM(F15:F54)</f>
        <v>6765252.75</v>
      </c>
      <c r="G55" s="162">
        <f>SUM(G15:G54)</f>
        <v>137178693.16196319</v>
      </c>
      <c r="H55" s="163"/>
      <c r="I55" s="164"/>
      <c r="J55" s="162">
        <f t="shared" ref="J55:L55" si="6">SUM(J15:J54)</f>
        <v>5712220.3679951942</v>
      </c>
      <c r="K55" s="162">
        <f t="shared" si="6"/>
        <v>5652464.5599999987</v>
      </c>
      <c r="L55" s="162">
        <f t="shared" si="6"/>
        <v>59755.807995195108</v>
      </c>
    </row>
    <row r="56" spans="1:14" ht="13.5" thickBot="1">
      <c r="A56" s="165">
        <v>1611</v>
      </c>
      <c r="B56" s="166" t="s">
        <v>148</v>
      </c>
      <c r="C56" s="167">
        <f>'App.2-B_Fixed Asset Con''ty 2011'!E56</f>
        <v>-126796.40490400001</v>
      </c>
      <c r="D56" s="154"/>
      <c r="E56" s="155">
        <f>C56+D56</f>
        <v>-126796.40490400001</v>
      </c>
      <c r="F56" s="167">
        <f>'App.2-B_Fixed Asset Con''ty 2011'!F56</f>
        <v>-2942.279888</v>
      </c>
      <c r="G56" s="156">
        <f t="shared" ref="G56" si="7">E56+0.5*F56</f>
        <v>-128267.54484800001</v>
      </c>
      <c r="H56" s="157">
        <v>5</v>
      </c>
      <c r="I56" s="158">
        <f t="shared" ref="I56" si="8">IF(H56=0,"",1/H56)</f>
        <v>0.2</v>
      </c>
      <c r="J56" s="159">
        <f t="shared" ref="J56" si="9">IF(H56=0,0,G56/H56)</f>
        <v>-25653.5089696</v>
      </c>
      <c r="K56" s="168">
        <f>-'App.2-B_Fixed Asset Con''ty 2011'!K56</f>
        <v>-25653.51</v>
      </c>
      <c r="L56" s="169">
        <f t="shared" ref="L56" si="10">IF(ISERROR(+J56-K56), "", +J56-K56)</f>
        <v>1.0303999988536816E-3</v>
      </c>
    </row>
    <row r="57" spans="1:14" ht="14.25" thickTop="1" thickBot="1">
      <c r="A57" s="1140" t="s">
        <v>324</v>
      </c>
      <c r="B57" s="1141"/>
      <c r="C57" s="162">
        <f>SUM(C55:C56)</f>
        <v>169740216.145096</v>
      </c>
      <c r="D57" s="162">
        <f t="shared" ref="D57:G57" si="11">SUM(D55:D56)</f>
        <v>-36070945.763036788</v>
      </c>
      <c r="E57" s="162">
        <f t="shared" si="11"/>
        <v>133669270.38205923</v>
      </c>
      <c r="F57" s="162">
        <f t="shared" si="11"/>
        <v>6762310.4701119997</v>
      </c>
      <c r="G57" s="162">
        <f t="shared" si="11"/>
        <v>137050425.6171152</v>
      </c>
      <c r="H57" s="163"/>
      <c r="I57" s="164"/>
      <c r="J57" s="162">
        <f t="shared" ref="J57:L57" si="12">SUM(J55:J56)</f>
        <v>5686566.8590255938</v>
      </c>
      <c r="K57" s="162">
        <f t="shared" si="12"/>
        <v>5626811.0499999989</v>
      </c>
      <c r="L57" s="162">
        <f t="shared" si="12"/>
        <v>59755.80902559511</v>
      </c>
    </row>
    <row r="58" spans="1:14">
      <c r="D58" s="170"/>
    </row>
    <row r="59" spans="1:14">
      <c r="A59" s="31" t="s">
        <v>270</v>
      </c>
      <c r="B59" s="74"/>
      <c r="C59" s="74"/>
      <c r="D59" s="74"/>
      <c r="E59" s="74"/>
      <c r="F59" s="74"/>
      <c r="G59" s="74"/>
      <c r="H59" s="74"/>
      <c r="I59" s="74"/>
      <c r="J59" s="74"/>
    </row>
    <row r="60" spans="1:14" ht="12.75" customHeight="1">
      <c r="A60" s="171">
        <v>1</v>
      </c>
      <c r="B60" s="1123" t="s">
        <v>355</v>
      </c>
      <c r="C60" s="1123"/>
      <c r="D60" s="1123"/>
      <c r="E60" s="1123"/>
      <c r="F60" s="1123"/>
      <c r="G60" s="1123"/>
      <c r="H60" s="1123"/>
      <c r="I60" s="1123"/>
      <c r="J60" s="1123"/>
      <c r="K60" s="1123"/>
      <c r="L60" s="1123"/>
    </row>
    <row r="61" spans="1:14" ht="30" customHeight="1">
      <c r="A61" s="172">
        <v>2</v>
      </c>
      <c r="B61" s="1142" t="s">
        <v>356</v>
      </c>
      <c r="C61" s="1142"/>
      <c r="D61" s="1142"/>
      <c r="E61" s="1142"/>
      <c r="F61" s="1142"/>
      <c r="G61" s="1142"/>
      <c r="H61" s="1142"/>
      <c r="I61" s="1142"/>
      <c r="J61" s="1142"/>
      <c r="K61" s="1142"/>
      <c r="L61" s="1142"/>
    </row>
    <row r="62" spans="1:14" ht="12.75" customHeight="1">
      <c r="A62" s="31" t="s">
        <v>357</v>
      </c>
      <c r="B62" s="1143" t="s">
        <v>358</v>
      </c>
      <c r="C62" s="1143"/>
      <c r="D62" s="1143"/>
      <c r="E62" s="1143"/>
      <c r="F62" s="1143"/>
      <c r="G62" s="1143"/>
      <c r="H62" s="1143"/>
      <c r="I62" s="1143"/>
      <c r="J62" s="1143"/>
      <c r="K62" s="1143"/>
      <c r="L62" s="1143"/>
      <c r="M62" s="173"/>
      <c r="N62" s="173"/>
    </row>
    <row r="63" spans="1:14">
      <c r="A63" s="74"/>
      <c r="B63" s="1143"/>
      <c r="C63" s="1143"/>
      <c r="D63" s="1143"/>
      <c r="E63" s="1143"/>
      <c r="F63" s="1143"/>
      <c r="G63" s="1143"/>
      <c r="H63" s="1143"/>
      <c r="I63" s="1143"/>
      <c r="J63" s="1143"/>
      <c r="K63" s="1143"/>
      <c r="L63" s="1143"/>
      <c r="M63" s="173"/>
      <c r="N63" s="173"/>
    </row>
    <row r="64" spans="1:14">
      <c r="B64" s="1143"/>
      <c r="C64" s="1143"/>
      <c r="D64" s="1143"/>
      <c r="E64" s="1143"/>
      <c r="F64" s="1143"/>
      <c r="G64" s="1143"/>
      <c r="H64" s="1143"/>
      <c r="I64" s="1143"/>
      <c r="J64" s="1143"/>
      <c r="K64" s="1143"/>
      <c r="L64" s="1143"/>
      <c r="M64" s="173"/>
      <c r="N64" s="173"/>
    </row>
    <row r="75" spans="1:10" ht="12.75" customHeight="1"/>
    <row r="76" spans="1:10">
      <c r="A76" s="174"/>
      <c r="B76" s="174"/>
      <c r="C76" s="174"/>
      <c r="D76" s="174"/>
      <c r="E76" s="174"/>
      <c r="F76" s="174"/>
      <c r="G76" s="174"/>
      <c r="H76" s="174"/>
      <c r="I76" s="174"/>
      <c r="J76" s="74"/>
    </row>
    <row r="77" spans="1:10">
      <c r="A77" s="31"/>
    </row>
    <row r="78" spans="1:10">
      <c r="A78" s="74"/>
    </row>
    <row r="79" spans="1:10">
      <c r="A79" s="74"/>
    </row>
  </sheetData>
  <mergeCells count="11">
    <mergeCell ref="A55:B55"/>
    <mergeCell ref="A57:B57"/>
    <mergeCell ref="B60:L60"/>
    <mergeCell ref="B61:L61"/>
    <mergeCell ref="B62:L64"/>
    <mergeCell ref="A9:L9"/>
    <mergeCell ref="A10:L10"/>
    <mergeCell ref="A11:L11"/>
    <mergeCell ref="A14:A15"/>
    <mergeCell ref="B14:B15"/>
    <mergeCell ref="K14:K15"/>
  </mergeCells>
  <dataValidations count="1">
    <dataValidation allowBlank="1" showInputMessage="1" showErrorMessage="1" promptTitle="Date Format" prompt="E.g:  &quot;August 1, 2011&quot;" sqref="J65546 JF65546 TB65546 ACX65546 AMT65546 AWP65546 BGL65546 BQH65546 CAD65546 CJZ65546 CTV65546 DDR65546 DNN65546 DXJ65546 EHF65546 ERB65546 FAX65546 FKT65546 FUP65546 GEL65546 GOH65546 GYD65546 HHZ65546 HRV65546 IBR65546 ILN65546 IVJ65546 JFF65546 JPB65546 JYX65546 KIT65546 KSP65546 LCL65546 LMH65546 LWD65546 MFZ65546 MPV65546 MZR65546 NJN65546 NTJ65546 ODF65546 ONB65546 OWX65546 PGT65546 PQP65546 QAL65546 QKH65546 QUD65546 RDZ65546 RNV65546 RXR65546 SHN65546 SRJ65546 TBF65546 TLB65546 TUX65546 UET65546 UOP65546 UYL65546 VIH65546 VSD65546 WBZ65546 WLV65546 WVR65546 J131082 JF131082 TB131082 ACX131082 AMT131082 AWP131082 BGL131082 BQH131082 CAD131082 CJZ131082 CTV131082 DDR131082 DNN131082 DXJ131082 EHF131082 ERB131082 FAX131082 FKT131082 FUP131082 GEL131082 GOH131082 GYD131082 HHZ131082 HRV131082 IBR131082 ILN131082 IVJ131082 JFF131082 JPB131082 JYX131082 KIT131082 KSP131082 LCL131082 LMH131082 LWD131082 MFZ131082 MPV131082 MZR131082 NJN131082 NTJ131082 ODF131082 ONB131082 OWX131082 PGT131082 PQP131082 QAL131082 QKH131082 QUD131082 RDZ131082 RNV131082 RXR131082 SHN131082 SRJ131082 TBF131082 TLB131082 TUX131082 UET131082 UOP131082 UYL131082 VIH131082 VSD131082 WBZ131082 WLV131082 WVR131082 J196618 JF196618 TB196618 ACX196618 AMT196618 AWP196618 BGL196618 BQH196618 CAD196618 CJZ196618 CTV196618 DDR196618 DNN196618 DXJ196618 EHF196618 ERB196618 FAX196618 FKT196618 FUP196618 GEL196618 GOH196618 GYD196618 HHZ196618 HRV196618 IBR196618 ILN196618 IVJ196618 JFF196618 JPB196618 JYX196618 KIT196618 KSP196618 LCL196618 LMH196618 LWD196618 MFZ196618 MPV196618 MZR196618 NJN196618 NTJ196618 ODF196618 ONB196618 OWX196618 PGT196618 PQP196618 QAL196618 QKH196618 QUD196618 RDZ196618 RNV196618 RXR196618 SHN196618 SRJ196618 TBF196618 TLB196618 TUX196618 UET196618 UOP196618 UYL196618 VIH196618 VSD196618 WBZ196618 WLV196618 WVR196618 J262154 JF262154 TB262154 ACX262154 AMT262154 AWP262154 BGL262154 BQH262154 CAD262154 CJZ262154 CTV262154 DDR262154 DNN262154 DXJ262154 EHF262154 ERB262154 FAX262154 FKT262154 FUP262154 GEL262154 GOH262154 GYD262154 HHZ262154 HRV262154 IBR262154 ILN262154 IVJ262154 JFF262154 JPB262154 JYX262154 KIT262154 KSP262154 LCL262154 LMH262154 LWD262154 MFZ262154 MPV262154 MZR262154 NJN262154 NTJ262154 ODF262154 ONB262154 OWX262154 PGT262154 PQP262154 QAL262154 QKH262154 QUD262154 RDZ262154 RNV262154 RXR262154 SHN262154 SRJ262154 TBF262154 TLB262154 TUX262154 UET262154 UOP262154 UYL262154 VIH262154 VSD262154 WBZ262154 WLV262154 WVR262154 J327690 JF327690 TB327690 ACX327690 AMT327690 AWP327690 BGL327690 BQH327690 CAD327690 CJZ327690 CTV327690 DDR327690 DNN327690 DXJ327690 EHF327690 ERB327690 FAX327690 FKT327690 FUP327690 GEL327690 GOH327690 GYD327690 HHZ327690 HRV327690 IBR327690 ILN327690 IVJ327690 JFF327690 JPB327690 JYX327690 KIT327690 KSP327690 LCL327690 LMH327690 LWD327690 MFZ327690 MPV327690 MZR327690 NJN327690 NTJ327690 ODF327690 ONB327690 OWX327690 PGT327690 PQP327690 QAL327690 QKH327690 QUD327690 RDZ327690 RNV327690 RXR327690 SHN327690 SRJ327690 TBF327690 TLB327690 TUX327690 UET327690 UOP327690 UYL327690 VIH327690 VSD327690 WBZ327690 WLV327690 WVR327690 J393226 JF393226 TB393226 ACX393226 AMT393226 AWP393226 BGL393226 BQH393226 CAD393226 CJZ393226 CTV393226 DDR393226 DNN393226 DXJ393226 EHF393226 ERB393226 FAX393226 FKT393226 FUP393226 GEL393226 GOH393226 GYD393226 HHZ393226 HRV393226 IBR393226 ILN393226 IVJ393226 JFF393226 JPB393226 JYX393226 KIT393226 KSP393226 LCL393226 LMH393226 LWD393226 MFZ393226 MPV393226 MZR393226 NJN393226 NTJ393226 ODF393226 ONB393226 OWX393226 PGT393226 PQP393226 QAL393226 QKH393226 QUD393226 RDZ393226 RNV393226 RXR393226 SHN393226 SRJ393226 TBF393226 TLB393226 TUX393226 UET393226 UOP393226 UYL393226 VIH393226 VSD393226 WBZ393226 WLV393226 WVR393226 J458762 JF458762 TB458762 ACX458762 AMT458762 AWP458762 BGL458762 BQH458762 CAD458762 CJZ458762 CTV458762 DDR458762 DNN458762 DXJ458762 EHF458762 ERB458762 FAX458762 FKT458762 FUP458762 GEL458762 GOH458762 GYD458762 HHZ458762 HRV458762 IBR458762 ILN458762 IVJ458762 JFF458762 JPB458762 JYX458762 KIT458762 KSP458762 LCL458762 LMH458762 LWD458762 MFZ458762 MPV458762 MZR458762 NJN458762 NTJ458762 ODF458762 ONB458762 OWX458762 PGT458762 PQP458762 QAL458762 QKH458762 QUD458762 RDZ458762 RNV458762 RXR458762 SHN458762 SRJ458762 TBF458762 TLB458762 TUX458762 UET458762 UOP458762 UYL458762 VIH458762 VSD458762 WBZ458762 WLV458762 WVR458762 J524298 JF524298 TB524298 ACX524298 AMT524298 AWP524298 BGL524298 BQH524298 CAD524298 CJZ524298 CTV524298 DDR524298 DNN524298 DXJ524298 EHF524298 ERB524298 FAX524298 FKT524298 FUP524298 GEL524298 GOH524298 GYD524298 HHZ524298 HRV524298 IBR524298 ILN524298 IVJ524298 JFF524298 JPB524298 JYX524298 KIT524298 KSP524298 LCL524298 LMH524298 LWD524298 MFZ524298 MPV524298 MZR524298 NJN524298 NTJ524298 ODF524298 ONB524298 OWX524298 PGT524298 PQP524298 QAL524298 QKH524298 QUD524298 RDZ524298 RNV524298 RXR524298 SHN524298 SRJ524298 TBF524298 TLB524298 TUX524298 UET524298 UOP524298 UYL524298 VIH524298 VSD524298 WBZ524298 WLV524298 WVR524298 J589834 JF589834 TB589834 ACX589834 AMT589834 AWP589834 BGL589834 BQH589834 CAD589834 CJZ589834 CTV589834 DDR589834 DNN589834 DXJ589834 EHF589834 ERB589834 FAX589834 FKT589834 FUP589834 GEL589834 GOH589834 GYD589834 HHZ589834 HRV589834 IBR589834 ILN589834 IVJ589834 JFF589834 JPB589834 JYX589834 KIT589834 KSP589834 LCL589834 LMH589834 LWD589834 MFZ589834 MPV589834 MZR589834 NJN589834 NTJ589834 ODF589834 ONB589834 OWX589834 PGT589834 PQP589834 QAL589834 QKH589834 QUD589834 RDZ589834 RNV589834 RXR589834 SHN589834 SRJ589834 TBF589834 TLB589834 TUX589834 UET589834 UOP589834 UYL589834 VIH589834 VSD589834 WBZ589834 WLV589834 WVR589834 J655370 JF655370 TB655370 ACX655370 AMT655370 AWP655370 BGL655370 BQH655370 CAD655370 CJZ655370 CTV655370 DDR655370 DNN655370 DXJ655370 EHF655370 ERB655370 FAX655370 FKT655370 FUP655370 GEL655370 GOH655370 GYD655370 HHZ655370 HRV655370 IBR655370 ILN655370 IVJ655370 JFF655370 JPB655370 JYX655370 KIT655370 KSP655370 LCL655370 LMH655370 LWD655370 MFZ655370 MPV655370 MZR655370 NJN655370 NTJ655370 ODF655370 ONB655370 OWX655370 PGT655370 PQP655370 QAL655370 QKH655370 QUD655370 RDZ655370 RNV655370 RXR655370 SHN655370 SRJ655370 TBF655370 TLB655370 TUX655370 UET655370 UOP655370 UYL655370 VIH655370 VSD655370 WBZ655370 WLV655370 WVR655370 J720906 JF720906 TB720906 ACX720906 AMT720906 AWP720906 BGL720906 BQH720906 CAD720906 CJZ720906 CTV720906 DDR720906 DNN720906 DXJ720906 EHF720906 ERB720906 FAX720906 FKT720906 FUP720906 GEL720906 GOH720906 GYD720906 HHZ720906 HRV720906 IBR720906 ILN720906 IVJ720906 JFF720906 JPB720906 JYX720906 KIT720906 KSP720906 LCL720906 LMH720906 LWD720906 MFZ720906 MPV720906 MZR720906 NJN720906 NTJ720906 ODF720906 ONB720906 OWX720906 PGT720906 PQP720906 QAL720906 QKH720906 QUD720906 RDZ720906 RNV720906 RXR720906 SHN720906 SRJ720906 TBF720906 TLB720906 TUX720906 UET720906 UOP720906 UYL720906 VIH720906 VSD720906 WBZ720906 WLV720906 WVR720906 J786442 JF786442 TB786442 ACX786442 AMT786442 AWP786442 BGL786442 BQH786442 CAD786442 CJZ786442 CTV786442 DDR786442 DNN786442 DXJ786442 EHF786442 ERB786442 FAX786442 FKT786442 FUP786442 GEL786442 GOH786442 GYD786442 HHZ786442 HRV786442 IBR786442 ILN786442 IVJ786442 JFF786442 JPB786442 JYX786442 KIT786442 KSP786442 LCL786442 LMH786442 LWD786442 MFZ786442 MPV786442 MZR786442 NJN786442 NTJ786442 ODF786442 ONB786442 OWX786442 PGT786442 PQP786442 QAL786442 QKH786442 QUD786442 RDZ786442 RNV786442 RXR786442 SHN786442 SRJ786442 TBF786442 TLB786442 TUX786442 UET786442 UOP786442 UYL786442 VIH786442 VSD786442 WBZ786442 WLV786442 WVR786442 J851978 JF851978 TB851978 ACX851978 AMT851978 AWP851978 BGL851978 BQH851978 CAD851978 CJZ851978 CTV851978 DDR851978 DNN851978 DXJ851978 EHF851978 ERB851978 FAX851978 FKT851978 FUP851978 GEL851978 GOH851978 GYD851978 HHZ851978 HRV851978 IBR851978 ILN851978 IVJ851978 JFF851978 JPB851978 JYX851978 KIT851978 KSP851978 LCL851978 LMH851978 LWD851978 MFZ851978 MPV851978 MZR851978 NJN851978 NTJ851978 ODF851978 ONB851978 OWX851978 PGT851978 PQP851978 QAL851978 QKH851978 QUD851978 RDZ851978 RNV851978 RXR851978 SHN851978 SRJ851978 TBF851978 TLB851978 TUX851978 UET851978 UOP851978 UYL851978 VIH851978 VSD851978 WBZ851978 WLV851978 WVR851978 J917514 JF917514 TB917514 ACX917514 AMT917514 AWP917514 BGL917514 BQH917514 CAD917514 CJZ917514 CTV917514 DDR917514 DNN917514 DXJ917514 EHF917514 ERB917514 FAX917514 FKT917514 FUP917514 GEL917514 GOH917514 GYD917514 HHZ917514 HRV917514 IBR917514 ILN917514 IVJ917514 JFF917514 JPB917514 JYX917514 KIT917514 KSP917514 LCL917514 LMH917514 LWD917514 MFZ917514 MPV917514 MZR917514 NJN917514 NTJ917514 ODF917514 ONB917514 OWX917514 PGT917514 PQP917514 QAL917514 QKH917514 QUD917514 RDZ917514 RNV917514 RXR917514 SHN917514 SRJ917514 TBF917514 TLB917514 TUX917514 UET917514 UOP917514 UYL917514 VIH917514 VSD917514 WBZ917514 WLV917514 WVR917514 J983050 JF983050 TB983050 ACX983050 AMT983050 AWP983050 BGL983050 BQH983050 CAD983050 CJZ983050 CTV983050 DDR983050 DNN983050 DXJ983050 EHF983050 ERB983050 FAX983050 FKT983050 FUP983050 GEL983050 GOH983050 GYD983050 HHZ983050 HRV983050 IBR983050 ILN983050 IVJ983050 JFF983050 JPB983050 JYX983050 KIT983050 KSP983050 LCL983050 LMH983050 LWD983050 MFZ983050 MPV983050 MZR983050 NJN983050 NTJ983050 ODF983050 ONB983050 OWX983050 PGT983050 PQP983050 QAL983050 QKH983050 QUD983050 RDZ983050 RNV983050 RXR983050 SHN983050 SRJ983050 TBF983050 TLB983050 TUX983050 UET983050 UOP983050 UYL983050 VIH983050 VSD983050 WBZ983050 WLV983050 WVR983050 WVR7 WLV7 WBZ7 VSD7 VIH7 UYL7 UOP7 UET7 TUX7 TLB7 TBF7 SRJ7 SHN7 RXR7 RNV7 RDZ7 QUD7 QKH7 QAL7 PQP7 PGT7 OWX7 ONB7 ODF7 NTJ7 NJN7 MZR7 MPV7 MFZ7 LWD7 LMH7 LCL7 KSP7 KIT7 JYX7 JPB7 JFF7 IVJ7 ILN7 IBR7 HRV7 HHZ7 GYD7 GOH7 GEL7 FUP7 FKT7 FAX7 ERB7 EHF7 DXJ7 DNN7 DDR7 CTV7 CJZ7 CAD7 BQH7 BGL7 AWP7 AMT7 ACX7 TB7 JF7 J7"/>
  </dataValidations>
  <printOptions horizontalCentered="1"/>
  <pageMargins left="0.74803149606299213" right="0.74803149606299213" top="0.70866141732283472" bottom="0.39370078740157483" header="0.39370078740157483" footer="0.27559055118110237"/>
  <pageSetup scale="60" orientation="landscape"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N65"/>
  <sheetViews>
    <sheetView showGridLines="0" zoomScaleNormal="100" workbookViewId="0">
      <selection activeCell="J24" sqref="J24"/>
    </sheetView>
  </sheetViews>
  <sheetFormatPr defaultRowHeight="12.75"/>
  <cols>
    <col min="1" max="1" width="9.140625" style="30"/>
    <col min="2" max="2" width="51.5703125" style="30" customWidth="1"/>
    <col min="3" max="3" width="16" style="30" bestFit="1" customWidth="1"/>
    <col min="4" max="4" width="15" style="30" customWidth="1"/>
    <col min="5" max="5" width="16" style="30" bestFit="1" customWidth="1"/>
    <col min="6" max="6" width="14.7109375" style="30" customWidth="1"/>
    <col min="7" max="7" width="17.85546875" style="30" customWidth="1"/>
    <col min="8" max="8" width="7.7109375" style="30" customWidth="1"/>
    <col min="9" max="9" width="12.28515625" style="30" customWidth="1"/>
    <col min="10" max="10" width="13.85546875" style="30" customWidth="1"/>
    <col min="11" max="11" width="21.42578125" style="30" customWidth="1"/>
    <col min="12" max="12" width="11.42578125" style="30" customWidth="1"/>
    <col min="13" max="257" width="9.140625" style="30"/>
    <col min="258" max="258" width="2.7109375" style="30" customWidth="1"/>
    <col min="259" max="259" width="9.140625" style="30"/>
    <col min="260" max="260" width="40.28515625" style="30" bestFit="1" customWidth="1"/>
    <col min="261" max="261" width="10.7109375" style="30" customWidth="1"/>
    <col min="262" max="262" width="10" style="30" customWidth="1"/>
    <col min="263" max="263" width="17.85546875" style="30" customWidth="1"/>
    <col min="264" max="264" width="7.7109375" style="30" customWidth="1"/>
    <col min="265" max="265" width="12.28515625" style="30" customWidth="1"/>
    <col min="266" max="266" width="12.7109375" style="30" customWidth="1"/>
    <col min="267" max="267" width="14.140625" style="30" customWidth="1"/>
    <col min="268" max="268" width="11.140625" style="30" customWidth="1"/>
    <col min="269" max="513" width="9.140625" style="30"/>
    <col min="514" max="514" width="2.7109375" style="30" customWidth="1"/>
    <col min="515" max="515" width="9.140625" style="30"/>
    <col min="516" max="516" width="40.28515625" style="30" bestFit="1" customWidth="1"/>
    <col min="517" max="517" width="10.7109375" style="30" customWidth="1"/>
    <col min="518" max="518" width="10" style="30" customWidth="1"/>
    <col min="519" max="519" width="17.85546875" style="30" customWidth="1"/>
    <col min="520" max="520" width="7.7109375" style="30" customWidth="1"/>
    <col min="521" max="521" width="12.28515625" style="30" customWidth="1"/>
    <col min="522" max="522" width="12.7109375" style="30" customWidth="1"/>
    <col min="523" max="523" width="14.140625" style="30" customWidth="1"/>
    <col min="524" max="524" width="11.140625" style="30" customWidth="1"/>
    <col min="525" max="769" width="9.140625" style="30"/>
    <col min="770" max="770" width="2.7109375" style="30" customWidth="1"/>
    <col min="771" max="771" width="9.140625" style="30"/>
    <col min="772" max="772" width="40.28515625" style="30" bestFit="1" customWidth="1"/>
    <col min="773" max="773" width="10.7109375" style="30" customWidth="1"/>
    <col min="774" max="774" width="10" style="30" customWidth="1"/>
    <col min="775" max="775" width="17.85546875" style="30" customWidth="1"/>
    <col min="776" max="776" width="7.7109375" style="30" customWidth="1"/>
    <col min="777" max="777" width="12.28515625" style="30" customWidth="1"/>
    <col min="778" max="778" width="12.7109375" style="30" customWidth="1"/>
    <col min="779" max="779" width="14.140625" style="30" customWidth="1"/>
    <col min="780" max="780" width="11.140625" style="30" customWidth="1"/>
    <col min="781" max="1025" width="9.140625" style="30"/>
    <col min="1026" max="1026" width="2.7109375" style="30" customWidth="1"/>
    <col min="1027" max="1027" width="9.140625" style="30"/>
    <col min="1028" max="1028" width="40.28515625" style="30" bestFit="1" customWidth="1"/>
    <col min="1029" max="1029" width="10.7109375" style="30" customWidth="1"/>
    <col min="1030" max="1030" width="10" style="30" customWidth="1"/>
    <col min="1031" max="1031" width="17.85546875" style="30" customWidth="1"/>
    <col min="1032" max="1032" width="7.7109375" style="30" customWidth="1"/>
    <col min="1033" max="1033" width="12.28515625" style="30" customWidth="1"/>
    <col min="1034" max="1034" width="12.7109375" style="30" customWidth="1"/>
    <col min="1035" max="1035" width="14.140625" style="30" customWidth="1"/>
    <col min="1036" max="1036" width="11.140625" style="30" customWidth="1"/>
    <col min="1037" max="1281" width="9.140625" style="30"/>
    <col min="1282" max="1282" width="2.7109375" style="30" customWidth="1"/>
    <col min="1283" max="1283" width="9.140625" style="30"/>
    <col min="1284" max="1284" width="40.28515625" style="30" bestFit="1" customWidth="1"/>
    <col min="1285" max="1285" width="10.7109375" style="30" customWidth="1"/>
    <col min="1286" max="1286" width="10" style="30" customWidth="1"/>
    <col min="1287" max="1287" width="17.85546875" style="30" customWidth="1"/>
    <col min="1288" max="1288" width="7.7109375" style="30" customWidth="1"/>
    <col min="1289" max="1289" width="12.28515625" style="30" customWidth="1"/>
    <col min="1290" max="1290" width="12.7109375" style="30" customWidth="1"/>
    <col min="1291" max="1291" width="14.140625" style="30" customWidth="1"/>
    <col min="1292" max="1292" width="11.140625" style="30" customWidth="1"/>
    <col min="1293" max="1537" width="9.140625" style="30"/>
    <col min="1538" max="1538" width="2.7109375" style="30" customWidth="1"/>
    <col min="1539" max="1539" width="9.140625" style="30"/>
    <col min="1540" max="1540" width="40.28515625" style="30" bestFit="1" customWidth="1"/>
    <col min="1541" max="1541" width="10.7109375" style="30" customWidth="1"/>
    <col min="1542" max="1542" width="10" style="30" customWidth="1"/>
    <col min="1543" max="1543" width="17.85546875" style="30" customWidth="1"/>
    <col min="1544" max="1544" width="7.7109375" style="30" customWidth="1"/>
    <col min="1545" max="1545" width="12.28515625" style="30" customWidth="1"/>
    <col min="1546" max="1546" width="12.7109375" style="30" customWidth="1"/>
    <col min="1547" max="1547" width="14.140625" style="30" customWidth="1"/>
    <col min="1548" max="1548" width="11.140625" style="30" customWidth="1"/>
    <col min="1549" max="1793" width="9.140625" style="30"/>
    <col min="1794" max="1794" width="2.7109375" style="30" customWidth="1"/>
    <col min="1795" max="1795" width="9.140625" style="30"/>
    <col min="1796" max="1796" width="40.28515625" style="30" bestFit="1" customWidth="1"/>
    <col min="1797" max="1797" width="10.7109375" style="30" customWidth="1"/>
    <col min="1798" max="1798" width="10" style="30" customWidth="1"/>
    <col min="1799" max="1799" width="17.85546875" style="30" customWidth="1"/>
    <col min="1800" max="1800" width="7.7109375" style="30" customWidth="1"/>
    <col min="1801" max="1801" width="12.28515625" style="30" customWidth="1"/>
    <col min="1802" max="1802" width="12.7109375" style="30" customWidth="1"/>
    <col min="1803" max="1803" width="14.140625" style="30" customWidth="1"/>
    <col min="1804" max="1804" width="11.140625" style="30" customWidth="1"/>
    <col min="1805" max="2049" width="9.140625" style="30"/>
    <col min="2050" max="2050" width="2.7109375" style="30" customWidth="1"/>
    <col min="2051" max="2051" width="9.140625" style="30"/>
    <col min="2052" max="2052" width="40.28515625" style="30" bestFit="1" customWidth="1"/>
    <col min="2053" max="2053" width="10.7109375" style="30" customWidth="1"/>
    <col min="2054" max="2054" width="10" style="30" customWidth="1"/>
    <col min="2055" max="2055" width="17.85546875" style="30" customWidth="1"/>
    <col min="2056" max="2056" width="7.7109375" style="30" customWidth="1"/>
    <col min="2057" max="2057" width="12.28515625" style="30" customWidth="1"/>
    <col min="2058" max="2058" width="12.7109375" style="30" customWidth="1"/>
    <col min="2059" max="2059" width="14.140625" style="30" customWidth="1"/>
    <col min="2060" max="2060" width="11.140625" style="30" customWidth="1"/>
    <col min="2061" max="2305" width="9.140625" style="30"/>
    <col min="2306" max="2306" width="2.7109375" style="30" customWidth="1"/>
    <col min="2307" max="2307" width="9.140625" style="30"/>
    <col min="2308" max="2308" width="40.28515625" style="30" bestFit="1" customWidth="1"/>
    <col min="2309" max="2309" width="10.7109375" style="30" customWidth="1"/>
    <col min="2310" max="2310" width="10" style="30" customWidth="1"/>
    <col min="2311" max="2311" width="17.85546875" style="30" customWidth="1"/>
    <col min="2312" max="2312" width="7.7109375" style="30" customWidth="1"/>
    <col min="2313" max="2313" width="12.28515625" style="30" customWidth="1"/>
    <col min="2314" max="2314" width="12.7109375" style="30" customWidth="1"/>
    <col min="2315" max="2315" width="14.140625" style="30" customWidth="1"/>
    <col min="2316" max="2316" width="11.140625" style="30" customWidth="1"/>
    <col min="2317" max="2561" width="9.140625" style="30"/>
    <col min="2562" max="2562" width="2.7109375" style="30" customWidth="1"/>
    <col min="2563" max="2563" width="9.140625" style="30"/>
    <col min="2564" max="2564" width="40.28515625" style="30" bestFit="1" customWidth="1"/>
    <col min="2565" max="2565" width="10.7109375" style="30" customWidth="1"/>
    <col min="2566" max="2566" width="10" style="30" customWidth="1"/>
    <col min="2567" max="2567" width="17.85546875" style="30" customWidth="1"/>
    <col min="2568" max="2568" width="7.7109375" style="30" customWidth="1"/>
    <col min="2569" max="2569" width="12.28515625" style="30" customWidth="1"/>
    <col min="2570" max="2570" width="12.7109375" style="30" customWidth="1"/>
    <col min="2571" max="2571" width="14.140625" style="30" customWidth="1"/>
    <col min="2572" max="2572" width="11.140625" style="30" customWidth="1"/>
    <col min="2573" max="2817" width="9.140625" style="30"/>
    <col min="2818" max="2818" width="2.7109375" style="30" customWidth="1"/>
    <col min="2819" max="2819" width="9.140625" style="30"/>
    <col min="2820" max="2820" width="40.28515625" style="30" bestFit="1" customWidth="1"/>
    <col min="2821" max="2821" width="10.7109375" style="30" customWidth="1"/>
    <col min="2822" max="2822" width="10" style="30" customWidth="1"/>
    <col min="2823" max="2823" width="17.85546875" style="30" customWidth="1"/>
    <col min="2824" max="2824" width="7.7109375" style="30" customWidth="1"/>
    <col min="2825" max="2825" width="12.28515625" style="30" customWidth="1"/>
    <col min="2826" max="2826" width="12.7109375" style="30" customWidth="1"/>
    <col min="2827" max="2827" width="14.140625" style="30" customWidth="1"/>
    <col min="2828" max="2828" width="11.140625" style="30" customWidth="1"/>
    <col min="2829" max="3073" width="9.140625" style="30"/>
    <col min="3074" max="3074" width="2.7109375" style="30" customWidth="1"/>
    <col min="3075" max="3075" width="9.140625" style="30"/>
    <col min="3076" max="3076" width="40.28515625" style="30" bestFit="1" customWidth="1"/>
    <col min="3077" max="3077" width="10.7109375" style="30" customWidth="1"/>
    <col min="3078" max="3078" width="10" style="30" customWidth="1"/>
    <col min="3079" max="3079" width="17.85546875" style="30" customWidth="1"/>
    <col min="3080" max="3080" width="7.7109375" style="30" customWidth="1"/>
    <col min="3081" max="3081" width="12.28515625" style="30" customWidth="1"/>
    <col min="3082" max="3082" width="12.7109375" style="30" customWidth="1"/>
    <col min="3083" max="3083" width="14.140625" style="30" customWidth="1"/>
    <col min="3084" max="3084" width="11.140625" style="30" customWidth="1"/>
    <col min="3085" max="3329" width="9.140625" style="30"/>
    <col min="3330" max="3330" width="2.7109375" style="30" customWidth="1"/>
    <col min="3331" max="3331" width="9.140625" style="30"/>
    <col min="3332" max="3332" width="40.28515625" style="30" bestFit="1" customWidth="1"/>
    <col min="3333" max="3333" width="10.7109375" style="30" customWidth="1"/>
    <col min="3334" max="3334" width="10" style="30" customWidth="1"/>
    <col min="3335" max="3335" width="17.85546875" style="30" customWidth="1"/>
    <col min="3336" max="3336" width="7.7109375" style="30" customWidth="1"/>
    <col min="3337" max="3337" width="12.28515625" style="30" customWidth="1"/>
    <col min="3338" max="3338" width="12.7109375" style="30" customWidth="1"/>
    <col min="3339" max="3339" width="14.140625" style="30" customWidth="1"/>
    <col min="3340" max="3340" width="11.140625" style="30" customWidth="1"/>
    <col min="3341" max="3585" width="9.140625" style="30"/>
    <col min="3586" max="3586" width="2.7109375" style="30" customWidth="1"/>
    <col min="3587" max="3587" width="9.140625" style="30"/>
    <col min="3588" max="3588" width="40.28515625" style="30" bestFit="1" customWidth="1"/>
    <col min="3589" max="3589" width="10.7109375" style="30" customWidth="1"/>
    <col min="3590" max="3590" width="10" style="30" customWidth="1"/>
    <col min="3591" max="3591" width="17.85546875" style="30" customWidth="1"/>
    <col min="3592" max="3592" width="7.7109375" style="30" customWidth="1"/>
    <col min="3593" max="3593" width="12.28515625" style="30" customWidth="1"/>
    <col min="3594" max="3594" width="12.7109375" style="30" customWidth="1"/>
    <col min="3595" max="3595" width="14.140625" style="30" customWidth="1"/>
    <col min="3596" max="3596" width="11.140625" style="30" customWidth="1"/>
    <col min="3597" max="3841" width="9.140625" style="30"/>
    <col min="3842" max="3842" width="2.7109375" style="30" customWidth="1"/>
    <col min="3843" max="3843" width="9.140625" style="30"/>
    <col min="3844" max="3844" width="40.28515625" style="30" bestFit="1" customWidth="1"/>
    <col min="3845" max="3845" width="10.7109375" style="30" customWidth="1"/>
    <col min="3846" max="3846" width="10" style="30" customWidth="1"/>
    <col min="3847" max="3847" width="17.85546875" style="30" customWidth="1"/>
    <col min="3848" max="3848" width="7.7109375" style="30" customWidth="1"/>
    <col min="3849" max="3849" width="12.28515625" style="30" customWidth="1"/>
    <col min="3850" max="3850" width="12.7109375" style="30" customWidth="1"/>
    <col min="3851" max="3851" width="14.140625" style="30" customWidth="1"/>
    <col min="3852" max="3852" width="11.140625" style="30" customWidth="1"/>
    <col min="3853" max="4097" width="9.140625" style="30"/>
    <col min="4098" max="4098" width="2.7109375" style="30" customWidth="1"/>
    <col min="4099" max="4099" width="9.140625" style="30"/>
    <col min="4100" max="4100" width="40.28515625" style="30" bestFit="1" customWidth="1"/>
    <col min="4101" max="4101" width="10.7109375" style="30" customWidth="1"/>
    <col min="4102" max="4102" width="10" style="30" customWidth="1"/>
    <col min="4103" max="4103" width="17.85546875" style="30" customWidth="1"/>
    <col min="4104" max="4104" width="7.7109375" style="30" customWidth="1"/>
    <col min="4105" max="4105" width="12.28515625" style="30" customWidth="1"/>
    <col min="4106" max="4106" width="12.7109375" style="30" customWidth="1"/>
    <col min="4107" max="4107" width="14.140625" style="30" customWidth="1"/>
    <col min="4108" max="4108" width="11.140625" style="30" customWidth="1"/>
    <col min="4109" max="4353" width="9.140625" style="30"/>
    <col min="4354" max="4354" width="2.7109375" style="30" customWidth="1"/>
    <col min="4355" max="4355" width="9.140625" style="30"/>
    <col min="4356" max="4356" width="40.28515625" style="30" bestFit="1" customWidth="1"/>
    <col min="4357" max="4357" width="10.7109375" style="30" customWidth="1"/>
    <col min="4358" max="4358" width="10" style="30" customWidth="1"/>
    <col min="4359" max="4359" width="17.85546875" style="30" customWidth="1"/>
    <col min="4360" max="4360" width="7.7109375" style="30" customWidth="1"/>
    <col min="4361" max="4361" width="12.28515625" style="30" customWidth="1"/>
    <col min="4362" max="4362" width="12.7109375" style="30" customWidth="1"/>
    <col min="4363" max="4363" width="14.140625" style="30" customWidth="1"/>
    <col min="4364" max="4364" width="11.140625" style="30" customWidth="1"/>
    <col min="4365" max="4609" width="9.140625" style="30"/>
    <col min="4610" max="4610" width="2.7109375" style="30" customWidth="1"/>
    <col min="4611" max="4611" width="9.140625" style="30"/>
    <col min="4612" max="4612" width="40.28515625" style="30" bestFit="1" customWidth="1"/>
    <col min="4613" max="4613" width="10.7109375" style="30" customWidth="1"/>
    <col min="4614" max="4614" width="10" style="30" customWidth="1"/>
    <col min="4615" max="4615" width="17.85546875" style="30" customWidth="1"/>
    <col min="4616" max="4616" width="7.7109375" style="30" customWidth="1"/>
    <col min="4617" max="4617" width="12.28515625" style="30" customWidth="1"/>
    <col min="4618" max="4618" width="12.7109375" style="30" customWidth="1"/>
    <col min="4619" max="4619" width="14.140625" style="30" customWidth="1"/>
    <col min="4620" max="4620" width="11.140625" style="30" customWidth="1"/>
    <col min="4621" max="4865" width="9.140625" style="30"/>
    <col min="4866" max="4866" width="2.7109375" style="30" customWidth="1"/>
    <col min="4867" max="4867" width="9.140625" style="30"/>
    <col min="4868" max="4868" width="40.28515625" style="30" bestFit="1" customWidth="1"/>
    <col min="4869" max="4869" width="10.7109375" style="30" customWidth="1"/>
    <col min="4870" max="4870" width="10" style="30" customWidth="1"/>
    <col min="4871" max="4871" width="17.85546875" style="30" customWidth="1"/>
    <col min="4872" max="4872" width="7.7109375" style="30" customWidth="1"/>
    <col min="4873" max="4873" width="12.28515625" style="30" customWidth="1"/>
    <col min="4874" max="4874" width="12.7109375" style="30" customWidth="1"/>
    <col min="4875" max="4875" width="14.140625" style="30" customWidth="1"/>
    <col min="4876" max="4876" width="11.140625" style="30" customWidth="1"/>
    <col min="4877" max="5121" width="9.140625" style="30"/>
    <col min="5122" max="5122" width="2.7109375" style="30" customWidth="1"/>
    <col min="5123" max="5123" width="9.140625" style="30"/>
    <col min="5124" max="5124" width="40.28515625" style="30" bestFit="1" customWidth="1"/>
    <col min="5125" max="5125" width="10.7109375" style="30" customWidth="1"/>
    <col min="5126" max="5126" width="10" style="30" customWidth="1"/>
    <col min="5127" max="5127" width="17.85546875" style="30" customWidth="1"/>
    <col min="5128" max="5128" width="7.7109375" style="30" customWidth="1"/>
    <col min="5129" max="5129" width="12.28515625" style="30" customWidth="1"/>
    <col min="5130" max="5130" width="12.7109375" style="30" customWidth="1"/>
    <col min="5131" max="5131" width="14.140625" style="30" customWidth="1"/>
    <col min="5132" max="5132" width="11.140625" style="30" customWidth="1"/>
    <col min="5133" max="5377" width="9.140625" style="30"/>
    <col min="5378" max="5378" width="2.7109375" style="30" customWidth="1"/>
    <col min="5379" max="5379" width="9.140625" style="30"/>
    <col min="5380" max="5380" width="40.28515625" style="30" bestFit="1" customWidth="1"/>
    <col min="5381" max="5381" width="10.7109375" style="30" customWidth="1"/>
    <col min="5382" max="5382" width="10" style="30" customWidth="1"/>
    <col min="5383" max="5383" width="17.85546875" style="30" customWidth="1"/>
    <col min="5384" max="5384" width="7.7109375" style="30" customWidth="1"/>
    <col min="5385" max="5385" width="12.28515625" style="30" customWidth="1"/>
    <col min="5386" max="5386" width="12.7109375" style="30" customWidth="1"/>
    <col min="5387" max="5387" width="14.140625" style="30" customWidth="1"/>
    <col min="5388" max="5388" width="11.140625" style="30" customWidth="1"/>
    <col min="5389" max="5633" width="9.140625" style="30"/>
    <col min="5634" max="5634" width="2.7109375" style="30" customWidth="1"/>
    <col min="5635" max="5635" width="9.140625" style="30"/>
    <col min="5636" max="5636" width="40.28515625" style="30" bestFit="1" customWidth="1"/>
    <col min="5637" max="5637" width="10.7109375" style="30" customWidth="1"/>
    <col min="5638" max="5638" width="10" style="30" customWidth="1"/>
    <col min="5639" max="5639" width="17.85546875" style="30" customWidth="1"/>
    <col min="5640" max="5640" width="7.7109375" style="30" customWidth="1"/>
    <col min="5641" max="5641" width="12.28515625" style="30" customWidth="1"/>
    <col min="5642" max="5642" width="12.7109375" style="30" customWidth="1"/>
    <col min="5643" max="5643" width="14.140625" style="30" customWidth="1"/>
    <col min="5644" max="5644" width="11.140625" style="30" customWidth="1"/>
    <col min="5645" max="5889" width="9.140625" style="30"/>
    <col min="5890" max="5890" width="2.7109375" style="30" customWidth="1"/>
    <col min="5891" max="5891" width="9.140625" style="30"/>
    <col min="5892" max="5892" width="40.28515625" style="30" bestFit="1" customWidth="1"/>
    <col min="5893" max="5893" width="10.7109375" style="30" customWidth="1"/>
    <col min="5894" max="5894" width="10" style="30" customWidth="1"/>
    <col min="5895" max="5895" width="17.85546875" style="30" customWidth="1"/>
    <col min="5896" max="5896" width="7.7109375" style="30" customWidth="1"/>
    <col min="5897" max="5897" width="12.28515625" style="30" customWidth="1"/>
    <col min="5898" max="5898" width="12.7109375" style="30" customWidth="1"/>
    <col min="5899" max="5899" width="14.140625" style="30" customWidth="1"/>
    <col min="5900" max="5900" width="11.140625" style="30" customWidth="1"/>
    <col min="5901" max="6145" width="9.140625" style="30"/>
    <col min="6146" max="6146" width="2.7109375" style="30" customWidth="1"/>
    <col min="6147" max="6147" width="9.140625" style="30"/>
    <col min="6148" max="6148" width="40.28515625" style="30" bestFit="1" customWidth="1"/>
    <col min="6149" max="6149" width="10.7109375" style="30" customWidth="1"/>
    <col min="6150" max="6150" width="10" style="30" customWidth="1"/>
    <col min="6151" max="6151" width="17.85546875" style="30" customWidth="1"/>
    <col min="6152" max="6152" width="7.7109375" style="30" customWidth="1"/>
    <col min="6153" max="6153" width="12.28515625" style="30" customWidth="1"/>
    <col min="6154" max="6154" width="12.7109375" style="30" customWidth="1"/>
    <col min="6155" max="6155" width="14.140625" style="30" customWidth="1"/>
    <col min="6156" max="6156" width="11.140625" style="30" customWidth="1"/>
    <col min="6157" max="6401" width="9.140625" style="30"/>
    <col min="6402" max="6402" width="2.7109375" style="30" customWidth="1"/>
    <col min="6403" max="6403" width="9.140625" style="30"/>
    <col min="6404" max="6404" width="40.28515625" style="30" bestFit="1" customWidth="1"/>
    <col min="6405" max="6405" width="10.7109375" style="30" customWidth="1"/>
    <col min="6406" max="6406" width="10" style="30" customWidth="1"/>
    <col min="6407" max="6407" width="17.85546875" style="30" customWidth="1"/>
    <col min="6408" max="6408" width="7.7109375" style="30" customWidth="1"/>
    <col min="6409" max="6409" width="12.28515625" style="30" customWidth="1"/>
    <col min="6410" max="6410" width="12.7109375" style="30" customWidth="1"/>
    <col min="6411" max="6411" width="14.140625" style="30" customWidth="1"/>
    <col min="6412" max="6412" width="11.140625" style="30" customWidth="1"/>
    <col min="6413" max="6657" width="9.140625" style="30"/>
    <col min="6658" max="6658" width="2.7109375" style="30" customWidth="1"/>
    <col min="6659" max="6659" width="9.140625" style="30"/>
    <col min="6660" max="6660" width="40.28515625" style="30" bestFit="1" customWidth="1"/>
    <col min="6661" max="6661" width="10.7109375" style="30" customWidth="1"/>
    <col min="6662" max="6662" width="10" style="30" customWidth="1"/>
    <col min="6663" max="6663" width="17.85546875" style="30" customWidth="1"/>
    <col min="6664" max="6664" width="7.7109375" style="30" customWidth="1"/>
    <col min="6665" max="6665" width="12.28515625" style="30" customWidth="1"/>
    <col min="6666" max="6666" width="12.7109375" style="30" customWidth="1"/>
    <col min="6667" max="6667" width="14.140625" style="30" customWidth="1"/>
    <col min="6668" max="6668" width="11.140625" style="30" customWidth="1"/>
    <col min="6669" max="6913" width="9.140625" style="30"/>
    <col min="6914" max="6914" width="2.7109375" style="30" customWidth="1"/>
    <col min="6915" max="6915" width="9.140625" style="30"/>
    <col min="6916" max="6916" width="40.28515625" style="30" bestFit="1" customWidth="1"/>
    <col min="6917" max="6917" width="10.7109375" style="30" customWidth="1"/>
    <col min="6918" max="6918" width="10" style="30" customWidth="1"/>
    <col min="6919" max="6919" width="17.85546875" style="30" customWidth="1"/>
    <col min="6920" max="6920" width="7.7109375" style="30" customWidth="1"/>
    <col min="6921" max="6921" width="12.28515625" style="30" customWidth="1"/>
    <col min="6922" max="6922" width="12.7109375" style="30" customWidth="1"/>
    <col min="6923" max="6923" width="14.140625" style="30" customWidth="1"/>
    <col min="6924" max="6924" width="11.140625" style="30" customWidth="1"/>
    <col min="6925" max="7169" width="9.140625" style="30"/>
    <col min="7170" max="7170" width="2.7109375" style="30" customWidth="1"/>
    <col min="7171" max="7171" width="9.140625" style="30"/>
    <col min="7172" max="7172" width="40.28515625" style="30" bestFit="1" customWidth="1"/>
    <col min="7173" max="7173" width="10.7109375" style="30" customWidth="1"/>
    <col min="7174" max="7174" width="10" style="30" customWidth="1"/>
    <col min="7175" max="7175" width="17.85546875" style="30" customWidth="1"/>
    <col min="7176" max="7176" width="7.7109375" style="30" customWidth="1"/>
    <col min="7177" max="7177" width="12.28515625" style="30" customWidth="1"/>
    <col min="7178" max="7178" width="12.7109375" style="30" customWidth="1"/>
    <col min="7179" max="7179" width="14.140625" style="30" customWidth="1"/>
    <col min="7180" max="7180" width="11.140625" style="30" customWidth="1"/>
    <col min="7181" max="7425" width="9.140625" style="30"/>
    <col min="7426" max="7426" width="2.7109375" style="30" customWidth="1"/>
    <col min="7427" max="7427" width="9.140625" style="30"/>
    <col min="7428" max="7428" width="40.28515625" style="30" bestFit="1" customWidth="1"/>
    <col min="7429" max="7429" width="10.7109375" style="30" customWidth="1"/>
    <col min="7430" max="7430" width="10" style="30" customWidth="1"/>
    <col min="7431" max="7431" width="17.85546875" style="30" customWidth="1"/>
    <col min="7432" max="7432" width="7.7109375" style="30" customWidth="1"/>
    <col min="7433" max="7433" width="12.28515625" style="30" customWidth="1"/>
    <col min="7434" max="7434" width="12.7109375" style="30" customWidth="1"/>
    <col min="7435" max="7435" width="14.140625" style="30" customWidth="1"/>
    <col min="7436" max="7436" width="11.140625" style="30" customWidth="1"/>
    <col min="7437" max="7681" width="9.140625" style="30"/>
    <col min="7682" max="7682" width="2.7109375" style="30" customWidth="1"/>
    <col min="7683" max="7683" width="9.140625" style="30"/>
    <col min="7684" max="7684" width="40.28515625" style="30" bestFit="1" customWidth="1"/>
    <col min="7685" max="7685" width="10.7109375" style="30" customWidth="1"/>
    <col min="7686" max="7686" width="10" style="30" customWidth="1"/>
    <col min="7687" max="7687" width="17.85546875" style="30" customWidth="1"/>
    <col min="7688" max="7688" width="7.7109375" style="30" customWidth="1"/>
    <col min="7689" max="7689" width="12.28515625" style="30" customWidth="1"/>
    <col min="7690" max="7690" width="12.7109375" style="30" customWidth="1"/>
    <col min="7691" max="7691" width="14.140625" style="30" customWidth="1"/>
    <col min="7692" max="7692" width="11.140625" style="30" customWidth="1"/>
    <col min="7693" max="7937" width="9.140625" style="30"/>
    <col min="7938" max="7938" width="2.7109375" style="30" customWidth="1"/>
    <col min="7939" max="7939" width="9.140625" style="30"/>
    <col min="7940" max="7940" width="40.28515625" style="30" bestFit="1" customWidth="1"/>
    <col min="7941" max="7941" width="10.7109375" style="30" customWidth="1"/>
    <col min="7942" max="7942" width="10" style="30" customWidth="1"/>
    <col min="7943" max="7943" width="17.85546875" style="30" customWidth="1"/>
    <col min="7944" max="7944" width="7.7109375" style="30" customWidth="1"/>
    <col min="7945" max="7945" width="12.28515625" style="30" customWidth="1"/>
    <col min="7946" max="7946" width="12.7109375" style="30" customWidth="1"/>
    <col min="7947" max="7947" width="14.140625" style="30" customWidth="1"/>
    <col min="7948" max="7948" width="11.140625" style="30" customWidth="1"/>
    <col min="7949" max="8193" width="9.140625" style="30"/>
    <col min="8194" max="8194" width="2.7109375" style="30" customWidth="1"/>
    <col min="8195" max="8195" width="9.140625" style="30"/>
    <col min="8196" max="8196" width="40.28515625" style="30" bestFit="1" customWidth="1"/>
    <col min="8197" max="8197" width="10.7109375" style="30" customWidth="1"/>
    <col min="8198" max="8198" width="10" style="30" customWidth="1"/>
    <col min="8199" max="8199" width="17.85546875" style="30" customWidth="1"/>
    <col min="8200" max="8200" width="7.7109375" style="30" customWidth="1"/>
    <col min="8201" max="8201" width="12.28515625" style="30" customWidth="1"/>
    <col min="8202" max="8202" width="12.7109375" style="30" customWidth="1"/>
    <col min="8203" max="8203" width="14.140625" style="30" customWidth="1"/>
    <col min="8204" max="8204" width="11.140625" style="30" customWidth="1"/>
    <col min="8205" max="8449" width="9.140625" style="30"/>
    <col min="8450" max="8450" width="2.7109375" style="30" customWidth="1"/>
    <col min="8451" max="8451" width="9.140625" style="30"/>
    <col min="8452" max="8452" width="40.28515625" style="30" bestFit="1" customWidth="1"/>
    <col min="8453" max="8453" width="10.7109375" style="30" customWidth="1"/>
    <col min="8454" max="8454" width="10" style="30" customWidth="1"/>
    <col min="8455" max="8455" width="17.85546875" style="30" customWidth="1"/>
    <col min="8456" max="8456" width="7.7109375" style="30" customWidth="1"/>
    <col min="8457" max="8457" width="12.28515625" style="30" customWidth="1"/>
    <col min="8458" max="8458" width="12.7109375" style="30" customWidth="1"/>
    <col min="8459" max="8459" width="14.140625" style="30" customWidth="1"/>
    <col min="8460" max="8460" width="11.140625" style="30" customWidth="1"/>
    <col min="8461" max="8705" width="9.140625" style="30"/>
    <col min="8706" max="8706" width="2.7109375" style="30" customWidth="1"/>
    <col min="8707" max="8707" width="9.140625" style="30"/>
    <col min="8708" max="8708" width="40.28515625" style="30" bestFit="1" customWidth="1"/>
    <col min="8709" max="8709" width="10.7109375" style="30" customWidth="1"/>
    <col min="8710" max="8710" width="10" style="30" customWidth="1"/>
    <col min="8711" max="8711" width="17.85546875" style="30" customWidth="1"/>
    <col min="8712" max="8712" width="7.7109375" style="30" customWidth="1"/>
    <col min="8713" max="8713" width="12.28515625" style="30" customWidth="1"/>
    <col min="8714" max="8714" width="12.7109375" style="30" customWidth="1"/>
    <col min="8715" max="8715" width="14.140625" style="30" customWidth="1"/>
    <col min="8716" max="8716" width="11.140625" style="30" customWidth="1"/>
    <col min="8717" max="8961" width="9.140625" style="30"/>
    <col min="8962" max="8962" width="2.7109375" style="30" customWidth="1"/>
    <col min="8963" max="8963" width="9.140625" style="30"/>
    <col min="8964" max="8964" width="40.28515625" style="30" bestFit="1" customWidth="1"/>
    <col min="8965" max="8965" width="10.7109375" style="30" customWidth="1"/>
    <col min="8966" max="8966" width="10" style="30" customWidth="1"/>
    <col min="8967" max="8967" width="17.85546875" style="30" customWidth="1"/>
    <col min="8968" max="8968" width="7.7109375" style="30" customWidth="1"/>
    <col min="8969" max="8969" width="12.28515625" style="30" customWidth="1"/>
    <col min="8970" max="8970" width="12.7109375" style="30" customWidth="1"/>
    <col min="8971" max="8971" width="14.140625" style="30" customWidth="1"/>
    <col min="8972" max="8972" width="11.140625" style="30" customWidth="1"/>
    <col min="8973" max="9217" width="9.140625" style="30"/>
    <col min="9218" max="9218" width="2.7109375" style="30" customWidth="1"/>
    <col min="9219" max="9219" width="9.140625" style="30"/>
    <col min="9220" max="9220" width="40.28515625" style="30" bestFit="1" customWidth="1"/>
    <col min="9221" max="9221" width="10.7109375" style="30" customWidth="1"/>
    <col min="9222" max="9222" width="10" style="30" customWidth="1"/>
    <col min="9223" max="9223" width="17.85546875" style="30" customWidth="1"/>
    <col min="9224" max="9224" width="7.7109375" style="30" customWidth="1"/>
    <col min="9225" max="9225" width="12.28515625" style="30" customWidth="1"/>
    <col min="9226" max="9226" width="12.7109375" style="30" customWidth="1"/>
    <col min="9227" max="9227" width="14.140625" style="30" customWidth="1"/>
    <col min="9228" max="9228" width="11.140625" style="30" customWidth="1"/>
    <col min="9229" max="9473" width="9.140625" style="30"/>
    <col min="9474" max="9474" width="2.7109375" style="30" customWidth="1"/>
    <col min="9475" max="9475" width="9.140625" style="30"/>
    <col min="9476" max="9476" width="40.28515625" style="30" bestFit="1" customWidth="1"/>
    <col min="9477" max="9477" width="10.7109375" style="30" customWidth="1"/>
    <col min="9478" max="9478" width="10" style="30" customWidth="1"/>
    <col min="9479" max="9479" width="17.85546875" style="30" customWidth="1"/>
    <col min="9480" max="9480" width="7.7109375" style="30" customWidth="1"/>
    <col min="9481" max="9481" width="12.28515625" style="30" customWidth="1"/>
    <col min="9482" max="9482" width="12.7109375" style="30" customWidth="1"/>
    <col min="9483" max="9483" width="14.140625" style="30" customWidth="1"/>
    <col min="9484" max="9484" width="11.140625" style="30" customWidth="1"/>
    <col min="9485" max="9729" width="9.140625" style="30"/>
    <col min="9730" max="9730" width="2.7109375" style="30" customWidth="1"/>
    <col min="9731" max="9731" width="9.140625" style="30"/>
    <col min="9732" max="9732" width="40.28515625" style="30" bestFit="1" customWidth="1"/>
    <col min="9733" max="9733" width="10.7109375" style="30" customWidth="1"/>
    <col min="9734" max="9734" width="10" style="30" customWidth="1"/>
    <col min="9735" max="9735" width="17.85546875" style="30" customWidth="1"/>
    <col min="9736" max="9736" width="7.7109375" style="30" customWidth="1"/>
    <col min="9737" max="9737" width="12.28515625" style="30" customWidth="1"/>
    <col min="9738" max="9738" width="12.7109375" style="30" customWidth="1"/>
    <col min="9739" max="9739" width="14.140625" style="30" customWidth="1"/>
    <col min="9740" max="9740" width="11.140625" style="30" customWidth="1"/>
    <col min="9741" max="9985" width="9.140625" style="30"/>
    <col min="9986" max="9986" width="2.7109375" style="30" customWidth="1"/>
    <col min="9987" max="9987" width="9.140625" style="30"/>
    <col min="9988" max="9988" width="40.28515625" style="30" bestFit="1" customWidth="1"/>
    <col min="9989" max="9989" width="10.7109375" style="30" customWidth="1"/>
    <col min="9990" max="9990" width="10" style="30" customWidth="1"/>
    <col min="9991" max="9991" width="17.85546875" style="30" customWidth="1"/>
    <col min="9992" max="9992" width="7.7109375" style="30" customWidth="1"/>
    <col min="9993" max="9993" width="12.28515625" style="30" customWidth="1"/>
    <col min="9994" max="9994" width="12.7109375" style="30" customWidth="1"/>
    <col min="9995" max="9995" width="14.140625" style="30" customWidth="1"/>
    <col min="9996" max="9996" width="11.140625" style="30" customWidth="1"/>
    <col min="9997" max="10241" width="9.140625" style="30"/>
    <col min="10242" max="10242" width="2.7109375" style="30" customWidth="1"/>
    <col min="10243" max="10243" width="9.140625" style="30"/>
    <col min="10244" max="10244" width="40.28515625" style="30" bestFit="1" customWidth="1"/>
    <col min="10245" max="10245" width="10.7109375" style="30" customWidth="1"/>
    <col min="10246" max="10246" width="10" style="30" customWidth="1"/>
    <col min="10247" max="10247" width="17.85546875" style="30" customWidth="1"/>
    <col min="10248" max="10248" width="7.7109375" style="30" customWidth="1"/>
    <col min="10249" max="10249" width="12.28515625" style="30" customWidth="1"/>
    <col min="10250" max="10250" width="12.7109375" style="30" customWidth="1"/>
    <col min="10251" max="10251" width="14.140625" style="30" customWidth="1"/>
    <col min="10252" max="10252" width="11.140625" style="30" customWidth="1"/>
    <col min="10253" max="10497" width="9.140625" style="30"/>
    <col min="10498" max="10498" width="2.7109375" style="30" customWidth="1"/>
    <col min="10499" max="10499" width="9.140625" style="30"/>
    <col min="10500" max="10500" width="40.28515625" style="30" bestFit="1" customWidth="1"/>
    <col min="10501" max="10501" width="10.7109375" style="30" customWidth="1"/>
    <col min="10502" max="10502" width="10" style="30" customWidth="1"/>
    <col min="10503" max="10503" width="17.85546875" style="30" customWidth="1"/>
    <col min="10504" max="10504" width="7.7109375" style="30" customWidth="1"/>
    <col min="10505" max="10505" width="12.28515625" style="30" customWidth="1"/>
    <col min="10506" max="10506" width="12.7109375" style="30" customWidth="1"/>
    <col min="10507" max="10507" width="14.140625" style="30" customWidth="1"/>
    <col min="10508" max="10508" width="11.140625" style="30" customWidth="1"/>
    <col min="10509" max="10753" width="9.140625" style="30"/>
    <col min="10754" max="10754" width="2.7109375" style="30" customWidth="1"/>
    <col min="10755" max="10755" width="9.140625" style="30"/>
    <col min="10756" max="10756" width="40.28515625" style="30" bestFit="1" customWidth="1"/>
    <col min="10757" max="10757" width="10.7109375" style="30" customWidth="1"/>
    <col min="10758" max="10758" width="10" style="30" customWidth="1"/>
    <col min="10759" max="10759" width="17.85546875" style="30" customWidth="1"/>
    <col min="10760" max="10760" width="7.7109375" style="30" customWidth="1"/>
    <col min="10761" max="10761" width="12.28515625" style="30" customWidth="1"/>
    <col min="10762" max="10762" width="12.7109375" style="30" customWidth="1"/>
    <col min="10763" max="10763" width="14.140625" style="30" customWidth="1"/>
    <col min="10764" max="10764" width="11.140625" style="30" customWidth="1"/>
    <col min="10765" max="11009" width="9.140625" style="30"/>
    <col min="11010" max="11010" width="2.7109375" style="30" customWidth="1"/>
    <col min="11011" max="11011" width="9.140625" style="30"/>
    <col min="11012" max="11012" width="40.28515625" style="30" bestFit="1" customWidth="1"/>
    <col min="11013" max="11013" width="10.7109375" style="30" customWidth="1"/>
    <col min="11014" max="11014" width="10" style="30" customWidth="1"/>
    <col min="11015" max="11015" width="17.85546875" style="30" customWidth="1"/>
    <col min="11016" max="11016" width="7.7109375" style="30" customWidth="1"/>
    <col min="11017" max="11017" width="12.28515625" style="30" customWidth="1"/>
    <col min="11018" max="11018" width="12.7109375" style="30" customWidth="1"/>
    <col min="11019" max="11019" width="14.140625" style="30" customWidth="1"/>
    <col min="11020" max="11020" width="11.140625" style="30" customWidth="1"/>
    <col min="11021" max="11265" width="9.140625" style="30"/>
    <col min="11266" max="11266" width="2.7109375" style="30" customWidth="1"/>
    <col min="11267" max="11267" width="9.140625" style="30"/>
    <col min="11268" max="11268" width="40.28515625" style="30" bestFit="1" customWidth="1"/>
    <col min="11269" max="11269" width="10.7109375" style="30" customWidth="1"/>
    <col min="11270" max="11270" width="10" style="30" customWidth="1"/>
    <col min="11271" max="11271" width="17.85546875" style="30" customWidth="1"/>
    <col min="11272" max="11272" width="7.7109375" style="30" customWidth="1"/>
    <col min="11273" max="11273" width="12.28515625" style="30" customWidth="1"/>
    <col min="11274" max="11274" width="12.7109375" style="30" customWidth="1"/>
    <col min="11275" max="11275" width="14.140625" style="30" customWidth="1"/>
    <col min="11276" max="11276" width="11.140625" style="30" customWidth="1"/>
    <col min="11277" max="11521" width="9.140625" style="30"/>
    <col min="11522" max="11522" width="2.7109375" style="30" customWidth="1"/>
    <col min="11523" max="11523" width="9.140625" style="30"/>
    <col min="11524" max="11524" width="40.28515625" style="30" bestFit="1" customWidth="1"/>
    <col min="11525" max="11525" width="10.7109375" style="30" customWidth="1"/>
    <col min="11526" max="11526" width="10" style="30" customWidth="1"/>
    <col min="11527" max="11527" width="17.85546875" style="30" customWidth="1"/>
    <col min="11528" max="11528" width="7.7109375" style="30" customWidth="1"/>
    <col min="11529" max="11529" width="12.28515625" style="30" customWidth="1"/>
    <col min="11530" max="11530" width="12.7109375" style="30" customWidth="1"/>
    <col min="11531" max="11531" width="14.140625" style="30" customWidth="1"/>
    <col min="11532" max="11532" width="11.140625" style="30" customWidth="1"/>
    <col min="11533" max="11777" width="9.140625" style="30"/>
    <col min="11778" max="11778" width="2.7109375" style="30" customWidth="1"/>
    <col min="11779" max="11779" width="9.140625" style="30"/>
    <col min="11780" max="11780" width="40.28515625" style="30" bestFit="1" customWidth="1"/>
    <col min="11781" max="11781" width="10.7109375" style="30" customWidth="1"/>
    <col min="11782" max="11782" width="10" style="30" customWidth="1"/>
    <col min="11783" max="11783" width="17.85546875" style="30" customWidth="1"/>
    <col min="11784" max="11784" width="7.7109375" style="30" customWidth="1"/>
    <col min="11785" max="11785" width="12.28515625" style="30" customWidth="1"/>
    <col min="11786" max="11786" width="12.7109375" style="30" customWidth="1"/>
    <col min="11787" max="11787" width="14.140625" style="30" customWidth="1"/>
    <col min="11788" max="11788" width="11.140625" style="30" customWidth="1"/>
    <col min="11789" max="12033" width="9.140625" style="30"/>
    <col min="12034" max="12034" width="2.7109375" style="30" customWidth="1"/>
    <col min="12035" max="12035" width="9.140625" style="30"/>
    <col min="12036" max="12036" width="40.28515625" style="30" bestFit="1" customWidth="1"/>
    <col min="12037" max="12037" width="10.7109375" style="30" customWidth="1"/>
    <col min="12038" max="12038" width="10" style="30" customWidth="1"/>
    <col min="12039" max="12039" width="17.85546875" style="30" customWidth="1"/>
    <col min="12040" max="12040" width="7.7109375" style="30" customWidth="1"/>
    <col min="12041" max="12041" width="12.28515625" style="30" customWidth="1"/>
    <col min="12042" max="12042" width="12.7109375" style="30" customWidth="1"/>
    <col min="12043" max="12043" width="14.140625" style="30" customWidth="1"/>
    <col min="12044" max="12044" width="11.140625" style="30" customWidth="1"/>
    <col min="12045" max="12289" width="9.140625" style="30"/>
    <col min="12290" max="12290" width="2.7109375" style="30" customWidth="1"/>
    <col min="12291" max="12291" width="9.140625" style="30"/>
    <col min="12292" max="12292" width="40.28515625" style="30" bestFit="1" customWidth="1"/>
    <col min="12293" max="12293" width="10.7109375" style="30" customWidth="1"/>
    <col min="12294" max="12294" width="10" style="30" customWidth="1"/>
    <col min="12295" max="12295" width="17.85546875" style="30" customWidth="1"/>
    <col min="12296" max="12296" width="7.7109375" style="30" customWidth="1"/>
    <col min="12297" max="12297" width="12.28515625" style="30" customWidth="1"/>
    <col min="12298" max="12298" width="12.7109375" style="30" customWidth="1"/>
    <col min="12299" max="12299" width="14.140625" style="30" customWidth="1"/>
    <col min="12300" max="12300" width="11.140625" style="30" customWidth="1"/>
    <col min="12301" max="12545" width="9.140625" style="30"/>
    <col min="12546" max="12546" width="2.7109375" style="30" customWidth="1"/>
    <col min="12547" max="12547" width="9.140625" style="30"/>
    <col min="12548" max="12548" width="40.28515625" style="30" bestFit="1" customWidth="1"/>
    <col min="12549" max="12549" width="10.7109375" style="30" customWidth="1"/>
    <col min="12550" max="12550" width="10" style="30" customWidth="1"/>
    <col min="12551" max="12551" width="17.85546875" style="30" customWidth="1"/>
    <col min="12552" max="12552" width="7.7109375" style="30" customWidth="1"/>
    <col min="12553" max="12553" width="12.28515625" style="30" customWidth="1"/>
    <col min="12554" max="12554" width="12.7109375" style="30" customWidth="1"/>
    <col min="12555" max="12555" width="14.140625" style="30" customWidth="1"/>
    <col min="12556" max="12556" width="11.140625" style="30" customWidth="1"/>
    <col min="12557" max="12801" width="9.140625" style="30"/>
    <col min="12802" max="12802" width="2.7109375" style="30" customWidth="1"/>
    <col min="12803" max="12803" width="9.140625" style="30"/>
    <col min="12804" max="12804" width="40.28515625" style="30" bestFit="1" customWidth="1"/>
    <col min="12805" max="12805" width="10.7109375" style="30" customWidth="1"/>
    <col min="12806" max="12806" width="10" style="30" customWidth="1"/>
    <col min="12807" max="12807" width="17.85546875" style="30" customWidth="1"/>
    <col min="12808" max="12808" width="7.7109375" style="30" customWidth="1"/>
    <col min="12809" max="12809" width="12.28515625" style="30" customWidth="1"/>
    <col min="12810" max="12810" width="12.7109375" style="30" customWidth="1"/>
    <col min="12811" max="12811" width="14.140625" style="30" customWidth="1"/>
    <col min="12812" max="12812" width="11.140625" style="30" customWidth="1"/>
    <col min="12813" max="13057" width="9.140625" style="30"/>
    <col min="13058" max="13058" width="2.7109375" style="30" customWidth="1"/>
    <col min="13059" max="13059" width="9.140625" style="30"/>
    <col min="13060" max="13060" width="40.28515625" style="30" bestFit="1" customWidth="1"/>
    <col min="13061" max="13061" width="10.7109375" style="30" customWidth="1"/>
    <col min="13062" max="13062" width="10" style="30" customWidth="1"/>
    <col min="13063" max="13063" width="17.85546875" style="30" customWidth="1"/>
    <col min="13064" max="13064" width="7.7109375" style="30" customWidth="1"/>
    <col min="13065" max="13065" width="12.28515625" style="30" customWidth="1"/>
    <col min="13066" max="13066" width="12.7109375" style="30" customWidth="1"/>
    <col min="13067" max="13067" width="14.140625" style="30" customWidth="1"/>
    <col min="13068" max="13068" width="11.140625" style="30" customWidth="1"/>
    <col min="13069" max="13313" width="9.140625" style="30"/>
    <col min="13314" max="13314" width="2.7109375" style="30" customWidth="1"/>
    <col min="13315" max="13315" width="9.140625" style="30"/>
    <col min="13316" max="13316" width="40.28515625" style="30" bestFit="1" customWidth="1"/>
    <col min="13317" max="13317" width="10.7109375" style="30" customWidth="1"/>
    <col min="13318" max="13318" width="10" style="30" customWidth="1"/>
    <col min="13319" max="13319" width="17.85546875" style="30" customWidth="1"/>
    <col min="13320" max="13320" width="7.7109375" style="30" customWidth="1"/>
    <col min="13321" max="13321" width="12.28515625" style="30" customWidth="1"/>
    <col min="13322" max="13322" width="12.7109375" style="30" customWidth="1"/>
    <col min="13323" max="13323" width="14.140625" style="30" customWidth="1"/>
    <col min="13324" max="13324" width="11.140625" style="30" customWidth="1"/>
    <col min="13325" max="13569" width="9.140625" style="30"/>
    <col min="13570" max="13570" width="2.7109375" style="30" customWidth="1"/>
    <col min="13571" max="13571" width="9.140625" style="30"/>
    <col min="13572" max="13572" width="40.28515625" style="30" bestFit="1" customWidth="1"/>
    <col min="13573" max="13573" width="10.7109375" style="30" customWidth="1"/>
    <col min="13574" max="13574" width="10" style="30" customWidth="1"/>
    <col min="13575" max="13575" width="17.85546875" style="30" customWidth="1"/>
    <col min="13576" max="13576" width="7.7109375" style="30" customWidth="1"/>
    <col min="13577" max="13577" width="12.28515625" style="30" customWidth="1"/>
    <col min="13578" max="13578" width="12.7109375" style="30" customWidth="1"/>
    <col min="13579" max="13579" width="14.140625" style="30" customWidth="1"/>
    <col min="13580" max="13580" width="11.140625" style="30" customWidth="1"/>
    <col min="13581" max="13825" width="9.140625" style="30"/>
    <col min="13826" max="13826" width="2.7109375" style="30" customWidth="1"/>
    <col min="13827" max="13827" width="9.140625" style="30"/>
    <col min="13828" max="13828" width="40.28515625" style="30" bestFit="1" customWidth="1"/>
    <col min="13829" max="13829" width="10.7109375" style="30" customWidth="1"/>
    <col min="13830" max="13830" width="10" style="30" customWidth="1"/>
    <col min="13831" max="13831" width="17.85546875" style="30" customWidth="1"/>
    <col min="13832" max="13832" width="7.7109375" style="30" customWidth="1"/>
    <col min="13833" max="13833" width="12.28515625" style="30" customWidth="1"/>
    <col min="13834" max="13834" width="12.7109375" style="30" customWidth="1"/>
    <col min="13835" max="13835" width="14.140625" style="30" customWidth="1"/>
    <col min="13836" max="13836" width="11.140625" style="30" customWidth="1"/>
    <col min="13837" max="14081" width="9.140625" style="30"/>
    <col min="14082" max="14082" width="2.7109375" style="30" customWidth="1"/>
    <col min="14083" max="14083" width="9.140625" style="30"/>
    <col min="14084" max="14084" width="40.28515625" style="30" bestFit="1" customWidth="1"/>
    <col min="14085" max="14085" width="10.7109375" style="30" customWidth="1"/>
    <col min="14086" max="14086" width="10" style="30" customWidth="1"/>
    <col min="14087" max="14087" width="17.85546875" style="30" customWidth="1"/>
    <col min="14088" max="14088" width="7.7109375" style="30" customWidth="1"/>
    <col min="14089" max="14089" width="12.28515625" style="30" customWidth="1"/>
    <col min="14090" max="14090" width="12.7109375" style="30" customWidth="1"/>
    <col min="14091" max="14091" width="14.140625" style="30" customWidth="1"/>
    <col min="14092" max="14092" width="11.140625" style="30" customWidth="1"/>
    <col min="14093" max="14337" width="9.140625" style="30"/>
    <col min="14338" max="14338" width="2.7109375" style="30" customWidth="1"/>
    <col min="14339" max="14339" width="9.140625" style="30"/>
    <col min="14340" max="14340" width="40.28515625" style="30" bestFit="1" customWidth="1"/>
    <col min="14341" max="14341" width="10.7109375" style="30" customWidth="1"/>
    <col min="14342" max="14342" width="10" style="30" customWidth="1"/>
    <col min="14343" max="14343" width="17.85546875" style="30" customWidth="1"/>
    <col min="14344" max="14344" width="7.7109375" style="30" customWidth="1"/>
    <col min="14345" max="14345" width="12.28515625" style="30" customWidth="1"/>
    <col min="14346" max="14346" width="12.7109375" style="30" customWidth="1"/>
    <col min="14347" max="14347" width="14.140625" style="30" customWidth="1"/>
    <col min="14348" max="14348" width="11.140625" style="30" customWidth="1"/>
    <col min="14349" max="14593" width="9.140625" style="30"/>
    <col min="14594" max="14594" width="2.7109375" style="30" customWidth="1"/>
    <col min="14595" max="14595" width="9.140625" style="30"/>
    <col min="14596" max="14596" width="40.28515625" style="30" bestFit="1" customWidth="1"/>
    <col min="14597" max="14597" width="10.7109375" style="30" customWidth="1"/>
    <col min="14598" max="14598" width="10" style="30" customWidth="1"/>
    <col min="14599" max="14599" width="17.85546875" style="30" customWidth="1"/>
    <col min="14600" max="14600" width="7.7109375" style="30" customWidth="1"/>
    <col min="14601" max="14601" width="12.28515625" style="30" customWidth="1"/>
    <col min="14602" max="14602" width="12.7109375" style="30" customWidth="1"/>
    <col min="14603" max="14603" width="14.140625" style="30" customWidth="1"/>
    <col min="14604" max="14604" width="11.140625" style="30" customWidth="1"/>
    <col min="14605" max="14849" width="9.140625" style="30"/>
    <col min="14850" max="14850" width="2.7109375" style="30" customWidth="1"/>
    <col min="14851" max="14851" width="9.140625" style="30"/>
    <col min="14852" max="14852" width="40.28515625" style="30" bestFit="1" customWidth="1"/>
    <col min="14853" max="14853" width="10.7109375" style="30" customWidth="1"/>
    <col min="14854" max="14854" width="10" style="30" customWidth="1"/>
    <col min="14855" max="14855" width="17.85546875" style="30" customWidth="1"/>
    <col min="14856" max="14856" width="7.7109375" style="30" customWidth="1"/>
    <col min="14857" max="14857" width="12.28515625" style="30" customWidth="1"/>
    <col min="14858" max="14858" width="12.7109375" style="30" customWidth="1"/>
    <col min="14859" max="14859" width="14.140625" style="30" customWidth="1"/>
    <col min="14860" max="14860" width="11.140625" style="30" customWidth="1"/>
    <col min="14861" max="15105" width="9.140625" style="30"/>
    <col min="15106" max="15106" width="2.7109375" style="30" customWidth="1"/>
    <col min="15107" max="15107" width="9.140625" style="30"/>
    <col min="15108" max="15108" width="40.28515625" style="30" bestFit="1" customWidth="1"/>
    <col min="15109" max="15109" width="10.7109375" style="30" customWidth="1"/>
    <col min="15110" max="15110" width="10" style="30" customWidth="1"/>
    <col min="15111" max="15111" width="17.85546875" style="30" customWidth="1"/>
    <col min="15112" max="15112" width="7.7109375" style="30" customWidth="1"/>
    <col min="15113" max="15113" width="12.28515625" style="30" customWidth="1"/>
    <col min="15114" max="15114" width="12.7109375" style="30" customWidth="1"/>
    <col min="15115" max="15115" width="14.140625" style="30" customWidth="1"/>
    <col min="15116" max="15116" width="11.140625" style="30" customWidth="1"/>
    <col min="15117" max="15361" width="9.140625" style="30"/>
    <col min="15362" max="15362" width="2.7109375" style="30" customWidth="1"/>
    <col min="15363" max="15363" width="9.140625" style="30"/>
    <col min="15364" max="15364" width="40.28515625" style="30" bestFit="1" customWidth="1"/>
    <col min="15365" max="15365" width="10.7109375" style="30" customWidth="1"/>
    <col min="15366" max="15366" width="10" style="30" customWidth="1"/>
    <col min="15367" max="15367" width="17.85546875" style="30" customWidth="1"/>
    <col min="15368" max="15368" width="7.7109375" style="30" customWidth="1"/>
    <col min="15369" max="15369" width="12.28515625" style="30" customWidth="1"/>
    <col min="15370" max="15370" width="12.7109375" style="30" customWidth="1"/>
    <col min="15371" max="15371" width="14.140625" style="30" customWidth="1"/>
    <col min="15372" max="15372" width="11.140625" style="30" customWidth="1"/>
    <col min="15373" max="15617" width="9.140625" style="30"/>
    <col min="15618" max="15618" width="2.7109375" style="30" customWidth="1"/>
    <col min="15619" max="15619" width="9.140625" style="30"/>
    <col min="15620" max="15620" width="40.28515625" style="30" bestFit="1" customWidth="1"/>
    <col min="15621" max="15621" width="10.7109375" style="30" customWidth="1"/>
    <col min="15622" max="15622" width="10" style="30" customWidth="1"/>
    <col min="15623" max="15623" width="17.85546875" style="30" customWidth="1"/>
    <col min="15624" max="15624" width="7.7109375" style="30" customWidth="1"/>
    <col min="15625" max="15625" width="12.28515625" style="30" customWidth="1"/>
    <col min="15626" max="15626" width="12.7109375" style="30" customWidth="1"/>
    <col min="15627" max="15627" width="14.140625" style="30" customWidth="1"/>
    <col min="15628" max="15628" width="11.140625" style="30" customWidth="1"/>
    <col min="15629" max="15873" width="9.140625" style="30"/>
    <col min="15874" max="15874" width="2.7109375" style="30" customWidth="1"/>
    <col min="15875" max="15875" width="9.140625" style="30"/>
    <col min="15876" max="15876" width="40.28515625" style="30" bestFit="1" customWidth="1"/>
    <col min="15877" max="15877" width="10.7109375" style="30" customWidth="1"/>
    <col min="15878" max="15878" width="10" style="30" customWidth="1"/>
    <col min="15879" max="15879" width="17.85546875" style="30" customWidth="1"/>
    <col min="15880" max="15880" width="7.7109375" style="30" customWidth="1"/>
    <col min="15881" max="15881" width="12.28515625" style="30" customWidth="1"/>
    <col min="15882" max="15882" width="12.7109375" style="30" customWidth="1"/>
    <col min="15883" max="15883" width="14.140625" style="30" customWidth="1"/>
    <col min="15884" max="15884" width="11.140625" style="30" customWidth="1"/>
    <col min="15885" max="16129" width="9.140625" style="30"/>
    <col min="16130" max="16130" width="2.7109375" style="30" customWidth="1"/>
    <col min="16131" max="16131" width="9.140625" style="30"/>
    <col min="16132" max="16132" width="40.28515625" style="30" bestFit="1" customWidth="1"/>
    <col min="16133" max="16133" width="10.7109375" style="30" customWidth="1"/>
    <col min="16134" max="16134" width="10" style="30" customWidth="1"/>
    <col min="16135" max="16135" width="17.85546875" style="30" customWidth="1"/>
    <col min="16136" max="16136" width="7.7109375" style="30" customWidth="1"/>
    <col min="16137" max="16137" width="12.28515625" style="30" customWidth="1"/>
    <col min="16138" max="16138" width="12.7109375" style="30" customWidth="1"/>
    <col min="16139" max="16139" width="14.140625" style="30" customWidth="1"/>
    <col min="16140" max="16140" width="11.140625" style="30" customWidth="1"/>
    <col min="16141" max="16384" width="9.140625" style="30"/>
  </cols>
  <sheetData>
    <row r="1" spans="1:13">
      <c r="K1" s="31" t="s">
        <v>131</v>
      </c>
      <c r="L1" s="32" t="str">
        <f>'LDC Info'!$E$18</f>
        <v>EB-2012-0126</v>
      </c>
      <c r="M1" s="61"/>
    </row>
    <row r="2" spans="1:13">
      <c r="K2" s="31" t="s">
        <v>132</v>
      </c>
      <c r="L2" s="33"/>
      <c r="M2" s="61"/>
    </row>
    <row r="3" spans="1:13">
      <c r="K3" s="31" t="s">
        <v>133</v>
      </c>
      <c r="L3" s="33"/>
      <c r="M3" s="61"/>
    </row>
    <row r="4" spans="1:13">
      <c r="K4" s="31" t="s">
        <v>134</v>
      </c>
      <c r="L4" s="33"/>
      <c r="M4" s="61"/>
    </row>
    <row r="5" spans="1:13">
      <c r="K5" s="31" t="s">
        <v>135</v>
      </c>
      <c r="L5" s="34"/>
      <c r="M5" s="61"/>
    </row>
    <row r="6" spans="1:13">
      <c r="K6" s="31"/>
      <c r="L6" s="32"/>
      <c r="M6" s="61"/>
    </row>
    <row r="7" spans="1:13">
      <c r="K7" s="31" t="s">
        <v>136</v>
      </c>
      <c r="L7" s="34" t="s">
        <v>1171</v>
      </c>
      <c r="M7" s="122"/>
    </row>
    <row r="9" spans="1:13" ht="18">
      <c r="A9" s="1144" t="s">
        <v>359</v>
      </c>
      <c r="B9" s="1144"/>
      <c r="C9" s="1144"/>
      <c r="D9" s="1144"/>
      <c r="E9" s="1144"/>
      <c r="F9" s="1144"/>
      <c r="G9" s="1144"/>
      <c r="H9" s="1144"/>
      <c r="I9" s="1144"/>
      <c r="J9" s="1144"/>
      <c r="K9" s="1144"/>
      <c r="L9" s="1144"/>
    </row>
    <row r="10" spans="1:13" ht="18">
      <c r="A10" s="1144" t="s">
        <v>331</v>
      </c>
      <c r="B10" s="1144"/>
      <c r="C10" s="1144"/>
      <c r="D10" s="1144"/>
      <c r="E10" s="1144"/>
      <c r="F10" s="1144"/>
      <c r="G10" s="1144"/>
      <c r="H10" s="1144"/>
      <c r="I10" s="1144"/>
      <c r="J10" s="1144"/>
      <c r="K10" s="1144"/>
      <c r="L10" s="1144"/>
    </row>
    <row r="11" spans="1:13" ht="18.75" customHeight="1">
      <c r="A11" s="1133" t="s">
        <v>332</v>
      </c>
      <c r="B11" s="1133"/>
      <c r="C11" s="1133"/>
      <c r="D11" s="1133"/>
      <c r="E11" s="1133"/>
      <c r="F11" s="1133"/>
      <c r="G11" s="1133"/>
      <c r="H11" s="1133"/>
      <c r="I11" s="1133"/>
      <c r="J11" s="1133"/>
      <c r="K11" s="1133"/>
      <c r="L11" s="1133"/>
    </row>
    <row r="12" spans="1:13" ht="13.5" customHeight="1">
      <c r="A12" s="123"/>
      <c r="B12" s="123"/>
      <c r="C12" s="124" t="s">
        <v>333</v>
      </c>
      <c r="D12" s="125">
        <v>2012</v>
      </c>
      <c r="E12" s="124" t="s">
        <v>143</v>
      </c>
      <c r="H12" s="123"/>
      <c r="I12" s="123"/>
      <c r="J12" s="123"/>
    </row>
    <row r="13" spans="1:13" ht="15" customHeight="1" thickBot="1"/>
    <row r="14" spans="1:13" ht="63.75" customHeight="1">
      <c r="A14" s="1134" t="s">
        <v>334</v>
      </c>
      <c r="B14" s="1136" t="s">
        <v>279</v>
      </c>
      <c r="C14" s="126" t="s">
        <v>360</v>
      </c>
      <c r="D14" s="126" t="s">
        <v>336</v>
      </c>
      <c r="E14" s="126" t="s">
        <v>337</v>
      </c>
      <c r="F14" s="126" t="s">
        <v>282</v>
      </c>
      <c r="G14" s="126" t="s">
        <v>338</v>
      </c>
      <c r="H14" s="126" t="s">
        <v>339</v>
      </c>
      <c r="I14" s="126" t="s">
        <v>280</v>
      </c>
      <c r="J14" s="127" t="s">
        <v>361</v>
      </c>
      <c r="K14" s="1138" t="s">
        <v>362</v>
      </c>
      <c r="L14" s="127" t="s">
        <v>342</v>
      </c>
    </row>
    <row r="15" spans="1:13" ht="19.5" customHeight="1" thickBot="1">
      <c r="A15" s="1135"/>
      <c r="B15" s="1137"/>
      <c r="C15" s="128" t="s">
        <v>343</v>
      </c>
      <c r="D15" s="128" t="s">
        <v>344</v>
      </c>
      <c r="E15" s="128" t="s">
        <v>345</v>
      </c>
      <c r="F15" s="128" t="s">
        <v>346</v>
      </c>
      <c r="G15" s="129" t="s">
        <v>347</v>
      </c>
      <c r="H15" s="128" t="s">
        <v>348</v>
      </c>
      <c r="I15" s="128" t="s">
        <v>349</v>
      </c>
      <c r="J15" s="130" t="s">
        <v>350</v>
      </c>
      <c r="K15" s="1139"/>
      <c r="L15" s="130" t="s">
        <v>351</v>
      </c>
    </row>
    <row r="16" spans="1:13">
      <c r="A16" s="131">
        <v>1611</v>
      </c>
      <c r="B16" s="132" t="s">
        <v>286</v>
      </c>
      <c r="C16" s="175">
        <f>VLOOKUP(A16,'App.2-B_Fixed Asset Con''ty 2012'!$B$15:$H$57,4,FALSE)</f>
        <v>2644034.9700000002</v>
      </c>
      <c r="D16" s="175">
        <v>-1500807.36</v>
      </c>
      <c r="E16" s="176">
        <f>C16+D16</f>
        <v>1143227.6100000001</v>
      </c>
      <c r="F16" s="175">
        <f>VLOOKUP(A16,'App.2-B_Fixed Asset Con''ty 2012'!$B$15:$H$57,5,FALSE)</f>
        <v>7887.6199999999953</v>
      </c>
      <c r="G16" s="177">
        <f>E16+0.5*F16</f>
        <v>1147171.4200000002</v>
      </c>
      <c r="H16" s="136">
        <v>5</v>
      </c>
      <c r="I16" s="178">
        <f>IF(H16=0," ",1/H16)</f>
        <v>0.2</v>
      </c>
      <c r="J16" s="179">
        <f t="shared" ref="J16:J54" si="0">IF(H16=0,0,G16/H16)</f>
        <v>229434.28400000004</v>
      </c>
      <c r="K16" s="175">
        <f>-VLOOKUP(A16,'App.2-B_Fixed Asset Con''ty 2012'!$B$16:$K$53,10,FALSE)</f>
        <v>229434.084</v>
      </c>
      <c r="L16" s="179">
        <f t="shared" ref="L16:L54" si="1">IF(ISERROR(+J16-K16), 0, +J16-K16)</f>
        <v>0.20000000004074536</v>
      </c>
    </row>
    <row r="17" spans="1:12">
      <c r="A17" s="139">
        <v>1612</v>
      </c>
      <c r="B17" s="140" t="s">
        <v>288</v>
      </c>
      <c r="C17" s="175">
        <f>VLOOKUP(A17,'App.2-B_Fixed Asset Con''ty 2012'!$B$15:$H$57,4,FALSE)</f>
        <v>0</v>
      </c>
      <c r="D17" s="180"/>
      <c r="E17" s="176">
        <f t="shared" ref="E17:E53" si="2">C17+D17</f>
        <v>0</v>
      </c>
      <c r="F17" s="175">
        <f>VLOOKUP(A17,'App.2-B_Fixed Asset Con''ty 2012'!$B$15:$H$57,5,FALSE)</f>
        <v>0</v>
      </c>
      <c r="G17" s="181">
        <f t="shared" ref="G17:G54" si="3">E17+0.5*F17</f>
        <v>0</v>
      </c>
      <c r="H17" s="143"/>
      <c r="I17" s="178" t="str">
        <f t="shared" ref="I17:I53" si="4">IF(H17=0," ",1/H17)</f>
        <v xml:space="preserve"> </v>
      </c>
      <c r="J17" s="182">
        <f t="shared" si="0"/>
        <v>0</v>
      </c>
      <c r="K17" s="175">
        <f>-VLOOKUP(A17,'App.2-B_Fixed Asset Con''ty 2012'!$B$16:$K$53,10,FALSE)</f>
        <v>0</v>
      </c>
      <c r="L17" s="182">
        <f t="shared" si="1"/>
        <v>0</v>
      </c>
    </row>
    <row r="18" spans="1:12">
      <c r="A18" s="146">
        <v>1805</v>
      </c>
      <c r="B18" s="147" t="s">
        <v>163</v>
      </c>
      <c r="C18" s="175">
        <f>VLOOKUP(A18,'App.2-B_Fixed Asset Con''ty 2012'!$B$15:$H$57,4,FALSE)</f>
        <v>857298.24</v>
      </c>
      <c r="D18" s="180"/>
      <c r="E18" s="176">
        <f t="shared" si="2"/>
        <v>857298.24</v>
      </c>
      <c r="F18" s="175">
        <f>VLOOKUP(A18,'App.2-B_Fixed Asset Con''ty 2012'!$B$15:$H$57,5,FALSE)</f>
        <v>1253.22</v>
      </c>
      <c r="G18" s="181">
        <f t="shared" si="3"/>
        <v>857924.85</v>
      </c>
      <c r="H18" s="143"/>
      <c r="I18" s="178" t="str">
        <f t="shared" si="4"/>
        <v xml:space="preserve"> </v>
      </c>
      <c r="J18" s="182">
        <f t="shared" si="0"/>
        <v>0</v>
      </c>
      <c r="K18" s="175">
        <f>-VLOOKUP(A18,'App.2-B_Fixed Asset Con''ty 2012'!$B$16:$K$53,10,FALSE)</f>
        <v>0</v>
      </c>
      <c r="L18" s="182">
        <f t="shared" si="1"/>
        <v>0</v>
      </c>
    </row>
    <row r="19" spans="1:12">
      <c r="A19" s="139">
        <v>1808</v>
      </c>
      <c r="B19" s="148" t="s">
        <v>162</v>
      </c>
      <c r="C19" s="175">
        <f>VLOOKUP(A19,'App.2-B_Fixed Asset Con''ty 2012'!$B$15:$H$57,4,FALSE)</f>
        <v>9230592.6199999992</v>
      </c>
      <c r="D19" s="180">
        <v>-1225941.4125000013</v>
      </c>
      <c r="E19" s="176">
        <f t="shared" si="2"/>
        <v>8004651.2074999977</v>
      </c>
      <c r="F19" s="175">
        <f>VLOOKUP(A19,'App.2-B_Fixed Asset Con''ty 2012'!$B$15:$H$57,5,FALSE)</f>
        <v>0</v>
      </c>
      <c r="G19" s="181">
        <f t="shared" si="3"/>
        <v>8004651.2074999977</v>
      </c>
      <c r="H19" s="143">
        <v>50</v>
      </c>
      <c r="I19" s="178">
        <f t="shared" si="4"/>
        <v>0.02</v>
      </c>
      <c r="J19" s="182">
        <f t="shared" si="0"/>
        <v>160093.02414999995</v>
      </c>
      <c r="K19" s="175">
        <f>-VLOOKUP(A19,'App.2-B_Fixed Asset Con''ty 2012'!$B$16:$K$53,10,FALSE)</f>
        <v>183562.17645017616</v>
      </c>
      <c r="L19" s="182">
        <f t="shared" si="1"/>
        <v>-23469.152300176211</v>
      </c>
    </row>
    <row r="20" spans="1:12">
      <c r="A20" s="139">
        <v>1808</v>
      </c>
      <c r="B20" s="140" t="s">
        <v>290</v>
      </c>
      <c r="C20" s="175">
        <f>'App.2-B_Fixed Asset Con''ty 2012'!E20</f>
        <v>726879.69</v>
      </c>
      <c r="D20" s="180"/>
      <c r="E20" s="176">
        <f t="shared" si="2"/>
        <v>726879.69</v>
      </c>
      <c r="F20" s="175">
        <f>'App.2-B_Fixed Asset Con''ty 2012'!F20</f>
        <v>171884.86000000002</v>
      </c>
      <c r="G20" s="181">
        <f t="shared" si="3"/>
        <v>812822.12</v>
      </c>
      <c r="H20" s="143">
        <v>15</v>
      </c>
      <c r="I20" s="178">
        <f t="shared" si="4"/>
        <v>6.6666666666666666E-2</v>
      </c>
      <c r="J20" s="182">
        <f t="shared" si="0"/>
        <v>54188.141333333333</v>
      </c>
      <c r="K20" s="175">
        <f>-'App.2-B_Fixed Asset Con''ty 2012'!K20</f>
        <v>54188.13</v>
      </c>
      <c r="L20" s="182">
        <f t="shared" si="1"/>
        <v>1.1333333335642237E-2</v>
      </c>
    </row>
    <row r="21" spans="1:12">
      <c r="A21" s="139">
        <v>1815</v>
      </c>
      <c r="B21" s="148" t="s">
        <v>291</v>
      </c>
      <c r="C21" s="175">
        <f>VLOOKUP(A21,'App.2-B_Fixed Asset Con''ty 2012'!$B$15:$H$57,4,FALSE)</f>
        <v>0</v>
      </c>
      <c r="D21" s="180"/>
      <c r="E21" s="176">
        <f t="shared" si="2"/>
        <v>0</v>
      </c>
      <c r="F21" s="175">
        <f>VLOOKUP(A21,'App.2-B_Fixed Asset Con''ty 2012'!$B$15:$H$57,5,FALSE)</f>
        <v>0</v>
      </c>
      <c r="G21" s="181">
        <f t="shared" si="3"/>
        <v>0</v>
      </c>
      <c r="H21" s="143"/>
      <c r="I21" s="178" t="str">
        <f t="shared" si="4"/>
        <v xml:space="preserve"> </v>
      </c>
      <c r="J21" s="182">
        <f t="shared" si="0"/>
        <v>0</v>
      </c>
      <c r="K21" s="175">
        <f>-VLOOKUP(A21,'App.2-B_Fixed Asset Con''ty 2012'!$B$16:$K$53,10,FALSE)</f>
        <v>0</v>
      </c>
      <c r="L21" s="182">
        <f t="shared" si="1"/>
        <v>0</v>
      </c>
    </row>
    <row r="22" spans="1:12">
      <c r="A22" s="139">
        <v>1820</v>
      </c>
      <c r="B22" s="140" t="s">
        <v>292</v>
      </c>
      <c r="C22" s="175">
        <f>VLOOKUP(A22,'App.2-B_Fixed Asset Con''ty 2012'!$B$15:$H$57,4,FALSE)</f>
        <v>16461161.400000002</v>
      </c>
      <c r="D22" s="180">
        <v>-3526054.2399999998</v>
      </c>
      <c r="E22" s="176">
        <f t="shared" si="2"/>
        <v>12935107.160000002</v>
      </c>
      <c r="F22" s="175">
        <f>VLOOKUP(A22,'App.2-B_Fixed Asset Con''ty 2012'!$B$15:$H$57,5,FALSE)</f>
        <v>1086544.29</v>
      </c>
      <c r="G22" s="181">
        <f t="shared" si="3"/>
        <v>13478379.305000002</v>
      </c>
      <c r="H22" s="143">
        <v>30</v>
      </c>
      <c r="I22" s="178">
        <f t="shared" si="4"/>
        <v>3.3333333333333333E-2</v>
      </c>
      <c r="J22" s="182">
        <f t="shared" si="0"/>
        <v>449279.31016666669</v>
      </c>
      <c r="K22" s="175">
        <f>-VLOOKUP(A22,'App.2-B_Fixed Asset Con''ty 2012'!$B$16:$K$53,10,FALSE)</f>
        <v>441921.68714910385</v>
      </c>
      <c r="L22" s="182">
        <f t="shared" si="1"/>
        <v>7357.6230175628443</v>
      </c>
    </row>
    <row r="23" spans="1:12">
      <c r="A23" s="139">
        <v>1825</v>
      </c>
      <c r="B23" s="148" t="s">
        <v>293</v>
      </c>
      <c r="C23" s="175">
        <f>VLOOKUP(A23,'App.2-B_Fixed Asset Con''ty 2012'!$B$15:$H$57,4,FALSE)</f>
        <v>0</v>
      </c>
      <c r="D23" s="180"/>
      <c r="E23" s="176">
        <f t="shared" si="2"/>
        <v>0</v>
      </c>
      <c r="F23" s="175">
        <f>VLOOKUP(A23,'App.2-B_Fixed Asset Con''ty 2012'!$B$15:$H$57,5,FALSE)</f>
        <v>0</v>
      </c>
      <c r="G23" s="181">
        <f t="shared" si="3"/>
        <v>0</v>
      </c>
      <c r="H23" s="143"/>
      <c r="I23" s="178" t="str">
        <f t="shared" si="4"/>
        <v xml:space="preserve"> </v>
      </c>
      <c r="J23" s="182">
        <f t="shared" si="0"/>
        <v>0</v>
      </c>
      <c r="K23" s="175">
        <f>-VLOOKUP(A23,'App.2-B_Fixed Asset Con''ty 2012'!$B$16:$K$53,10,FALSE)</f>
        <v>0</v>
      </c>
      <c r="L23" s="182">
        <f t="shared" si="1"/>
        <v>0</v>
      </c>
    </row>
    <row r="24" spans="1:12">
      <c r="A24" s="139">
        <v>1830</v>
      </c>
      <c r="B24" s="148" t="s">
        <v>146</v>
      </c>
      <c r="C24" s="175">
        <f>VLOOKUP(A24,'App.2-B_Fixed Asset Con''ty 2012'!$B$15:$H$57,4,FALSE)</f>
        <v>17990851.079999998</v>
      </c>
      <c r="D24" s="180">
        <v>-2731938.3446</v>
      </c>
      <c r="E24" s="176">
        <f t="shared" si="2"/>
        <v>15258912.735399999</v>
      </c>
      <c r="F24" s="175">
        <f>VLOOKUP(A24,'App.2-B_Fixed Asset Con''ty 2012'!$B$15:$H$57,5,FALSE)</f>
        <v>1267128.7100000007</v>
      </c>
      <c r="G24" s="181">
        <f t="shared" si="3"/>
        <v>15892477.090399999</v>
      </c>
      <c r="H24" s="143">
        <v>25</v>
      </c>
      <c r="I24" s="178">
        <f t="shared" si="4"/>
        <v>0.04</v>
      </c>
      <c r="J24" s="182">
        <f t="shared" si="0"/>
        <v>635699.08361600002</v>
      </c>
      <c r="K24" s="175">
        <f>-VLOOKUP(A24,'App.2-B_Fixed Asset Con''ty 2012'!$B$16:$K$53,10,FALSE)</f>
        <v>622818.45006343047</v>
      </c>
      <c r="L24" s="182">
        <f t="shared" si="1"/>
        <v>12880.633552569547</v>
      </c>
    </row>
    <row r="25" spans="1:12">
      <c r="A25" s="139">
        <v>1835</v>
      </c>
      <c r="B25" s="148" t="s">
        <v>152</v>
      </c>
      <c r="C25" s="175">
        <f>VLOOKUP(A25,'App.2-B_Fixed Asset Con''ty 2012'!$B$15:$H$57,4,FALSE)</f>
        <v>41702868.049999997</v>
      </c>
      <c r="D25" s="141">
        <v>-11468376.482076198</v>
      </c>
      <c r="E25" s="176">
        <f t="shared" si="2"/>
        <v>30234491.567923799</v>
      </c>
      <c r="F25" s="175">
        <f>VLOOKUP(A25,'App.2-B_Fixed Asset Con''ty 2012'!$B$15:$H$57,5,FALSE)</f>
        <v>322859.87</v>
      </c>
      <c r="G25" s="181">
        <f t="shared" si="3"/>
        <v>30395921.502923798</v>
      </c>
      <c r="H25" s="143">
        <v>25</v>
      </c>
      <c r="I25" s="178">
        <f t="shared" si="4"/>
        <v>0.04</v>
      </c>
      <c r="J25" s="182">
        <f t="shared" si="0"/>
        <v>1215836.8601169519</v>
      </c>
      <c r="K25" s="175">
        <f>-VLOOKUP(A25,'App.2-B_Fixed Asset Con''ty 2012'!$B$16:$K$53,10,FALSE)</f>
        <v>1211724.3708703134</v>
      </c>
      <c r="L25" s="182">
        <f t="shared" si="1"/>
        <v>4112.4892466384917</v>
      </c>
    </row>
    <row r="26" spans="1:12">
      <c r="A26" s="139">
        <v>1840</v>
      </c>
      <c r="B26" s="148" t="s">
        <v>294</v>
      </c>
      <c r="C26" s="175">
        <f>VLOOKUP(A26,'App.2-B_Fixed Asset Con''ty 2012'!$B$15:$H$57,4,FALSE)</f>
        <v>19957117.489999998</v>
      </c>
      <c r="D26" s="180">
        <v>-1410813.651630285</v>
      </c>
      <c r="E26" s="176">
        <f t="shared" si="2"/>
        <v>18546303.838369712</v>
      </c>
      <c r="F26" s="175">
        <f>VLOOKUP(A26,'App.2-B_Fixed Asset Con''ty 2012'!$B$15:$H$57,5,FALSE)</f>
        <v>895602.46999999974</v>
      </c>
      <c r="G26" s="181">
        <f t="shared" si="3"/>
        <v>18994105.073369712</v>
      </c>
      <c r="H26" s="143">
        <v>25</v>
      </c>
      <c r="I26" s="178">
        <f t="shared" si="4"/>
        <v>0.04</v>
      </c>
      <c r="J26" s="182">
        <f t="shared" si="0"/>
        <v>759764.20293478842</v>
      </c>
      <c r="K26" s="175">
        <f>-VLOOKUP(A26,'App.2-B_Fixed Asset Con''ty 2012'!$B$16:$K$53,10,FALSE)</f>
        <v>670416.66424324119</v>
      </c>
      <c r="L26" s="182">
        <f t="shared" si="1"/>
        <v>89347.538691547234</v>
      </c>
    </row>
    <row r="27" spans="1:12">
      <c r="A27" s="139">
        <v>1845</v>
      </c>
      <c r="B27" s="148" t="s">
        <v>295</v>
      </c>
      <c r="C27" s="175">
        <f>VLOOKUP(A27,'App.2-B_Fixed Asset Con''ty 2012'!$B$15:$H$57,4,FALSE)</f>
        <v>20666102.610000003</v>
      </c>
      <c r="D27" s="180">
        <v>-1168562.9586801329</v>
      </c>
      <c r="E27" s="176">
        <f t="shared" si="2"/>
        <v>19497539.651319869</v>
      </c>
      <c r="F27" s="175">
        <f>VLOOKUP(A27,'App.2-B_Fixed Asset Con''ty 2012'!$B$15:$H$57,5,FALSE)</f>
        <v>604449.28000000003</v>
      </c>
      <c r="G27" s="181">
        <f t="shared" si="3"/>
        <v>19799764.291319869</v>
      </c>
      <c r="H27" s="143">
        <v>25</v>
      </c>
      <c r="I27" s="178">
        <f t="shared" si="4"/>
        <v>0.04</v>
      </c>
      <c r="J27" s="182">
        <f t="shared" si="0"/>
        <v>791990.57165279472</v>
      </c>
      <c r="K27" s="175">
        <f>-VLOOKUP(A27,'App.2-B_Fixed Asset Con''ty 2012'!$B$16:$K$53,10,FALSE)</f>
        <v>786602.65907303477</v>
      </c>
      <c r="L27" s="182">
        <f t="shared" si="1"/>
        <v>5387.9125797599554</v>
      </c>
    </row>
    <row r="28" spans="1:12">
      <c r="A28" s="139">
        <v>1850</v>
      </c>
      <c r="B28" s="148" t="s">
        <v>154</v>
      </c>
      <c r="C28" s="175">
        <f>VLOOKUP(A28,'App.2-B_Fixed Asset Con''ty 2012'!$B$15:$H$57,4,FALSE)</f>
        <v>27928855.109999992</v>
      </c>
      <c r="D28" s="180">
        <v>-6747654.7089818185</v>
      </c>
      <c r="E28" s="176">
        <f t="shared" si="2"/>
        <v>21181200.401018173</v>
      </c>
      <c r="F28" s="175">
        <f>VLOOKUP(A28,'App.2-B_Fixed Asset Con''ty 2012'!$B$15:$H$57,5,FALSE)</f>
        <v>1464764.8799999994</v>
      </c>
      <c r="G28" s="181">
        <f t="shared" si="3"/>
        <v>21913582.841018174</v>
      </c>
      <c r="H28" s="143">
        <v>25</v>
      </c>
      <c r="I28" s="178">
        <f t="shared" si="4"/>
        <v>0.04</v>
      </c>
      <c r="J28" s="182">
        <f t="shared" si="0"/>
        <v>876543.31364072696</v>
      </c>
      <c r="K28" s="175">
        <f>-VLOOKUP(A28,'App.2-B_Fixed Asset Con''ty 2012'!$B$16:$K$53,10,FALSE)</f>
        <v>851131.3182846118</v>
      </c>
      <c r="L28" s="182">
        <f t="shared" si="1"/>
        <v>25411.995356115163</v>
      </c>
    </row>
    <row r="29" spans="1:12">
      <c r="A29" s="139">
        <v>1855</v>
      </c>
      <c r="B29" s="148" t="s">
        <v>155</v>
      </c>
      <c r="C29" s="175">
        <f>VLOOKUP(A29,'App.2-B_Fixed Asset Con''ty 2012'!$B$15:$H$57,4,FALSE)</f>
        <v>10971050.950000001</v>
      </c>
      <c r="D29" s="180">
        <v>-1895152.2641197769</v>
      </c>
      <c r="E29" s="176">
        <f t="shared" si="2"/>
        <v>9075898.6858802252</v>
      </c>
      <c r="F29" s="175">
        <f>VLOOKUP(A29,'App.2-B_Fixed Asset Con''ty 2012'!$B$15:$H$57,5,FALSE)</f>
        <v>1371878.8499999996</v>
      </c>
      <c r="G29" s="181">
        <f t="shared" si="3"/>
        <v>9761838.1108802259</v>
      </c>
      <c r="H29" s="143">
        <v>25</v>
      </c>
      <c r="I29" s="178">
        <f t="shared" si="4"/>
        <v>0.04</v>
      </c>
      <c r="J29" s="182">
        <f t="shared" si="0"/>
        <v>390473.52443520905</v>
      </c>
      <c r="K29" s="175">
        <f>-VLOOKUP(A29,'App.2-B_Fixed Asset Con''ty 2012'!$B$16:$K$53,10,FALSE)</f>
        <v>373152.78870880837</v>
      </c>
      <c r="L29" s="182">
        <f t="shared" si="1"/>
        <v>17320.735726400686</v>
      </c>
    </row>
    <row r="30" spans="1:12">
      <c r="A30" s="139">
        <v>1860</v>
      </c>
      <c r="B30" s="148" t="s">
        <v>147</v>
      </c>
      <c r="C30" s="175">
        <f>VLOOKUP(A30,'App.2-B_Fixed Asset Con''ty 2012'!$B$15:$H$57,4,FALSE)</f>
        <v>8829005.1099999994</v>
      </c>
      <c r="D30" s="180">
        <v>-2837800.7100831168</v>
      </c>
      <c r="E30" s="176">
        <f t="shared" si="2"/>
        <v>5991204.3999168826</v>
      </c>
      <c r="F30" s="175">
        <f>VLOOKUP(A30,'App.2-B_Fixed Asset Con''ty 2012'!$B$15:$H$57,5,FALSE)</f>
        <v>107253.98999999999</v>
      </c>
      <c r="G30" s="181">
        <f t="shared" si="3"/>
        <v>6044831.3949168827</v>
      </c>
      <c r="H30" s="143">
        <v>25</v>
      </c>
      <c r="I30" s="178">
        <f t="shared" si="4"/>
        <v>0.04</v>
      </c>
      <c r="J30" s="182">
        <f t="shared" si="0"/>
        <v>241793.25579667531</v>
      </c>
      <c r="K30" s="175">
        <f>-VLOOKUP(A30,'App.2-B_Fixed Asset Con''ty 2012'!$B$16:$K$53,10,FALSE)</f>
        <v>224692.84628571421</v>
      </c>
      <c r="L30" s="182">
        <f t="shared" si="1"/>
        <v>17100.409510961093</v>
      </c>
    </row>
    <row r="31" spans="1:12">
      <c r="A31" s="146">
        <v>1860</v>
      </c>
      <c r="B31" s="147" t="s">
        <v>296</v>
      </c>
      <c r="C31" s="175">
        <v>0</v>
      </c>
      <c r="D31" s="180"/>
      <c r="E31" s="176">
        <f t="shared" si="2"/>
        <v>0</v>
      </c>
      <c r="F31" s="175">
        <v>0</v>
      </c>
      <c r="G31" s="181">
        <f t="shared" si="3"/>
        <v>0</v>
      </c>
      <c r="H31" s="143"/>
      <c r="I31" s="178" t="str">
        <f t="shared" si="4"/>
        <v xml:space="preserve"> </v>
      </c>
      <c r="J31" s="182">
        <f t="shared" si="0"/>
        <v>0</v>
      </c>
      <c r="K31" s="175"/>
      <c r="L31" s="182">
        <f t="shared" si="1"/>
        <v>0</v>
      </c>
    </row>
    <row r="32" spans="1:12">
      <c r="A32" s="146">
        <v>1905</v>
      </c>
      <c r="B32" s="147" t="s">
        <v>163</v>
      </c>
      <c r="C32" s="175">
        <f>VLOOKUP(A32,'App.2-B_Fixed Asset Con''ty 2012'!$B$15:$H$57,4,FALSE)</f>
        <v>0</v>
      </c>
      <c r="D32" s="180"/>
      <c r="E32" s="176">
        <f t="shared" si="2"/>
        <v>0</v>
      </c>
      <c r="F32" s="175">
        <f>VLOOKUP(A32,'App.2-B_Fixed Asset Con''ty 2012'!$B$15:$H$57,5,FALSE)</f>
        <v>0</v>
      </c>
      <c r="G32" s="181">
        <f t="shared" si="3"/>
        <v>0</v>
      </c>
      <c r="H32" s="143"/>
      <c r="I32" s="178" t="str">
        <f t="shared" si="4"/>
        <v xml:space="preserve"> </v>
      </c>
      <c r="J32" s="182">
        <f t="shared" si="0"/>
        <v>0</v>
      </c>
      <c r="K32" s="175">
        <f>-VLOOKUP(A32,'App.2-B_Fixed Asset Con''ty 2012'!$B$16:$K$53,10,FALSE)</f>
        <v>0</v>
      </c>
      <c r="L32" s="182">
        <f t="shared" si="1"/>
        <v>0</v>
      </c>
    </row>
    <row r="33" spans="1:12">
      <c r="A33" s="139">
        <v>1908</v>
      </c>
      <c r="B33" s="148" t="s">
        <v>297</v>
      </c>
      <c r="C33" s="175">
        <f>VLOOKUP(A33,'App.2-B_Fixed Asset Con''ty 2012'!$B$15:$H$57,4,FALSE)</f>
        <v>0</v>
      </c>
      <c r="D33" s="180"/>
      <c r="E33" s="176">
        <f t="shared" si="2"/>
        <v>0</v>
      </c>
      <c r="F33" s="175">
        <f>VLOOKUP(A33,'App.2-B_Fixed Asset Con''ty 2012'!$B$15:$H$57,5,FALSE)</f>
        <v>0</v>
      </c>
      <c r="G33" s="181">
        <f t="shared" si="3"/>
        <v>0</v>
      </c>
      <c r="H33" s="143"/>
      <c r="I33" s="178" t="str">
        <f t="shared" si="4"/>
        <v xml:space="preserve"> </v>
      </c>
      <c r="J33" s="182">
        <f t="shared" si="0"/>
        <v>0</v>
      </c>
      <c r="K33" s="175">
        <f>-VLOOKUP(A33,'App.2-B_Fixed Asset Con''ty 2012'!$B$16:$K$53,10,FALSE)</f>
        <v>0</v>
      </c>
      <c r="L33" s="182">
        <f t="shared" si="1"/>
        <v>0</v>
      </c>
    </row>
    <row r="34" spans="1:12">
      <c r="A34" s="139">
        <v>1910</v>
      </c>
      <c r="B34" s="148" t="s">
        <v>298</v>
      </c>
      <c r="C34" s="175">
        <f>VLOOKUP(A34,'App.2-B_Fixed Asset Con''ty 2012'!$B$15:$H$57,4,FALSE)</f>
        <v>0</v>
      </c>
      <c r="D34" s="180"/>
      <c r="E34" s="176">
        <f t="shared" si="2"/>
        <v>0</v>
      </c>
      <c r="F34" s="175">
        <f>VLOOKUP(A34,'App.2-B_Fixed Asset Con''ty 2012'!$B$15:$H$57,5,FALSE)</f>
        <v>0</v>
      </c>
      <c r="G34" s="181">
        <f t="shared" si="3"/>
        <v>0</v>
      </c>
      <c r="H34" s="143"/>
      <c r="I34" s="178" t="str">
        <f t="shared" si="4"/>
        <v xml:space="preserve"> </v>
      </c>
      <c r="J34" s="182">
        <f t="shared" si="0"/>
        <v>0</v>
      </c>
      <c r="K34" s="175">
        <f>-VLOOKUP(A34,'App.2-B_Fixed Asset Con''ty 2012'!$B$16:$K$53,10,FALSE)</f>
        <v>0</v>
      </c>
      <c r="L34" s="182">
        <f t="shared" si="1"/>
        <v>0</v>
      </c>
    </row>
    <row r="35" spans="1:12">
      <c r="A35" s="139">
        <v>1915</v>
      </c>
      <c r="B35" s="148" t="s">
        <v>299</v>
      </c>
      <c r="C35" s="175">
        <f>VLOOKUP(A35,'App.2-B_Fixed Asset Con''ty 2012'!$B$15:$H$57,4,FALSE)</f>
        <v>44314.559999999998</v>
      </c>
      <c r="D35" s="180">
        <v>-35143.94</v>
      </c>
      <c r="E35" s="176">
        <f t="shared" si="2"/>
        <v>9170.6199999999953</v>
      </c>
      <c r="F35" s="175">
        <f>VLOOKUP(A35,'App.2-B_Fixed Asset Con''ty 2012'!$B$15:$H$57,5,FALSE)</f>
        <v>0</v>
      </c>
      <c r="G35" s="181">
        <f t="shared" si="3"/>
        <v>9170.6199999999953</v>
      </c>
      <c r="H35" s="143">
        <v>10</v>
      </c>
      <c r="I35" s="178">
        <f t="shared" si="4"/>
        <v>0.1</v>
      </c>
      <c r="J35" s="182">
        <f t="shared" si="0"/>
        <v>917.06199999999956</v>
      </c>
      <c r="K35" s="175">
        <f>-VLOOKUP(A35,'App.2-B_Fixed Asset Con''ty 2012'!$B$16:$K$53,10,FALSE)</f>
        <v>938.51849999999945</v>
      </c>
      <c r="L35" s="182">
        <f t="shared" si="1"/>
        <v>-21.456499999999892</v>
      </c>
    </row>
    <row r="36" spans="1:12">
      <c r="A36" s="139">
        <v>1915</v>
      </c>
      <c r="B36" s="148" t="s">
        <v>300</v>
      </c>
      <c r="C36" s="175">
        <v>0</v>
      </c>
      <c r="D36" s="180"/>
      <c r="E36" s="176">
        <f t="shared" si="2"/>
        <v>0</v>
      </c>
      <c r="F36" s="175">
        <f>VLOOKUP(A36,'App.2-B_Fixed Asset Con''ty 2012'!$B$15:$H$57,5,FALSE)</f>
        <v>0</v>
      </c>
      <c r="G36" s="181">
        <f t="shared" si="3"/>
        <v>0</v>
      </c>
      <c r="H36" s="143"/>
      <c r="I36" s="178" t="str">
        <f t="shared" si="4"/>
        <v xml:space="preserve"> </v>
      </c>
      <c r="J36" s="182">
        <f t="shared" si="0"/>
        <v>0</v>
      </c>
      <c r="K36" s="175"/>
      <c r="L36" s="182">
        <f t="shared" si="1"/>
        <v>0</v>
      </c>
    </row>
    <row r="37" spans="1:12">
      <c r="A37" s="139">
        <v>1920</v>
      </c>
      <c r="B37" s="148" t="s">
        <v>301</v>
      </c>
      <c r="C37" s="175">
        <f>VLOOKUP(A37,'App.2-B_Fixed Asset Con''ty 2012'!$B$15:$H$57,4,FALSE)</f>
        <v>153986.72</v>
      </c>
      <c r="D37" s="180">
        <v>0</v>
      </c>
      <c r="E37" s="176">
        <f t="shared" si="2"/>
        <v>153986.72</v>
      </c>
      <c r="F37" s="175">
        <f>VLOOKUP(A37,'App.2-B_Fixed Asset Con''ty 2012'!$B$15:$H$57,5,FALSE)</f>
        <v>9001</v>
      </c>
      <c r="G37" s="181">
        <f t="shared" si="3"/>
        <v>158487.22</v>
      </c>
      <c r="H37" s="143">
        <v>5</v>
      </c>
      <c r="I37" s="178">
        <f t="shared" si="4"/>
        <v>0.2</v>
      </c>
      <c r="J37" s="182">
        <f t="shared" si="0"/>
        <v>31697.444</v>
      </c>
      <c r="K37" s="175">
        <f>-VLOOKUP(A37,'App.2-B_Fixed Asset Con''ty 2012'!$B$16:$K$53,10,FALSE)</f>
        <v>31697.444</v>
      </c>
      <c r="L37" s="182">
        <f t="shared" si="1"/>
        <v>0</v>
      </c>
    </row>
    <row r="38" spans="1:12">
      <c r="A38" s="149">
        <v>1920</v>
      </c>
      <c r="B38" s="140" t="s">
        <v>302</v>
      </c>
      <c r="C38" s="175">
        <v>0</v>
      </c>
      <c r="D38" s="180"/>
      <c r="E38" s="176">
        <f t="shared" si="2"/>
        <v>0</v>
      </c>
      <c r="F38" s="175">
        <v>0</v>
      </c>
      <c r="G38" s="181">
        <f t="shared" si="3"/>
        <v>0</v>
      </c>
      <c r="H38" s="143"/>
      <c r="I38" s="178" t="str">
        <f t="shared" si="4"/>
        <v xml:space="preserve"> </v>
      </c>
      <c r="J38" s="182">
        <f t="shared" si="0"/>
        <v>0</v>
      </c>
      <c r="K38" s="175"/>
      <c r="L38" s="182">
        <f t="shared" si="1"/>
        <v>0</v>
      </c>
    </row>
    <row r="39" spans="1:12">
      <c r="A39" s="149">
        <v>1920</v>
      </c>
      <c r="B39" s="140" t="s">
        <v>303</v>
      </c>
      <c r="C39" s="175">
        <v>0</v>
      </c>
      <c r="D39" s="180"/>
      <c r="E39" s="176">
        <f t="shared" si="2"/>
        <v>0</v>
      </c>
      <c r="F39" s="175">
        <v>0</v>
      </c>
      <c r="G39" s="181">
        <f t="shared" si="3"/>
        <v>0</v>
      </c>
      <c r="H39" s="143"/>
      <c r="I39" s="178" t="str">
        <f t="shared" si="4"/>
        <v xml:space="preserve"> </v>
      </c>
      <c r="J39" s="182">
        <f t="shared" si="0"/>
        <v>0</v>
      </c>
      <c r="K39" s="175"/>
      <c r="L39" s="182">
        <f t="shared" si="1"/>
        <v>0</v>
      </c>
    </row>
    <row r="40" spans="1:12">
      <c r="A40" s="139">
        <v>1930</v>
      </c>
      <c r="B40" s="148" t="s">
        <v>304</v>
      </c>
      <c r="C40" s="175">
        <v>1422755.3599999999</v>
      </c>
      <c r="D40" s="180">
        <v>-1010999.8399999999</v>
      </c>
      <c r="E40" s="176">
        <f t="shared" si="2"/>
        <v>411755.52000000002</v>
      </c>
      <c r="F40" s="175">
        <v>184672.09</v>
      </c>
      <c r="G40" s="181">
        <f t="shared" si="3"/>
        <v>504091.565</v>
      </c>
      <c r="H40" s="143">
        <v>4</v>
      </c>
      <c r="I40" s="178">
        <f t="shared" si="4"/>
        <v>0.25</v>
      </c>
      <c r="J40" s="182">
        <f t="shared" si="0"/>
        <v>126022.89125</v>
      </c>
      <c r="K40" s="175">
        <v>115191.35</v>
      </c>
      <c r="L40" s="182">
        <f t="shared" si="1"/>
        <v>10831.541249999995</v>
      </c>
    </row>
    <row r="41" spans="1:12">
      <c r="A41" s="139">
        <v>1930</v>
      </c>
      <c r="B41" s="148" t="s">
        <v>304</v>
      </c>
      <c r="C41" s="175">
        <v>3740323.5600000005</v>
      </c>
      <c r="D41" s="180">
        <v>-1238456.3</v>
      </c>
      <c r="E41" s="176">
        <f t="shared" si="2"/>
        <v>2501867.2600000007</v>
      </c>
      <c r="F41" s="175">
        <v>21233.18</v>
      </c>
      <c r="G41" s="181">
        <f t="shared" si="3"/>
        <v>2512483.8500000006</v>
      </c>
      <c r="H41" s="143">
        <v>8</v>
      </c>
      <c r="I41" s="178">
        <f t="shared" si="4"/>
        <v>0.125</v>
      </c>
      <c r="J41" s="182">
        <f t="shared" si="0"/>
        <v>314060.48125000007</v>
      </c>
      <c r="K41" s="175">
        <v>319246.43</v>
      </c>
      <c r="L41" s="182">
        <f t="shared" si="1"/>
        <v>-5185.9487499999232</v>
      </c>
    </row>
    <row r="42" spans="1:12">
      <c r="A42" s="139">
        <v>1935</v>
      </c>
      <c r="B42" s="148" t="s">
        <v>305</v>
      </c>
      <c r="C42" s="175">
        <f>VLOOKUP(A42,'App.2-B_Fixed Asset Con''ty 2012'!$B$15:$H$57,4,FALSE)</f>
        <v>0</v>
      </c>
      <c r="D42" s="180"/>
      <c r="E42" s="176">
        <f t="shared" si="2"/>
        <v>0</v>
      </c>
      <c r="F42" s="175">
        <f>VLOOKUP(A42,'App.2-B_Fixed Asset Con''ty 2012'!$B$15:$H$57,5,FALSE)</f>
        <v>0</v>
      </c>
      <c r="G42" s="181">
        <f t="shared" si="3"/>
        <v>0</v>
      </c>
      <c r="H42" s="143"/>
      <c r="I42" s="178" t="str">
        <f t="shared" si="4"/>
        <v xml:space="preserve"> </v>
      </c>
      <c r="J42" s="182">
        <f t="shared" si="0"/>
        <v>0</v>
      </c>
      <c r="K42" s="175">
        <f>-VLOOKUP(A42,'App.2-B_Fixed Asset Con''ty 2012'!$B$16:$K$53,10,FALSE)</f>
        <v>0</v>
      </c>
      <c r="L42" s="182">
        <f t="shared" si="1"/>
        <v>0</v>
      </c>
    </row>
    <row r="43" spans="1:12">
      <c r="A43" s="139">
        <v>1940</v>
      </c>
      <c r="B43" s="148" t="s">
        <v>185</v>
      </c>
      <c r="C43" s="175">
        <f>VLOOKUP(A43,'App.2-B_Fixed Asset Con''ty 2012'!$B$15:$H$57,4,FALSE)</f>
        <v>1819609.4100000001</v>
      </c>
      <c r="D43" s="180">
        <v>-993985.8899999999</v>
      </c>
      <c r="E43" s="176">
        <f t="shared" si="2"/>
        <v>825623.52000000025</v>
      </c>
      <c r="F43" s="175">
        <f>VLOOKUP(A43,'App.2-B_Fixed Asset Con''ty 2012'!$B$15:$H$57,5,FALSE)</f>
        <v>141886.66</v>
      </c>
      <c r="G43" s="181">
        <f t="shared" si="3"/>
        <v>896566.85000000021</v>
      </c>
      <c r="H43" s="143">
        <v>10</v>
      </c>
      <c r="I43" s="178">
        <f t="shared" si="4"/>
        <v>0.1</v>
      </c>
      <c r="J43" s="182">
        <f t="shared" si="0"/>
        <v>89656.685000000027</v>
      </c>
      <c r="K43" s="175">
        <f>-VLOOKUP(A43,'App.2-B_Fixed Asset Con''ty 2012'!$B$16:$K$53,10,FALSE)</f>
        <v>88913.247999999992</v>
      </c>
      <c r="L43" s="182">
        <f t="shared" si="1"/>
        <v>743.43700000003446</v>
      </c>
    </row>
    <row r="44" spans="1:12">
      <c r="A44" s="139">
        <v>1945</v>
      </c>
      <c r="B44" s="148" t="s">
        <v>306</v>
      </c>
      <c r="C44" s="175">
        <f>VLOOKUP(A44,'App.2-B_Fixed Asset Con''ty 2012'!$B$15:$H$57,4,FALSE)</f>
        <v>0</v>
      </c>
      <c r="D44" s="180"/>
      <c r="E44" s="176">
        <f t="shared" si="2"/>
        <v>0</v>
      </c>
      <c r="F44" s="175">
        <f>VLOOKUP(A44,'App.2-B_Fixed Asset Con''ty 2012'!$B$15:$H$57,5,FALSE)</f>
        <v>0</v>
      </c>
      <c r="G44" s="181">
        <f t="shared" si="3"/>
        <v>0</v>
      </c>
      <c r="H44" s="143"/>
      <c r="I44" s="178" t="str">
        <f t="shared" si="4"/>
        <v xml:space="preserve"> </v>
      </c>
      <c r="J44" s="182">
        <f t="shared" si="0"/>
        <v>0</v>
      </c>
      <c r="K44" s="175">
        <f>-VLOOKUP(A44,'App.2-B_Fixed Asset Con''ty 2012'!$B$16:$K$53,10,FALSE)</f>
        <v>0</v>
      </c>
      <c r="L44" s="182">
        <f t="shared" si="1"/>
        <v>0</v>
      </c>
    </row>
    <row r="45" spans="1:12">
      <c r="A45" s="139">
        <v>1950</v>
      </c>
      <c r="B45" s="148" t="s">
        <v>307</v>
      </c>
      <c r="C45" s="175">
        <f>VLOOKUP(A45,'App.2-B_Fixed Asset Con''ty 2012'!$B$15:$H$57,4,FALSE)</f>
        <v>0</v>
      </c>
      <c r="D45" s="180"/>
      <c r="E45" s="176">
        <f t="shared" si="2"/>
        <v>0</v>
      </c>
      <c r="F45" s="175">
        <f>VLOOKUP(A45,'App.2-B_Fixed Asset Con''ty 2012'!$B$15:$H$57,5,FALSE)</f>
        <v>0</v>
      </c>
      <c r="G45" s="181">
        <f t="shared" si="3"/>
        <v>0</v>
      </c>
      <c r="H45" s="143"/>
      <c r="I45" s="178" t="str">
        <f t="shared" si="4"/>
        <v xml:space="preserve"> </v>
      </c>
      <c r="J45" s="182">
        <f t="shared" si="0"/>
        <v>0</v>
      </c>
      <c r="K45" s="175">
        <f>-VLOOKUP(A45,'App.2-B_Fixed Asset Con''ty 2012'!$B$16:$K$53,10,FALSE)</f>
        <v>0</v>
      </c>
      <c r="L45" s="182">
        <f t="shared" si="1"/>
        <v>0</v>
      </c>
    </row>
    <row r="46" spans="1:12">
      <c r="A46" s="139">
        <v>1955</v>
      </c>
      <c r="B46" s="148" t="s">
        <v>308</v>
      </c>
      <c r="C46" s="175">
        <f>VLOOKUP(A46,'App.2-B_Fixed Asset Con''ty 2012'!$B$15:$H$57,4,FALSE)</f>
        <v>2220586.86</v>
      </c>
      <c r="D46" s="180">
        <v>-37634.22</v>
      </c>
      <c r="E46" s="176">
        <f t="shared" si="2"/>
        <v>2182952.6399999997</v>
      </c>
      <c r="F46" s="175">
        <f>VLOOKUP(A46,'App.2-B_Fixed Asset Con''ty 2012'!$B$15:$H$57,5,FALSE)</f>
        <v>41872.11</v>
      </c>
      <c r="G46" s="181">
        <f t="shared" si="3"/>
        <v>2203888.6949999998</v>
      </c>
      <c r="H46" s="143">
        <v>25</v>
      </c>
      <c r="I46" s="178">
        <f t="shared" si="4"/>
        <v>0.04</v>
      </c>
      <c r="J46" s="182">
        <f t="shared" si="0"/>
        <v>88155.5478</v>
      </c>
      <c r="K46" s="175">
        <f>-VLOOKUP(A46,'App.2-B_Fixed Asset Con''ty 2012'!$B$16:$K$53,10,FALSE)</f>
        <v>80040.861199999985</v>
      </c>
      <c r="L46" s="182">
        <f t="shared" si="1"/>
        <v>8114.6866000000155</v>
      </c>
    </row>
    <row r="47" spans="1:12">
      <c r="A47" s="150">
        <v>1955</v>
      </c>
      <c r="B47" s="151" t="s">
        <v>309</v>
      </c>
      <c r="C47" s="175">
        <v>0</v>
      </c>
      <c r="D47" s="180"/>
      <c r="E47" s="176">
        <f t="shared" si="2"/>
        <v>0</v>
      </c>
      <c r="F47" s="175">
        <v>0</v>
      </c>
      <c r="G47" s="181">
        <f t="shared" si="3"/>
        <v>0</v>
      </c>
      <c r="H47" s="143"/>
      <c r="I47" s="178" t="str">
        <f t="shared" si="4"/>
        <v xml:space="preserve"> </v>
      </c>
      <c r="J47" s="182">
        <f t="shared" si="0"/>
        <v>0</v>
      </c>
      <c r="K47" s="175"/>
      <c r="L47" s="182">
        <f t="shared" si="1"/>
        <v>0</v>
      </c>
    </row>
    <row r="48" spans="1:12">
      <c r="A48" s="149">
        <v>1960</v>
      </c>
      <c r="B48" s="140" t="s">
        <v>310</v>
      </c>
      <c r="C48" s="175">
        <f>VLOOKUP(A48,'App.2-B_Fixed Asset Con''ty 2012'!$B$15:$H$57,4,FALSE)</f>
        <v>0</v>
      </c>
      <c r="D48" s="180"/>
      <c r="E48" s="176">
        <f t="shared" si="2"/>
        <v>0</v>
      </c>
      <c r="F48" s="175">
        <f>VLOOKUP(A48,'App.2-B_Fixed Asset Con''ty 2012'!$B$15:$H$57,5,FALSE)</f>
        <v>0</v>
      </c>
      <c r="G48" s="181">
        <f t="shared" si="3"/>
        <v>0</v>
      </c>
      <c r="H48" s="143"/>
      <c r="I48" s="178" t="str">
        <f t="shared" si="4"/>
        <v xml:space="preserve"> </v>
      </c>
      <c r="J48" s="182">
        <f t="shared" si="0"/>
        <v>0</v>
      </c>
      <c r="K48" s="175">
        <f>-VLOOKUP(A48,'App.2-B_Fixed Asset Con''ty 2012'!$B$16:$K$53,10,FALSE)</f>
        <v>0</v>
      </c>
      <c r="L48" s="182">
        <f t="shared" si="1"/>
        <v>0</v>
      </c>
    </row>
    <row r="49" spans="1:14">
      <c r="A49" s="139">
        <v>1975</v>
      </c>
      <c r="B49" s="148" t="s">
        <v>311</v>
      </c>
      <c r="C49" s="175">
        <f>VLOOKUP(A49,'App.2-B_Fixed Asset Con''ty 2012'!$B$15:$H$57,4,FALSE)</f>
        <v>0</v>
      </c>
      <c r="D49" s="180"/>
      <c r="E49" s="176">
        <f t="shared" si="2"/>
        <v>0</v>
      </c>
      <c r="F49" s="175">
        <f>VLOOKUP(A49,'App.2-B_Fixed Asset Con''ty 2012'!$B$15:$H$57,5,FALSE)</f>
        <v>0</v>
      </c>
      <c r="G49" s="181">
        <f t="shared" si="3"/>
        <v>0</v>
      </c>
      <c r="H49" s="143"/>
      <c r="I49" s="178" t="str">
        <f t="shared" si="4"/>
        <v xml:space="preserve"> </v>
      </c>
      <c r="J49" s="182">
        <f t="shared" si="0"/>
        <v>0</v>
      </c>
      <c r="K49" s="175">
        <f>-VLOOKUP(A49,'App.2-B_Fixed Asset Con''ty 2012'!$B$16:$K$53,10,FALSE)</f>
        <v>0</v>
      </c>
      <c r="L49" s="182">
        <f t="shared" si="1"/>
        <v>0</v>
      </c>
    </row>
    <row r="50" spans="1:14">
      <c r="A50" s="139">
        <v>1980</v>
      </c>
      <c r="B50" s="148" t="s">
        <v>353</v>
      </c>
      <c r="C50" s="175">
        <f>VLOOKUP(A50,'App.2-B_Fixed Asset Con''ty 2012'!$B$15:$H$57,4,FALSE)</f>
        <v>1572708.13</v>
      </c>
      <c r="D50" s="180">
        <v>-742550.34</v>
      </c>
      <c r="E50" s="176">
        <f t="shared" si="2"/>
        <v>830157.78999999992</v>
      </c>
      <c r="F50" s="175">
        <f>VLOOKUP(A50,'App.2-B_Fixed Asset Con''ty 2012'!$B$15:$H$57,5,FALSE)</f>
        <v>820.52000000000407</v>
      </c>
      <c r="G50" s="181">
        <f t="shared" si="3"/>
        <v>830568.04999999993</v>
      </c>
      <c r="H50" s="143">
        <v>15</v>
      </c>
      <c r="I50" s="178">
        <f t="shared" si="4"/>
        <v>6.6666666666666666E-2</v>
      </c>
      <c r="J50" s="182">
        <f t="shared" si="0"/>
        <v>55371.203333333331</v>
      </c>
      <c r="K50" s="175">
        <f>-VLOOKUP(A50,'App.2-B_Fixed Asset Con''ty 2012'!$B$16:$K$53,10,FALSE)</f>
        <v>55371.203333333324</v>
      </c>
      <c r="L50" s="182">
        <f t="shared" si="1"/>
        <v>7.2759576141834259E-12</v>
      </c>
    </row>
    <row r="51" spans="1:14">
      <c r="A51" s="139">
        <v>1985</v>
      </c>
      <c r="B51" s="148" t="s">
        <v>312</v>
      </c>
      <c r="C51" s="175">
        <f>VLOOKUP(A51,'App.2-B_Fixed Asset Con''ty 2012'!$B$15:$H$57,4,FALSE)</f>
        <v>42116.86</v>
      </c>
      <c r="D51" s="180">
        <f>'App.2-CE_CGAAP_DepExp_2011'!D51</f>
        <v>-42116.860000000008</v>
      </c>
      <c r="E51" s="176">
        <f t="shared" si="2"/>
        <v>0</v>
      </c>
      <c r="F51" s="175">
        <f>VLOOKUP(A51,'App.2-B_Fixed Asset Con''ty 2012'!$B$15:$H$57,5,FALSE)</f>
        <v>0</v>
      </c>
      <c r="G51" s="181">
        <f t="shared" si="3"/>
        <v>0</v>
      </c>
      <c r="H51" s="143"/>
      <c r="I51" s="178" t="str">
        <f t="shared" si="4"/>
        <v xml:space="preserve"> </v>
      </c>
      <c r="J51" s="182">
        <f t="shared" si="0"/>
        <v>0</v>
      </c>
      <c r="K51" s="175">
        <f>-VLOOKUP(A51,'App.2-B_Fixed Asset Con''ty 2012'!$B$16:$K$53,10,FALSE)</f>
        <v>0</v>
      </c>
      <c r="L51" s="182">
        <f t="shared" si="1"/>
        <v>0</v>
      </c>
    </row>
    <row r="52" spans="1:14">
      <c r="A52" s="139">
        <v>1995</v>
      </c>
      <c r="B52" s="148" t="s">
        <v>313</v>
      </c>
      <c r="C52" s="175">
        <f>VLOOKUP(A52,'App.2-B_Fixed Asset Con''ty 2012'!$B$15:$H$57,4,FALSE)</f>
        <v>-14578300.729999999</v>
      </c>
      <c r="D52" s="180"/>
      <c r="E52" s="176">
        <f t="shared" si="2"/>
        <v>-14578300.729999999</v>
      </c>
      <c r="F52" s="175">
        <f>VLOOKUP(A52,'App.2-B_Fixed Asset Con''ty 2012'!$B$15:$H$57,5,FALSE)</f>
        <v>-730784.28000000026</v>
      </c>
      <c r="G52" s="181">
        <f t="shared" si="3"/>
        <v>-14943692.869999999</v>
      </c>
      <c r="H52" s="143">
        <v>25</v>
      </c>
      <c r="I52" s="178">
        <f t="shared" si="4"/>
        <v>0.04</v>
      </c>
      <c r="J52" s="183">
        <f t="shared" si="0"/>
        <v>-597747.71479999996</v>
      </c>
      <c r="K52" s="175">
        <f>-VLOOKUP(A52,'App.2-B_Fixed Asset Con''ty 2012'!$B$16:$K$53,10,FALSE)</f>
        <v>-597747.70799999998</v>
      </c>
      <c r="L52" s="182">
        <f t="shared" si="1"/>
        <v>-6.7999999737367034E-3</v>
      </c>
    </row>
    <row r="53" spans="1:14">
      <c r="A53" s="153">
        <v>1330</v>
      </c>
      <c r="B53" s="102" t="s">
        <v>322</v>
      </c>
      <c r="C53" s="180">
        <f>'App.2-B_Fixed Asset Con''ty 2012'!E52</f>
        <v>1127820</v>
      </c>
      <c r="D53" s="180"/>
      <c r="E53" s="176">
        <f t="shared" si="2"/>
        <v>1127820</v>
      </c>
      <c r="F53" s="175">
        <f>VLOOKUP(A53,'App.2-B_Fixed Asset Con''ty 2012'!$B$15:$H$57,5,FALSE)</f>
        <v>0</v>
      </c>
      <c r="G53" s="181">
        <f t="shared" si="3"/>
        <v>1127820</v>
      </c>
      <c r="H53" s="184"/>
      <c r="I53" s="178" t="str">
        <f t="shared" si="4"/>
        <v xml:space="preserve"> </v>
      </c>
      <c r="J53" s="183">
        <f t="shared" si="0"/>
        <v>0</v>
      </c>
      <c r="K53" s="175">
        <f>-VLOOKUP(A53,'App.2-B_Fixed Asset Con''ty 2012'!$B$16:$K$53,10,FALSE)</f>
        <v>0</v>
      </c>
      <c r="L53" s="182">
        <f t="shared" si="1"/>
        <v>0</v>
      </c>
    </row>
    <row r="54" spans="1:14" ht="13.5" thickBot="1">
      <c r="A54" s="185">
        <v>2055</v>
      </c>
      <c r="B54" s="186" t="s">
        <v>354</v>
      </c>
      <c r="C54" s="187">
        <f>VLOOKUP(A54,'App.2-B_Fixed Asset Con''ty 2012'!$B$15:$H$57,4,FALSE)</f>
        <v>430858.15</v>
      </c>
      <c r="D54" s="187"/>
      <c r="E54" s="188">
        <f>C54+D54</f>
        <v>430858.15</v>
      </c>
      <c r="F54" s="187">
        <f>VLOOKUP(A54,'App.2-B_Fixed Asset Con''ty 2012'!$B$15:$H$57,5,FALSE)</f>
        <v>450893.8</v>
      </c>
      <c r="G54" s="189">
        <f t="shared" si="3"/>
        <v>656305.05000000005</v>
      </c>
      <c r="H54" s="190"/>
      <c r="I54" s="191" t="str">
        <f>IF(H54=0,"",1/H54)</f>
        <v/>
      </c>
      <c r="J54" s="192">
        <f t="shared" si="0"/>
        <v>0</v>
      </c>
      <c r="K54" s="187"/>
      <c r="L54" s="193">
        <f t="shared" si="1"/>
        <v>0</v>
      </c>
    </row>
    <row r="55" spans="1:14" ht="14.25" thickTop="1" thickBot="1">
      <c r="A55" s="1140" t="s">
        <v>323</v>
      </c>
      <c r="B55" s="1141"/>
      <c r="C55" s="194">
        <f>SUM(C16:C54)</f>
        <v>175962596.20000005</v>
      </c>
      <c r="D55" s="162">
        <f>SUM(D16:D54)</f>
        <v>-38613989.522671327</v>
      </c>
      <c r="E55" s="194">
        <f>SUM(E16:E54)</f>
        <v>137348606.67732868</v>
      </c>
      <c r="F55" s="194">
        <f>SUM(F16:F54)</f>
        <v>7421103.1199999982</v>
      </c>
      <c r="G55" s="194">
        <f>SUM(G16:G54)</f>
        <v>141059158.23732868</v>
      </c>
      <c r="H55" s="195"/>
      <c r="I55" s="196"/>
      <c r="J55" s="197">
        <f>SUM(J16:J54)</f>
        <v>5913229.1716764793</v>
      </c>
      <c r="K55" s="198">
        <f>SUM(K16:K54)</f>
        <v>5743296.5221617669</v>
      </c>
      <c r="L55" s="197">
        <f>SUM(L16:L54)</f>
        <v>169932.64951471234</v>
      </c>
    </row>
    <row r="56" spans="1:14" ht="13.5" thickBot="1">
      <c r="A56" s="165">
        <v>1611</v>
      </c>
      <c r="B56" s="166" t="s">
        <v>148</v>
      </c>
      <c r="C56" s="167">
        <f>'App.2-B_Fixed Asset Con''ty 2012'!E56</f>
        <v>-129738.68479200001</v>
      </c>
      <c r="D56" s="154"/>
      <c r="E56" s="155">
        <f>C56+D56</f>
        <v>-129738.68479200001</v>
      </c>
      <c r="F56" s="167">
        <f>'App.2-B_Fixed Asset Con''ty 2012'!F56</f>
        <v>0</v>
      </c>
      <c r="G56" s="156">
        <f t="shared" ref="G56" si="5">E56+0.5*F56</f>
        <v>-129738.68479200001</v>
      </c>
      <c r="H56" s="157">
        <v>5</v>
      </c>
      <c r="I56" s="158">
        <f t="shared" ref="I56" si="6">IF(H56=0,"",1/H56)</f>
        <v>0.2</v>
      </c>
      <c r="J56" s="192">
        <f t="shared" ref="J56" si="7">IF(H56=0,0,G56/H56)</f>
        <v>-25947.736958400004</v>
      </c>
      <c r="K56" s="199">
        <f>-'App.2-B_Fixed Asset Con''ty 2012'!K56</f>
        <v>-25947.74</v>
      </c>
      <c r="L56" s="200">
        <f t="shared" ref="L56" si="8">IF(ISERROR(+J56-K56), "", +J56-K56)</f>
        <v>3.0415999972319696E-3</v>
      </c>
    </row>
    <row r="57" spans="1:14" ht="14.25" thickTop="1" thickBot="1">
      <c r="A57" s="1140" t="s">
        <v>324</v>
      </c>
      <c r="B57" s="1141"/>
      <c r="C57" s="162">
        <f>SUM(C55:C56)</f>
        <v>175832857.51520804</v>
      </c>
      <c r="D57" s="162">
        <f t="shared" ref="D57:G57" si="9">SUM(D55:D56)</f>
        <v>-38613989.522671327</v>
      </c>
      <c r="E57" s="162">
        <f t="shared" si="9"/>
        <v>137218867.99253666</v>
      </c>
      <c r="F57" s="162">
        <f t="shared" si="9"/>
        <v>7421103.1199999982</v>
      </c>
      <c r="G57" s="162">
        <f t="shared" si="9"/>
        <v>140929419.55253667</v>
      </c>
      <c r="H57" s="163"/>
      <c r="I57" s="164"/>
      <c r="J57" s="162">
        <f t="shared" ref="J57:L57" si="10">SUM(J55:J56)</f>
        <v>5887281.4347180789</v>
      </c>
      <c r="K57" s="162">
        <f t="shared" si="10"/>
        <v>5717348.7821617667</v>
      </c>
      <c r="L57" s="162">
        <f t="shared" si="10"/>
        <v>169932.65255631233</v>
      </c>
    </row>
    <row r="59" spans="1:14">
      <c r="A59" s="31" t="s">
        <v>270</v>
      </c>
      <c r="B59" s="74"/>
      <c r="C59" s="74"/>
      <c r="D59" s="74"/>
      <c r="E59" s="74"/>
      <c r="F59" s="74"/>
      <c r="G59" s="74"/>
      <c r="H59" s="74"/>
      <c r="I59" s="74"/>
      <c r="J59" s="74"/>
    </row>
    <row r="60" spans="1:14" ht="12.75" customHeight="1">
      <c r="A60" s="171">
        <v>1</v>
      </c>
      <c r="B60" s="1123" t="s">
        <v>355</v>
      </c>
      <c r="C60" s="1123"/>
      <c r="D60" s="1123"/>
      <c r="E60" s="1123"/>
      <c r="F60" s="1123"/>
      <c r="G60" s="1123"/>
      <c r="H60" s="1123"/>
      <c r="I60" s="1123"/>
      <c r="J60" s="1123"/>
      <c r="K60" s="1123"/>
      <c r="L60" s="1123"/>
    </row>
    <row r="61" spans="1:14">
      <c r="A61" s="172">
        <v>2</v>
      </c>
      <c r="B61" s="1142" t="s">
        <v>356</v>
      </c>
      <c r="C61" s="1142"/>
      <c r="D61" s="1142"/>
      <c r="E61" s="1142"/>
      <c r="F61" s="1142"/>
      <c r="G61" s="1142"/>
      <c r="H61" s="1142"/>
      <c r="I61" s="1142"/>
      <c r="J61" s="1142"/>
      <c r="K61" s="1142"/>
      <c r="L61" s="1142"/>
    </row>
    <row r="62" spans="1:14">
      <c r="A62" s="172"/>
    </row>
    <row r="63" spans="1:14" ht="12.75" customHeight="1">
      <c r="A63" s="31" t="s">
        <v>357</v>
      </c>
      <c r="B63" s="1143" t="s">
        <v>358</v>
      </c>
      <c r="C63" s="1143"/>
      <c r="D63" s="1143"/>
      <c r="E63" s="1143"/>
      <c r="F63" s="1143"/>
      <c r="G63" s="1143"/>
      <c r="H63" s="1143"/>
      <c r="I63" s="1143"/>
      <c r="J63" s="1143"/>
      <c r="K63" s="1143"/>
      <c r="L63" s="1143"/>
      <c r="M63" s="173"/>
      <c r="N63" s="173"/>
    </row>
    <row r="64" spans="1:14" ht="24.75" customHeight="1">
      <c r="A64" s="74"/>
      <c r="B64" s="1143"/>
      <c r="C64" s="1143"/>
      <c r="D64" s="1143"/>
      <c r="E64" s="1143"/>
      <c r="F64" s="1143"/>
      <c r="G64" s="1143"/>
      <c r="H64" s="1143"/>
      <c r="I64" s="1143"/>
      <c r="J64" s="1143"/>
      <c r="K64" s="1143"/>
      <c r="L64" s="1143"/>
      <c r="M64" s="173"/>
      <c r="N64" s="173"/>
    </row>
    <row r="65" spans="2:14">
      <c r="B65" s="173"/>
      <c r="C65" s="173"/>
      <c r="D65" s="173"/>
      <c r="E65" s="173"/>
      <c r="F65" s="173"/>
      <c r="G65" s="173"/>
      <c r="H65" s="173"/>
      <c r="I65" s="173"/>
      <c r="J65" s="173"/>
      <c r="K65" s="173"/>
      <c r="L65" s="173"/>
      <c r="M65" s="173"/>
      <c r="N65" s="173"/>
    </row>
  </sheetData>
  <mergeCells count="11">
    <mergeCell ref="A55:B55"/>
    <mergeCell ref="A57:B57"/>
    <mergeCell ref="B60:L60"/>
    <mergeCell ref="B61:L61"/>
    <mergeCell ref="B63:L64"/>
    <mergeCell ref="A9:L9"/>
    <mergeCell ref="A10:L10"/>
    <mergeCell ref="A11:L11"/>
    <mergeCell ref="A14:A15"/>
    <mergeCell ref="B14:B15"/>
    <mergeCell ref="K14:K15"/>
  </mergeCells>
  <dataValidations count="1">
    <dataValidation allowBlank="1" showInputMessage="1" showErrorMessage="1" promptTitle="Date Format" prompt="E.g:  &quot;August 1, 2011&quot;" sqref="WVR983038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7 J65534 JF65534 TB65534 ACX65534 AMT65534 AWP65534 BGL65534 BQH65534 CAD65534 CJZ65534 CTV65534 DDR65534 DNN65534 DXJ65534 EHF65534 ERB65534 FAX65534 FKT65534 FUP65534 GEL65534 GOH65534 GYD65534 HHZ65534 HRV65534 IBR65534 ILN65534 IVJ65534 JFF65534 JPB65534 JYX65534 KIT65534 KSP65534 LCL65534 LMH65534 LWD65534 MFZ65534 MPV65534 MZR65534 NJN65534 NTJ65534 ODF65534 ONB65534 OWX65534 PGT65534 PQP65534 QAL65534 QKH65534 QUD65534 RDZ65534 RNV65534 RXR65534 SHN65534 SRJ65534 TBF65534 TLB65534 TUX65534 UET65534 UOP65534 UYL65534 VIH65534 VSD65534 WBZ65534 WLV65534 WVR65534 J131070 JF131070 TB131070 ACX131070 AMT131070 AWP131070 BGL131070 BQH131070 CAD131070 CJZ131070 CTV131070 DDR131070 DNN131070 DXJ131070 EHF131070 ERB131070 FAX131070 FKT131070 FUP131070 GEL131070 GOH131070 GYD131070 HHZ131070 HRV131070 IBR131070 ILN131070 IVJ131070 JFF131070 JPB131070 JYX131070 KIT131070 KSP131070 LCL131070 LMH131070 LWD131070 MFZ131070 MPV131070 MZR131070 NJN131070 NTJ131070 ODF131070 ONB131070 OWX131070 PGT131070 PQP131070 QAL131070 QKH131070 QUD131070 RDZ131070 RNV131070 RXR131070 SHN131070 SRJ131070 TBF131070 TLB131070 TUX131070 UET131070 UOP131070 UYL131070 VIH131070 VSD131070 WBZ131070 WLV131070 WVR131070 J196606 JF196606 TB196606 ACX196606 AMT196606 AWP196606 BGL196606 BQH196606 CAD196606 CJZ196606 CTV196606 DDR196606 DNN196606 DXJ196606 EHF196606 ERB196606 FAX196606 FKT196606 FUP196606 GEL196606 GOH196606 GYD196606 HHZ196606 HRV196606 IBR196606 ILN196606 IVJ196606 JFF196606 JPB196606 JYX196606 KIT196606 KSP196606 LCL196606 LMH196606 LWD196606 MFZ196606 MPV196606 MZR196606 NJN196606 NTJ196606 ODF196606 ONB196606 OWX196606 PGT196606 PQP196606 QAL196606 QKH196606 QUD196606 RDZ196606 RNV196606 RXR196606 SHN196606 SRJ196606 TBF196606 TLB196606 TUX196606 UET196606 UOP196606 UYL196606 VIH196606 VSD196606 WBZ196606 WLV196606 WVR196606 J262142 JF262142 TB262142 ACX262142 AMT262142 AWP262142 BGL262142 BQH262142 CAD262142 CJZ262142 CTV262142 DDR262142 DNN262142 DXJ262142 EHF262142 ERB262142 FAX262142 FKT262142 FUP262142 GEL262142 GOH262142 GYD262142 HHZ262142 HRV262142 IBR262142 ILN262142 IVJ262142 JFF262142 JPB262142 JYX262142 KIT262142 KSP262142 LCL262142 LMH262142 LWD262142 MFZ262142 MPV262142 MZR262142 NJN262142 NTJ262142 ODF262142 ONB262142 OWX262142 PGT262142 PQP262142 QAL262142 QKH262142 QUD262142 RDZ262142 RNV262142 RXR262142 SHN262142 SRJ262142 TBF262142 TLB262142 TUX262142 UET262142 UOP262142 UYL262142 VIH262142 VSD262142 WBZ262142 WLV262142 WVR262142 J327678 JF327678 TB327678 ACX327678 AMT327678 AWP327678 BGL327678 BQH327678 CAD327678 CJZ327678 CTV327678 DDR327678 DNN327678 DXJ327678 EHF327678 ERB327678 FAX327678 FKT327678 FUP327678 GEL327678 GOH327678 GYD327678 HHZ327678 HRV327678 IBR327678 ILN327678 IVJ327678 JFF327678 JPB327678 JYX327678 KIT327678 KSP327678 LCL327678 LMH327678 LWD327678 MFZ327678 MPV327678 MZR327678 NJN327678 NTJ327678 ODF327678 ONB327678 OWX327678 PGT327678 PQP327678 QAL327678 QKH327678 QUD327678 RDZ327678 RNV327678 RXR327678 SHN327678 SRJ327678 TBF327678 TLB327678 TUX327678 UET327678 UOP327678 UYL327678 VIH327678 VSD327678 WBZ327678 WLV327678 WVR327678 J393214 JF393214 TB393214 ACX393214 AMT393214 AWP393214 BGL393214 BQH393214 CAD393214 CJZ393214 CTV393214 DDR393214 DNN393214 DXJ393214 EHF393214 ERB393214 FAX393214 FKT393214 FUP393214 GEL393214 GOH393214 GYD393214 HHZ393214 HRV393214 IBR393214 ILN393214 IVJ393214 JFF393214 JPB393214 JYX393214 KIT393214 KSP393214 LCL393214 LMH393214 LWD393214 MFZ393214 MPV393214 MZR393214 NJN393214 NTJ393214 ODF393214 ONB393214 OWX393214 PGT393214 PQP393214 QAL393214 QKH393214 QUD393214 RDZ393214 RNV393214 RXR393214 SHN393214 SRJ393214 TBF393214 TLB393214 TUX393214 UET393214 UOP393214 UYL393214 VIH393214 VSD393214 WBZ393214 WLV393214 WVR393214 J458750 JF458750 TB458750 ACX458750 AMT458750 AWP458750 BGL458750 BQH458750 CAD458750 CJZ458750 CTV458750 DDR458750 DNN458750 DXJ458750 EHF458750 ERB458750 FAX458750 FKT458750 FUP458750 GEL458750 GOH458750 GYD458750 HHZ458750 HRV458750 IBR458750 ILN458750 IVJ458750 JFF458750 JPB458750 JYX458750 KIT458750 KSP458750 LCL458750 LMH458750 LWD458750 MFZ458750 MPV458750 MZR458750 NJN458750 NTJ458750 ODF458750 ONB458750 OWX458750 PGT458750 PQP458750 QAL458750 QKH458750 QUD458750 RDZ458750 RNV458750 RXR458750 SHN458750 SRJ458750 TBF458750 TLB458750 TUX458750 UET458750 UOP458750 UYL458750 VIH458750 VSD458750 WBZ458750 WLV458750 WVR458750 J524286 JF524286 TB524286 ACX524286 AMT524286 AWP524286 BGL524286 BQH524286 CAD524286 CJZ524286 CTV524286 DDR524286 DNN524286 DXJ524286 EHF524286 ERB524286 FAX524286 FKT524286 FUP524286 GEL524286 GOH524286 GYD524286 HHZ524286 HRV524286 IBR524286 ILN524286 IVJ524286 JFF524286 JPB524286 JYX524286 KIT524286 KSP524286 LCL524286 LMH524286 LWD524286 MFZ524286 MPV524286 MZR524286 NJN524286 NTJ524286 ODF524286 ONB524286 OWX524286 PGT524286 PQP524286 QAL524286 QKH524286 QUD524286 RDZ524286 RNV524286 RXR524286 SHN524286 SRJ524286 TBF524286 TLB524286 TUX524286 UET524286 UOP524286 UYL524286 VIH524286 VSD524286 WBZ524286 WLV524286 WVR524286 J589822 JF589822 TB589822 ACX589822 AMT589822 AWP589822 BGL589822 BQH589822 CAD589822 CJZ589822 CTV589822 DDR589822 DNN589822 DXJ589822 EHF589822 ERB589822 FAX589822 FKT589822 FUP589822 GEL589822 GOH589822 GYD589822 HHZ589822 HRV589822 IBR589822 ILN589822 IVJ589822 JFF589822 JPB589822 JYX589822 KIT589822 KSP589822 LCL589822 LMH589822 LWD589822 MFZ589822 MPV589822 MZR589822 NJN589822 NTJ589822 ODF589822 ONB589822 OWX589822 PGT589822 PQP589822 QAL589822 QKH589822 QUD589822 RDZ589822 RNV589822 RXR589822 SHN589822 SRJ589822 TBF589822 TLB589822 TUX589822 UET589822 UOP589822 UYL589822 VIH589822 VSD589822 WBZ589822 WLV589822 WVR589822 J655358 JF655358 TB655358 ACX655358 AMT655358 AWP655358 BGL655358 BQH655358 CAD655358 CJZ655358 CTV655358 DDR655358 DNN655358 DXJ655358 EHF655358 ERB655358 FAX655358 FKT655358 FUP655358 GEL655358 GOH655358 GYD655358 HHZ655358 HRV655358 IBR655358 ILN655358 IVJ655358 JFF655358 JPB655358 JYX655358 KIT655358 KSP655358 LCL655358 LMH655358 LWD655358 MFZ655358 MPV655358 MZR655358 NJN655358 NTJ655358 ODF655358 ONB655358 OWX655358 PGT655358 PQP655358 QAL655358 QKH655358 QUD655358 RDZ655358 RNV655358 RXR655358 SHN655358 SRJ655358 TBF655358 TLB655358 TUX655358 UET655358 UOP655358 UYL655358 VIH655358 VSD655358 WBZ655358 WLV655358 WVR655358 J720894 JF720894 TB720894 ACX720894 AMT720894 AWP720894 BGL720894 BQH720894 CAD720894 CJZ720894 CTV720894 DDR720894 DNN720894 DXJ720894 EHF720894 ERB720894 FAX720894 FKT720894 FUP720894 GEL720894 GOH720894 GYD720894 HHZ720894 HRV720894 IBR720894 ILN720894 IVJ720894 JFF720894 JPB720894 JYX720894 KIT720894 KSP720894 LCL720894 LMH720894 LWD720894 MFZ720894 MPV720894 MZR720894 NJN720894 NTJ720894 ODF720894 ONB720894 OWX720894 PGT720894 PQP720894 QAL720894 QKH720894 QUD720894 RDZ720894 RNV720894 RXR720894 SHN720894 SRJ720894 TBF720894 TLB720894 TUX720894 UET720894 UOP720894 UYL720894 VIH720894 VSD720894 WBZ720894 WLV720894 WVR720894 J786430 JF786430 TB786430 ACX786430 AMT786430 AWP786430 BGL786430 BQH786430 CAD786430 CJZ786430 CTV786430 DDR786430 DNN786430 DXJ786430 EHF786430 ERB786430 FAX786430 FKT786430 FUP786430 GEL786430 GOH786430 GYD786430 HHZ786430 HRV786430 IBR786430 ILN786430 IVJ786430 JFF786430 JPB786430 JYX786430 KIT786430 KSP786430 LCL786430 LMH786430 LWD786430 MFZ786430 MPV786430 MZR786430 NJN786430 NTJ786430 ODF786430 ONB786430 OWX786430 PGT786430 PQP786430 QAL786430 QKH786430 QUD786430 RDZ786430 RNV786430 RXR786430 SHN786430 SRJ786430 TBF786430 TLB786430 TUX786430 UET786430 UOP786430 UYL786430 VIH786430 VSD786430 WBZ786430 WLV786430 WVR786430 J851966 JF851966 TB851966 ACX851966 AMT851966 AWP851966 BGL851966 BQH851966 CAD851966 CJZ851966 CTV851966 DDR851966 DNN851966 DXJ851966 EHF851966 ERB851966 FAX851966 FKT851966 FUP851966 GEL851966 GOH851966 GYD851966 HHZ851966 HRV851966 IBR851966 ILN851966 IVJ851966 JFF851966 JPB851966 JYX851966 KIT851966 KSP851966 LCL851966 LMH851966 LWD851966 MFZ851966 MPV851966 MZR851966 NJN851966 NTJ851966 ODF851966 ONB851966 OWX851966 PGT851966 PQP851966 QAL851966 QKH851966 QUD851966 RDZ851966 RNV851966 RXR851966 SHN851966 SRJ851966 TBF851966 TLB851966 TUX851966 UET851966 UOP851966 UYL851966 VIH851966 VSD851966 WBZ851966 WLV851966 WVR851966 J917502 JF917502 TB917502 ACX917502 AMT917502 AWP917502 BGL917502 BQH917502 CAD917502 CJZ917502 CTV917502 DDR917502 DNN917502 DXJ917502 EHF917502 ERB917502 FAX917502 FKT917502 FUP917502 GEL917502 GOH917502 GYD917502 HHZ917502 HRV917502 IBR917502 ILN917502 IVJ917502 JFF917502 JPB917502 JYX917502 KIT917502 KSP917502 LCL917502 LMH917502 LWD917502 MFZ917502 MPV917502 MZR917502 NJN917502 NTJ917502 ODF917502 ONB917502 OWX917502 PGT917502 PQP917502 QAL917502 QKH917502 QUD917502 RDZ917502 RNV917502 RXR917502 SHN917502 SRJ917502 TBF917502 TLB917502 TUX917502 UET917502 UOP917502 UYL917502 VIH917502 VSD917502 WBZ917502 WLV917502 WVR917502 J983038 JF983038 TB983038 ACX983038 AMT983038 AWP983038 BGL983038 BQH983038 CAD983038 CJZ983038 CTV983038 DDR983038 DNN983038 DXJ983038 EHF983038 ERB983038 FAX983038 FKT983038 FUP983038 GEL983038 GOH983038 GYD983038 HHZ983038 HRV983038 IBR983038 ILN983038 IVJ983038 JFF983038 JPB983038 JYX983038 KIT983038 KSP983038 LCL983038 LMH983038 LWD983038 MFZ983038 MPV983038 MZR983038 NJN983038 NTJ983038 ODF983038 ONB983038 OWX983038 PGT983038 PQP983038 QAL983038 QKH983038 QUD983038 RDZ983038 RNV983038 RXR983038 SHN983038 SRJ983038 TBF983038 TLB983038 TUX983038 UET983038 UOP983038 UYL983038 VIH983038 VSD983038 WBZ983038 WLV983038"/>
  </dataValidations>
  <printOptions horizontalCentered="1"/>
  <pageMargins left="0.74803149606299213" right="0.74803149606299213" top="0.70866141732283472" bottom="0.39370078740157483" header="0.39370078740157483" footer="0.27559055118110237"/>
  <pageSetup scale="59" orientation="landscape"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A1:S98"/>
  <sheetViews>
    <sheetView showGridLines="0" zoomScaleNormal="100" workbookViewId="0">
      <selection activeCell="J24" sqref="J24"/>
    </sheetView>
  </sheetViews>
  <sheetFormatPr defaultRowHeight="12.75"/>
  <cols>
    <col min="1" max="1" width="9.140625" style="30"/>
    <col min="2" max="2" width="52.7109375" style="30" customWidth="1"/>
    <col min="3" max="3" width="15.85546875" style="30" bestFit="1" customWidth="1"/>
    <col min="4" max="4" width="15.85546875" style="30" customWidth="1"/>
    <col min="5" max="5" width="12.28515625" style="30" bestFit="1" customWidth="1"/>
    <col min="6" max="7" width="14.85546875" style="30" customWidth="1"/>
    <col min="8" max="8" width="9.5703125" style="30" customWidth="1"/>
    <col min="9" max="9" width="12.28515625" style="30" customWidth="1"/>
    <col min="10" max="11" width="15.7109375" style="30" customWidth="1"/>
    <col min="12" max="12" width="14.28515625" style="30" customWidth="1"/>
    <col min="13" max="13" width="14" style="30" bestFit="1" customWidth="1"/>
    <col min="14" max="14" width="18" style="30" customWidth="1"/>
    <col min="15" max="15" width="14" style="30" bestFit="1" customWidth="1"/>
    <col min="16" max="16" width="12.28515625" style="30" bestFit="1" customWidth="1"/>
    <col min="17" max="17" width="17.5703125" style="30" customWidth="1"/>
    <col min="18" max="18" width="15.7109375" style="30" customWidth="1"/>
    <col min="19" max="259" width="9.140625" style="30"/>
    <col min="260" max="260" width="2.7109375" style="30" customWidth="1"/>
    <col min="261" max="261" width="9.140625" style="30"/>
    <col min="262" max="262" width="40.28515625" style="30" bestFit="1" customWidth="1"/>
    <col min="263" max="263" width="12" style="30" customWidth="1"/>
    <col min="264" max="264" width="10" style="30" customWidth="1"/>
    <col min="265" max="265" width="14.85546875" style="30" customWidth="1"/>
    <col min="266" max="266" width="9.5703125" style="30" customWidth="1"/>
    <col min="267" max="268" width="12.28515625" style="30" customWidth="1"/>
    <col min="269" max="271" width="12.85546875" style="30" customWidth="1"/>
    <col min="272" max="272" width="12.7109375" style="30" customWidth="1"/>
    <col min="273" max="273" width="12.28515625" style="30" bestFit="1" customWidth="1"/>
    <col min="274" max="274" width="13.85546875" style="30" customWidth="1"/>
    <col min="275" max="515" width="9.140625" style="30"/>
    <col min="516" max="516" width="2.7109375" style="30" customWidth="1"/>
    <col min="517" max="517" width="9.140625" style="30"/>
    <col min="518" max="518" width="40.28515625" style="30" bestFit="1" customWidth="1"/>
    <col min="519" max="519" width="12" style="30" customWidth="1"/>
    <col min="520" max="520" width="10" style="30" customWidth="1"/>
    <col min="521" max="521" width="14.85546875" style="30" customWidth="1"/>
    <col min="522" max="522" width="9.5703125" style="30" customWidth="1"/>
    <col min="523" max="524" width="12.28515625" style="30" customWidth="1"/>
    <col min="525" max="527" width="12.85546875" style="30" customWidth="1"/>
    <col min="528" max="528" width="12.7109375" style="30" customWidth="1"/>
    <col min="529" max="529" width="12.28515625" style="30" bestFit="1" customWidth="1"/>
    <col min="530" max="530" width="13.85546875" style="30" customWidth="1"/>
    <col min="531" max="771" width="9.140625" style="30"/>
    <col min="772" max="772" width="2.7109375" style="30" customWidth="1"/>
    <col min="773" max="773" width="9.140625" style="30"/>
    <col min="774" max="774" width="40.28515625" style="30" bestFit="1" customWidth="1"/>
    <col min="775" max="775" width="12" style="30" customWidth="1"/>
    <col min="776" max="776" width="10" style="30" customWidth="1"/>
    <col min="777" max="777" width="14.85546875" style="30" customWidth="1"/>
    <col min="778" max="778" width="9.5703125" style="30" customWidth="1"/>
    <col min="779" max="780" width="12.28515625" style="30" customWidth="1"/>
    <col min="781" max="783" width="12.85546875" style="30" customWidth="1"/>
    <col min="784" max="784" width="12.7109375" style="30" customWidth="1"/>
    <col min="785" max="785" width="12.28515625" style="30" bestFit="1" customWidth="1"/>
    <col min="786" max="786" width="13.85546875" style="30" customWidth="1"/>
    <col min="787" max="1027" width="9.140625" style="30"/>
    <col min="1028" max="1028" width="2.7109375" style="30" customWidth="1"/>
    <col min="1029" max="1029" width="9.140625" style="30"/>
    <col min="1030" max="1030" width="40.28515625" style="30" bestFit="1" customWidth="1"/>
    <col min="1031" max="1031" width="12" style="30" customWidth="1"/>
    <col min="1032" max="1032" width="10" style="30" customWidth="1"/>
    <col min="1033" max="1033" width="14.85546875" style="30" customWidth="1"/>
    <col min="1034" max="1034" width="9.5703125" style="30" customWidth="1"/>
    <col min="1035" max="1036" width="12.28515625" style="30" customWidth="1"/>
    <col min="1037" max="1039" width="12.85546875" style="30" customWidth="1"/>
    <col min="1040" max="1040" width="12.7109375" style="30" customWidth="1"/>
    <col min="1041" max="1041" width="12.28515625" style="30" bestFit="1" customWidth="1"/>
    <col min="1042" max="1042" width="13.85546875" style="30" customWidth="1"/>
    <col min="1043" max="1283" width="9.140625" style="30"/>
    <col min="1284" max="1284" width="2.7109375" style="30" customWidth="1"/>
    <col min="1285" max="1285" width="9.140625" style="30"/>
    <col min="1286" max="1286" width="40.28515625" style="30" bestFit="1" customWidth="1"/>
    <col min="1287" max="1287" width="12" style="30" customWidth="1"/>
    <col min="1288" max="1288" width="10" style="30" customWidth="1"/>
    <col min="1289" max="1289" width="14.85546875" style="30" customWidth="1"/>
    <col min="1290" max="1290" width="9.5703125" style="30" customWidth="1"/>
    <col min="1291" max="1292" width="12.28515625" style="30" customWidth="1"/>
    <col min="1293" max="1295" width="12.85546875" style="30" customWidth="1"/>
    <col min="1296" max="1296" width="12.7109375" style="30" customWidth="1"/>
    <col min="1297" max="1297" width="12.28515625" style="30" bestFit="1" customWidth="1"/>
    <col min="1298" max="1298" width="13.85546875" style="30" customWidth="1"/>
    <col min="1299" max="1539" width="9.140625" style="30"/>
    <col min="1540" max="1540" width="2.7109375" style="30" customWidth="1"/>
    <col min="1541" max="1541" width="9.140625" style="30"/>
    <col min="1542" max="1542" width="40.28515625" style="30" bestFit="1" customWidth="1"/>
    <col min="1543" max="1543" width="12" style="30" customWidth="1"/>
    <col min="1544" max="1544" width="10" style="30" customWidth="1"/>
    <col min="1545" max="1545" width="14.85546875" style="30" customWidth="1"/>
    <col min="1546" max="1546" width="9.5703125" style="30" customWidth="1"/>
    <col min="1547" max="1548" width="12.28515625" style="30" customWidth="1"/>
    <col min="1549" max="1551" width="12.85546875" style="30" customWidth="1"/>
    <col min="1552" max="1552" width="12.7109375" style="30" customWidth="1"/>
    <col min="1553" max="1553" width="12.28515625" style="30" bestFit="1" customWidth="1"/>
    <col min="1554" max="1554" width="13.85546875" style="30" customWidth="1"/>
    <col min="1555" max="1795" width="9.140625" style="30"/>
    <col min="1796" max="1796" width="2.7109375" style="30" customWidth="1"/>
    <col min="1797" max="1797" width="9.140625" style="30"/>
    <col min="1798" max="1798" width="40.28515625" style="30" bestFit="1" customWidth="1"/>
    <col min="1799" max="1799" width="12" style="30" customWidth="1"/>
    <col min="1800" max="1800" width="10" style="30" customWidth="1"/>
    <col min="1801" max="1801" width="14.85546875" style="30" customWidth="1"/>
    <col min="1802" max="1802" width="9.5703125" style="30" customWidth="1"/>
    <col min="1803" max="1804" width="12.28515625" style="30" customWidth="1"/>
    <col min="1805" max="1807" width="12.85546875" style="30" customWidth="1"/>
    <col min="1808" max="1808" width="12.7109375" style="30" customWidth="1"/>
    <col min="1809" max="1809" width="12.28515625" style="30" bestFit="1" customWidth="1"/>
    <col min="1810" max="1810" width="13.85546875" style="30" customWidth="1"/>
    <col min="1811" max="2051" width="9.140625" style="30"/>
    <col min="2052" max="2052" width="2.7109375" style="30" customWidth="1"/>
    <col min="2053" max="2053" width="9.140625" style="30"/>
    <col min="2054" max="2054" width="40.28515625" style="30" bestFit="1" customWidth="1"/>
    <col min="2055" max="2055" width="12" style="30" customWidth="1"/>
    <col min="2056" max="2056" width="10" style="30" customWidth="1"/>
    <col min="2057" max="2057" width="14.85546875" style="30" customWidth="1"/>
    <col min="2058" max="2058" width="9.5703125" style="30" customWidth="1"/>
    <col min="2059" max="2060" width="12.28515625" style="30" customWidth="1"/>
    <col min="2061" max="2063" width="12.85546875" style="30" customWidth="1"/>
    <col min="2064" max="2064" width="12.7109375" style="30" customWidth="1"/>
    <col min="2065" max="2065" width="12.28515625" style="30" bestFit="1" customWidth="1"/>
    <col min="2066" max="2066" width="13.85546875" style="30" customWidth="1"/>
    <col min="2067" max="2307" width="9.140625" style="30"/>
    <col min="2308" max="2308" width="2.7109375" style="30" customWidth="1"/>
    <col min="2309" max="2309" width="9.140625" style="30"/>
    <col min="2310" max="2310" width="40.28515625" style="30" bestFit="1" customWidth="1"/>
    <col min="2311" max="2311" width="12" style="30" customWidth="1"/>
    <col min="2312" max="2312" width="10" style="30" customWidth="1"/>
    <col min="2313" max="2313" width="14.85546875" style="30" customWidth="1"/>
    <col min="2314" max="2314" width="9.5703125" style="30" customWidth="1"/>
    <col min="2315" max="2316" width="12.28515625" style="30" customWidth="1"/>
    <col min="2317" max="2319" width="12.85546875" style="30" customWidth="1"/>
    <col min="2320" max="2320" width="12.7109375" style="30" customWidth="1"/>
    <col min="2321" max="2321" width="12.28515625" style="30" bestFit="1" customWidth="1"/>
    <col min="2322" max="2322" width="13.85546875" style="30" customWidth="1"/>
    <col min="2323" max="2563" width="9.140625" style="30"/>
    <col min="2564" max="2564" width="2.7109375" style="30" customWidth="1"/>
    <col min="2565" max="2565" width="9.140625" style="30"/>
    <col min="2566" max="2566" width="40.28515625" style="30" bestFit="1" customWidth="1"/>
    <col min="2567" max="2567" width="12" style="30" customWidth="1"/>
    <col min="2568" max="2568" width="10" style="30" customWidth="1"/>
    <col min="2569" max="2569" width="14.85546875" style="30" customWidth="1"/>
    <col min="2570" max="2570" width="9.5703125" style="30" customWidth="1"/>
    <col min="2571" max="2572" width="12.28515625" style="30" customWidth="1"/>
    <col min="2573" max="2575" width="12.85546875" style="30" customWidth="1"/>
    <col min="2576" max="2576" width="12.7109375" style="30" customWidth="1"/>
    <col min="2577" max="2577" width="12.28515625" style="30" bestFit="1" customWidth="1"/>
    <col min="2578" max="2578" width="13.85546875" style="30" customWidth="1"/>
    <col min="2579" max="2819" width="9.140625" style="30"/>
    <col min="2820" max="2820" width="2.7109375" style="30" customWidth="1"/>
    <col min="2821" max="2821" width="9.140625" style="30"/>
    <col min="2822" max="2822" width="40.28515625" style="30" bestFit="1" customWidth="1"/>
    <col min="2823" max="2823" width="12" style="30" customWidth="1"/>
    <col min="2824" max="2824" width="10" style="30" customWidth="1"/>
    <col min="2825" max="2825" width="14.85546875" style="30" customWidth="1"/>
    <col min="2826" max="2826" width="9.5703125" style="30" customWidth="1"/>
    <col min="2827" max="2828" width="12.28515625" style="30" customWidth="1"/>
    <col min="2829" max="2831" width="12.85546875" style="30" customWidth="1"/>
    <col min="2832" max="2832" width="12.7109375" style="30" customWidth="1"/>
    <col min="2833" max="2833" width="12.28515625" style="30" bestFit="1" customWidth="1"/>
    <col min="2834" max="2834" width="13.85546875" style="30" customWidth="1"/>
    <col min="2835" max="3075" width="9.140625" style="30"/>
    <col min="3076" max="3076" width="2.7109375" style="30" customWidth="1"/>
    <col min="3077" max="3077" width="9.140625" style="30"/>
    <col min="3078" max="3078" width="40.28515625" style="30" bestFit="1" customWidth="1"/>
    <col min="3079" max="3079" width="12" style="30" customWidth="1"/>
    <col min="3080" max="3080" width="10" style="30" customWidth="1"/>
    <col min="3081" max="3081" width="14.85546875" style="30" customWidth="1"/>
    <col min="3082" max="3082" width="9.5703125" style="30" customWidth="1"/>
    <col min="3083" max="3084" width="12.28515625" style="30" customWidth="1"/>
    <col min="3085" max="3087" width="12.85546875" style="30" customWidth="1"/>
    <col min="3088" max="3088" width="12.7109375" style="30" customWidth="1"/>
    <col min="3089" max="3089" width="12.28515625" style="30" bestFit="1" customWidth="1"/>
    <col min="3090" max="3090" width="13.85546875" style="30" customWidth="1"/>
    <col min="3091" max="3331" width="9.140625" style="30"/>
    <col min="3332" max="3332" width="2.7109375" style="30" customWidth="1"/>
    <col min="3333" max="3333" width="9.140625" style="30"/>
    <col min="3334" max="3334" width="40.28515625" style="30" bestFit="1" customWidth="1"/>
    <col min="3335" max="3335" width="12" style="30" customWidth="1"/>
    <col min="3336" max="3336" width="10" style="30" customWidth="1"/>
    <col min="3337" max="3337" width="14.85546875" style="30" customWidth="1"/>
    <col min="3338" max="3338" width="9.5703125" style="30" customWidth="1"/>
    <col min="3339" max="3340" width="12.28515625" style="30" customWidth="1"/>
    <col min="3341" max="3343" width="12.85546875" style="30" customWidth="1"/>
    <col min="3344" max="3344" width="12.7109375" style="30" customWidth="1"/>
    <col min="3345" max="3345" width="12.28515625" style="30" bestFit="1" customWidth="1"/>
    <col min="3346" max="3346" width="13.85546875" style="30" customWidth="1"/>
    <col min="3347" max="3587" width="9.140625" style="30"/>
    <col min="3588" max="3588" width="2.7109375" style="30" customWidth="1"/>
    <col min="3589" max="3589" width="9.140625" style="30"/>
    <col min="3590" max="3590" width="40.28515625" style="30" bestFit="1" customWidth="1"/>
    <col min="3591" max="3591" width="12" style="30" customWidth="1"/>
    <col min="3592" max="3592" width="10" style="30" customWidth="1"/>
    <col min="3593" max="3593" width="14.85546875" style="30" customWidth="1"/>
    <col min="3594" max="3594" width="9.5703125" style="30" customWidth="1"/>
    <col min="3595" max="3596" width="12.28515625" style="30" customWidth="1"/>
    <col min="3597" max="3599" width="12.85546875" style="30" customWidth="1"/>
    <col min="3600" max="3600" width="12.7109375" style="30" customWidth="1"/>
    <col min="3601" max="3601" width="12.28515625" style="30" bestFit="1" customWidth="1"/>
    <col min="3602" max="3602" width="13.85546875" style="30" customWidth="1"/>
    <col min="3603" max="3843" width="9.140625" style="30"/>
    <col min="3844" max="3844" width="2.7109375" style="30" customWidth="1"/>
    <col min="3845" max="3845" width="9.140625" style="30"/>
    <col min="3846" max="3846" width="40.28515625" style="30" bestFit="1" customWidth="1"/>
    <col min="3847" max="3847" width="12" style="30" customWidth="1"/>
    <col min="3848" max="3848" width="10" style="30" customWidth="1"/>
    <col min="3849" max="3849" width="14.85546875" style="30" customWidth="1"/>
    <col min="3850" max="3850" width="9.5703125" style="30" customWidth="1"/>
    <col min="3851" max="3852" width="12.28515625" style="30" customWidth="1"/>
    <col min="3853" max="3855" width="12.85546875" style="30" customWidth="1"/>
    <col min="3856" max="3856" width="12.7109375" style="30" customWidth="1"/>
    <col min="3857" max="3857" width="12.28515625" style="30" bestFit="1" customWidth="1"/>
    <col min="3858" max="3858" width="13.85546875" style="30" customWidth="1"/>
    <col min="3859" max="4099" width="9.140625" style="30"/>
    <col min="4100" max="4100" width="2.7109375" style="30" customWidth="1"/>
    <col min="4101" max="4101" width="9.140625" style="30"/>
    <col min="4102" max="4102" width="40.28515625" style="30" bestFit="1" customWidth="1"/>
    <col min="4103" max="4103" width="12" style="30" customWidth="1"/>
    <col min="4104" max="4104" width="10" style="30" customWidth="1"/>
    <col min="4105" max="4105" width="14.85546875" style="30" customWidth="1"/>
    <col min="4106" max="4106" width="9.5703125" style="30" customWidth="1"/>
    <col min="4107" max="4108" width="12.28515625" style="30" customWidth="1"/>
    <col min="4109" max="4111" width="12.85546875" style="30" customWidth="1"/>
    <col min="4112" max="4112" width="12.7109375" style="30" customWidth="1"/>
    <col min="4113" max="4113" width="12.28515625" style="30" bestFit="1" customWidth="1"/>
    <col min="4114" max="4114" width="13.85546875" style="30" customWidth="1"/>
    <col min="4115" max="4355" width="9.140625" style="30"/>
    <col min="4356" max="4356" width="2.7109375" style="30" customWidth="1"/>
    <col min="4357" max="4357" width="9.140625" style="30"/>
    <col min="4358" max="4358" width="40.28515625" style="30" bestFit="1" customWidth="1"/>
    <col min="4359" max="4359" width="12" style="30" customWidth="1"/>
    <col min="4360" max="4360" width="10" style="30" customWidth="1"/>
    <col min="4361" max="4361" width="14.85546875" style="30" customWidth="1"/>
    <col min="4362" max="4362" width="9.5703125" style="30" customWidth="1"/>
    <col min="4363" max="4364" width="12.28515625" style="30" customWidth="1"/>
    <col min="4365" max="4367" width="12.85546875" style="30" customWidth="1"/>
    <col min="4368" max="4368" width="12.7109375" style="30" customWidth="1"/>
    <col min="4369" max="4369" width="12.28515625" style="30" bestFit="1" customWidth="1"/>
    <col min="4370" max="4370" width="13.85546875" style="30" customWidth="1"/>
    <col min="4371" max="4611" width="9.140625" style="30"/>
    <col min="4612" max="4612" width="2.7109375" style="30" customWidth="1"/>
    <col min="4613" max="4613" width="9.140625" style="30"/>
    <col min="4614" max="4614" width="40.28515625" style="30" bestFit="1" customWidth="1"/>
    <col min="4615" max="4615" width="12" style="30" customWidth="1"/>
    <col min="4616" max="4616" width="10" style="30" customWidth="1"/>
    <col min="4617" max="4617" width="14.85546875" style="30" customWidth="1"/>
    <col min="4618" max="4618" width="9.5703125" style="30" customWidth="1"/>
    <col min="4619" max="4620" width="12.28515625" style="30" customWidth="1"/>
    <col min="4621" max="4623" width="12.85546875" style="30" customWidth="1"/>
    <col min="4624" max="4624" width="12.7109375" style="30" customWidth="1"/>
    <col min="4625" max="4625" width="12.28515625" style="30" bestFit="1" customWidth="1"/>
    <col min="4626" max="4626" width="13.85546875" style="30" customWidth="1"/>
    <col min="4627" max="4867" width="9.140625" style="30"/>
    <col min="4868" max="4868" width="2.7109375" style="30" customWidth="1"/>
    <col min="4869" max="4869" width="9.140625" style="30"/>
    <col min="4870" max="4870" width="40.28515625" style="30" bestFit="1" customWidth="1"/>
    <col min="4871" max="4871" width="12" style="30" customWidth="1"/>
    <col min="4872" max="4872" width="10" style="30" customWidth="1"/>
    <col min="4873" max="4873" width="14.85546875" style="30" customWidth="1"/>
    <col min="4874" max="4874" width="9.5703125" style="30" customWidth="1"/>
    <col min="4875" max="4876" width="12.28515625" style="30" customWidth="1"/>
    <col min="4877" max="4879" width="12.85546875" style="30" customWidth="1"/>
    <col min="4880" max="4880" width="12.7109375" style="30" customWidth="1"/>
    <col min="4881" max="4881" width="12.28515625" style="30" bestFit="1" customWidth="1"/>
    <col min="4882" max="4882" width="13.85546875" style="30" customWidth="1"/>
    <col min="4883" max="5123" width="9.140625" style="30"/>
    <col min="5124" max="5124" width="2.7109375" style="30" customWidth="1"/>
    <col min="5125" max="5125" width="9.140625" style="30"/>
    <col min="5126" max="5126" width="40.28515625" style="30" bestFit="1" customWidth="1"/>
    <col min="5127" max="5127" width="12" style="30" customWidth="1"/>
    <col min="5128" max="5128" width="10" style="30" customWidth="1"/>
    <col min="5129" max="5129" width="14.85546875" style="30" customWidth="1"/>
    <col min="5130" max="5130" width="9.5703125" style="30" customWidth="1"/>
    <col min="5131" max="5132" width="12.28515625" style="30" customWidth="1"/>
    <col min="5133" max="5135" width="12.85546875" style="30" customWidth="1"/>
    <col min="5136" max="5136" width="12.7109375" style="30" customWidth="1"/>
    <col min="5137" max="5137" width="12.28515625" style="30" bestFit="1" customWidth="1"/>
    <col min="5138" max="5138" width="13.85546875" style="30" customWidth="1"/>
    <col min="5139" max="5379" width="9.140625" style="30"/>
    <col min="5380" max="5380" width="2.7109375" style="30" customWidth="1"/>
    <col min="5381" max="5381" width="9.140625" style="30"/>
    <col min="5382" max="5382" width="40.28515625" style="30" bestFit="1" customWidth="1"/>
    <col min="5383" max="5383" width="12" style="30" customWidth="1"/>
    <col min="5384" max="5384" width="10" style="30" customWidth="1"/>
    <col min="5385" max="5385" width="14.85546875" style="30" customWidth="1"/>
    <col min="5386" max="5386" width="9.5703125" style="30" customWidth="1"/>
    <col min="5387" max="5388" width="12.28515625" style="30" customWidth="1"/>
    <col min="5389" max="5391" width="12.85546875" style="30" customWidth="1"/>
    <col min="5392" max="5392" width="12.7109375" style="30" customWidth="1"/>
    <col min="5393" max="5393" width="12.28515625" style="30" bestFit="1" customWidth="1"/>
    <col min="5394" max="5394" width="13.85546875" style="30" customWidth="1"/>
    <col min="5395" max="5635" width="9.140625" style="30"/>
    <col min="5636" max="5636" width="2.7109375" style="30" customWidth="1"/>
    <col min="5637" max="5637" width="9.140625" style="30"/>
    <col min="5638" max="5638" width="40.28515625" style="30" bestFit="1" customWidth="1"/>
    <col min="5639" max="5639" width="12" style="30" customWidth="1"/>
    <col min="5640" max="5640" width="10" style="30" customWidth="1"/>
    <col min="5641" max="5641" width="14.85546875" style="30" customWidth="1"/>
    <col min="5642" max="5642" width="9.5703125" style="30" customWidth="1"/>
    <col min="5643" max="5644" width="12.28515625" style="30" customWidth="1"/>
    <col min="5645" max="5647" width="12.85546875" style="30" customWidth="1"/>
    <col min="5648" max="5648" width="12.7109375" style="30" customWidth="1"/>
    <col min="5649" max="5649" width="12.28515625" style="30" bestFit="1" customWidth="1"/>
    <col min="5650" max="5650" width="13.85546875" style="30" customWidth="1"/>
    <col min="5651" max="5891" width="9.140625" style="30"/>
    <col min="5892" max="5892" width="2.7109375" style="30" customWidth="1"/>
    <col min="5893" max="5893" width="9.140625" style="30"/>
    <col min="5894" max="5894" width="40.28515625" style="30" bestFit="1" customWidth="1"/>
    <col min="5895" max="5895" width="12" style="30" customWidth="1"/>
    <col min="5896" max="5896" width="10" style="30" customWidth="1"/>
    <col min="5897" max="5897" width="14.85546875" style="30" customWidth="1"/>
    <col min="5898" max="5898" width="9.5703125" style="30" customWidth="1"/>
    <col min="5899" max="5900" width="12.28515625" style="30" customWidth="1"/>
    <col min="5901" max="5903" width="12.85546875" style="30" customWidth="1"/>
    <col min="5904" max="5904" width="12.7109375" style="30" customWidth="1"/>
    <col min="5905" max="5905" width="12.28515625" style="30" bestFit="1" customWidth="1"/>
    <col min="5906" max="5906" width="13.85546875" style="30" customWidth="1"/>
    <col min="5907" max="6147" width="9.140625" style="30"/>
    <col min="6148" max="6148" width="2.7109375" style="30" customWidth="1"/>
    <col min="6149" max="6149" width="9.140625" style="30"/>
    <col min="6150" max="6150" width="40.28515625" style="30" bestFit="1" customWidth="1"/>
    <col min="6151" max="6151" width="12" style="30" customWidth="1"/>
    <col min="6152" max="6152" width="10" style="30" customWidth="1"/>
    <col min="6153" max="6153" width="14.85546875" style="30" customWidth="1"/>
    <col min="6154" max="6154" width="9.5703125" style="30" customWidth="1"/>
    <col min="6155" max="6156" width="12.28515625" style="30" customWidth="1"/>
    <col min="6157" max="6159" width="12.85546875" style="30" customWidth="1"/>
    <col min="6160" max="6160" width="12.7109375" style="30" customWidth="1"/>
    <col min="6161" max="6161" width="12.28515625" style="30" bestFit="1" customWidth="1"/>
    <col min="6162" max="6162" width="13.85546875" style="30" customWidth="1"/>
    <col min="6163" max="6403" width="9.140625" style="30"/>
    <col min="6404" max="6404" width="2.7109375" style="30" customWidth="1"/>
    <col min="6405" max="6405" width="9.140625" style="30"/>
    <col min="6406" max="6406" width="40.28515625" style="30" bestFit="1" customWidth="1"/>
    <col min="6407" max="6407" width="12" style="30" customWidth="1"/>
    <col min="6408" max="6408" width="10" style="30" customWidth="1"/>
    <col min="6409" max="6409" width="14.85546875" style="30" customWidth="1"/>
    <col min="6410" max="6410" width="9.5703125" style="30" customWidth="1"/>
    <col min="6411" max="6412" width="12.28515625" style="30" customWidth="1"/>
    <col min="6413" max="6415" width="12.85546875" style="30" customWidth="1"/>
    <col min="6416" max="6416" width="12.7109375" style="30" customWidth="1"/>
    <col min="6417" max="6417" width="12.28515625" style="30" bestFit="1" customWidth="1"/>
    <col min="6418" max="6418" width="13.85546875" style="30" customWidth="1"/>
    <col min="6419" max="6659" width="9.140625" style="30"/>
    <col min="6660" max="6660" width="2.7109375" style="30" customWidth="1"/>
    <col min="6661" max="6661" width="9.140625" style="30"/>
    <col min="6662" max="6662" width="40.28515625" style="30" bestFit="1" customWidth="1"/>
    <col min="6663" max="6663" width="12" style="30" customWidth="1"/>
    <col min="6664" max="6664" width="10" style="30" customWidth="1"/>
    <col min="6665" max="6665" width="14.85546875" style="30" customWidth="1"/>
    <col min="6666" max="6666" width="9.5703125" style="30" customWidth="1"/>
    <col min="6667" max="6668" width="12.28515625" style="30" customWidth="1"/>
    <col min="6669" max="6671" width="12.85546875" style="30" customWidth="1"/>
    <col min="6672" max="6672" width="12.7109375" style="30" customWidth="1"/>
    <col min="6673" max="6673" width="12.28515625" style="30" bestFit="1" customWidth="1"/>
    <col min="6674" max="6674" width="13.85546875" style="30" customWidth="1"/>
    <col min="6675" max="6915" width="9.140625" style="30"/>
    <col min="6916" max="6916" width="2.7109375" style="30" customWidth="1"/>
    <col min="6917" max="6917" width="9.140625" style="30"/>
    <col min="6918" max="6918" width="40.28515625" style="30" bestFit="1" customWidth="1"/>
    <col min="6919" max="6919" width="12" style="30" customWidth="1"/>
    <col min="6920" max="6920" width="10" style="30" customWidth="1"/>
    <col min="6921" max="6921" width="14.85546875" style="30" customWidth="1"/>
    <col min="6922" max="6922" width="9.5703125" style="30" customWidth="1"/>
    <col min="6923" max="6924" width="12.28515625" style="30" customWidth="1"/>
    <col min="6925" max="6927" width="12.85546875" style="30" customWidth="1"/>
    <col min="6928" max="6928" width="12.7109375" style="30" customWidth="1"/>
    <col min="6929" max="6929" width="12.28515625" style="30" bestFit="1" customWidth="1"/>
    <col min="6930" max="6930" width="13.85546875" style="30" customWidth="1"/>
    <col min="6931" max="7171" width="9.140625" style="30"/>
    <col min="7172" max="7172" width="2.7109375" style="30" customWidth="1"/>
    <col min="7173" max="7173" width="9.140625" style="30"/>
    <col min="7174" max="7174" width="40.28515625" style="30" bestFit="1" customWidth="1"/>
    <col min="7175" max="7175" width="12" style="30" customWidth="1"/>
    <col min="7176" max="7176" width="10" style="30" customWidth="1"/>
    <col min="7177" max="7177" width="14.85546875" style="30" customWidth="1"/>
    <col min="7178" max="7178" width="9.5703125" style="30" customWidth="1"/>
    <col min="7179" max="7180" width="12.28515625" style="30" customWidth="1"/>
    <col min="7181" max="7183" width="12.85546875" style="30" customWidth="1"/>
    <col min="7184" max="7184" width="12.7109375" style="30" customWidth="1"/>
    <col min="7185" max="7185" width="12.28515625" style="30" bestFit="1" customWidth="1"/>
    <col min="7186" max="7186" width="13.85546875" style="30" customWidth="1"/>
    <col min="7187" max="7427" width="9.140625" style="30"/>
    <col min="7428" max="7428" width="2.7109375" style="30" customWidth="1"/>
    <col min="7429" max="7429" width="9.140625" style="30"/>
    <col min="7430" max="7430" width="40.28515625" style="30" bestFit="1" customWidth="1"/>
    <col min="7431" max="7431" width="12" style="30" customWidth="1"/>
    <col min="7432" max="7432" width="10" style="30" customWidth="1"/>
    <col min="7433" max="7433" width="14.85546875" style="30" customWidth="1"/>
    <col min="7434" max="7434" width="9.5703125" style="30" customWidth="1"/>
    <col min="7435" max="7436" width="12.28515625" style="30" customWidth="1"/>
    <col min="7437" max="7439" width="12.85546875" style="30" customWidth="1"/>
    <col min="7440" max="7440" width="12.7109375" style="30" customWidth="1"/>
    <col min="7441" max="7441" width="12.28515625" style="30" bestFit="1" customWidth="1"/>
    <col min="7442" max="7442" width="13.85546875" style="30" customWidth="1"/>
    <col min="7443" max="7683" width="9.140625" style="30"/>
    <col min="7684" max="7684" width="2.7109375" style="30" customWidth="1"/>
    <col min="7685" max="7685" width="9.140625" style="30"/>
    <col min="7686" max="7686" width="40.28515625" style="30" bestFit="1" customWidth="1"/>
    <col min="7687" max="7687" width="12" style="30" customWidth="1"/>
    <col min="7688" max="7688" width="10" style="30" customWidth="1"/>
    <col min="7689" max="7689" width="14.85546875" style="30" customWidth="1"/>
    <col min="7690" max="7690" width="9.5703125" style="30" customWidth="1"/>
    <col min="7691" max="7692" width="12.28515625" style="30" customWidth="1"/>
    <col min="7693" max="7695" width="12.85546875" style="30" customWidth="1"/>
    <col min="7696" max="7696" width="12.7109375" style="30" customWidth="1"/>
    <col min="7697" max="7697" width="12.28515625" style="30" bestFit="1" customWidth="1"/>
    <col min="7698" max="7698" width="13.85546875" style="30" customWidth="1"/>
    <col min="7699" max="7939" width="9.140625" style="30"/>
    <col min="7940" max="7940" width="2.7109375" style="30" customWidth="1"/>
    <col min="7941" max="7941" width="9.140625" style="30"/>
    <col min="7942" max="7942" width="40.28515625" style="30" bestFit="1" customWidth="1"/>
    <col min="7943" max="7943" width="12" style="30" customWidth="1"/>
    <col min="7944" max="7944" width="10" style="30" customWidth="1"/>
    <col min="7945" max="7945" width="14.85546875" style="30" customWidth="1"/>
    <col min="7946" max="7946" width="9.5703125" style="30" customWidth="1"/>
    <col min="7947" max="7948" width="12.28515625" style="30" customWidth="1"/>
    <col min="7949" max="7951" width="12.85546875" style="30" customWidth="1"/>
    <col min="7952" max="7952" width="12.7109375" style="30" customWidth="1"/>
    <col min="7953" max="7953" width="12.28515625" style="30" bestFit="1" customWidth="1"/>
    <col min="7954" max="7954" width="13.85546875" style="30" customWidth="1"/>
    <col min="7955" max="8195" width="9.140625" style="30"/>
    <col min="8196" max="8196" width="2.7109375" style="30" customWidth="1"/>
    <col min="8197" max="8197" width="9.140625" style="30"/>
    <col min="8198" max="8198" width="40.28515625" style="30" bestFit="1" customWidth="1"/>
    <col min="8199" max="8199" width="12" style="30" customWidth="1"/>
    <col min="8200" max="8200" width="10" style="30" customWidth="1"/>
    <col min="8201" max="8201" width="14.85546875" style="30" customWidth="1"/>
    <col min="8202" max="8202" width="9.5703125" style="30" customWidth="1"/>
    <col min="8203" max="8204" width="12.28515625" style="30" customWidth="1"/>
    <col min="8205" max="8207" width="12.85546875" style="30" customWidth="1"/>
    <col min="8208" max="8208" width="12.7109375" style="30" customWidth="1"/>
    <col min="8209" max="8209" width="12.28515625" style="30" bestFit="1" customWidth="1"/>
    <col min="8210" max="8210" width="13.85546875" style="30" customWidth="1"/>
    <col min="8211" max="8451" width="9.140625" style="30"/>
    <col min="8452" max="8452" width="2.7109375" style="30" customWidth="1"/>
    <col min="8453" max="8453" width="9.140625" style="30"/>
    <col min="8454" max="8454" width="40.28515625" style="30" bestFit="1" customWidth="1"/>
    <col min="8455" max="8455" width="12" style="30" customWidth="1"/>
    <col min="8456" max="8456" width="10" style="30" customWidth="1"/>
    <col min="8457" max="8457" width="14.85546875" style="30" customWidth="1"/>
    <col min="8458" max="8458" width="9.5703125" style="30" customWidth="1"/>
    <col min="8459" max="8460" width="12.28515625" style="30" customWidth="1"/>
    <col min="8461" max="8463" width="12.85546875" style="30" customWidth="1"/>
    <col min="8464" max="8464" width="12.7109375" style="30" customWidth="1"/>
    <col min="8465" max="8465" width="12.28515625" style="30" bestFit="1" customWidth="1"/>
    <col min="8466" max="8466" width="13.85546875" style="30" customWidth="1"/>
    <col min="8467" max="8707" width="9.140625" style="30"/>
    <col min="8708" max="8708" width="2.7109375" style="30" customWidth="1"/>
    <col min="8709" max="8709" width="9.140625" style="30"/>
    <col min="8710" max="8710" width="40.28515625" style="30" bestFit="1" customWidth="1"/>
    <col min="8711" max="8711" width="12" style="30" customWidth="1"/>
    <col min="8712" max="8712" width="10" style="30" customWidth="1"/>
    <col min="8713" max="8713" width="14.85546875" style="30" customWidth="1"/>
    <col min="8714" max="8714" width="9.5703125" style="30" customWidth="1"/>
    <col min="8715" max="8716" width="12.28515625" style="30" customWidth="1"/>
    <col min="8717" max="8719" width="12.85546875" style="30" customWidth="1"/>
    <col min="8720" max="8720" width="12.7109375" style="30" customWidth="1"/>
    <col min="8721" max="8721" width="12.28515625" style="30" bestFit="1" customWidth="1"/>
    <col min="8722" max="8722" width="13.85546875" style="30" customWidth="1"/>
    <col min="8723" max="8963" width="9.140625" style="30"/>
    <col min="8964" max="8964" width="2.7109375" style="30" customWidth="1"/>
    <col min="8965" max="8965" width="9.140625" style="30"/>
    <col min="8966" max="8966" width="40.28515625" style="30" bestFit="1" customWidth="1"/>
    <col min="8967" max="8967" width="12" style="30" customWidth="1"/>
    <col min="8968" max="8968" width="10" style="30" customWidth="1"/>
    <col min="8969" max="8969" width="14.85546875" style="30" customWidth="1"/>
    <col min="8970" max="8970" width="9.5703125" style="30" customWidth="1"/>
    <col min="8971" max="8972" width="12.28515625" style="30" customWidth="1"/>
    <col min="8973" max="8975" width="12.85546875" style="30" customWidth="1"/>
    <col min="8976" max="8976" width="12.7109375" style="30" customWidth="1"/>
    <col min="8977" max="8977" width="12.28515625" style="30" bestFit="1" customWidth="1"/>
    <col min="8978" max="8978" width="13.85546875" style="30" customWidth="1"/>
    <col min="8979" max="9219" width="9.140625" style="30"/>
    <col min="9220" max="9220" width="2.7109375" style="30" customWidth="1"/>
    <col min="9221" max="9221" width="9.140625" style="30"/>
    <col min="9222" max="9222" width="40.28515625" style="30" bestFit="1" customWidth="1"/>
    <col min="9223" max="9223" width="12" style="30" customWidth="1"/>
    <col min="9224" max="9224" width="10" style="30" customWidth="1"/>
    <col min="9225" max="9225" width="14.85546875" style="30" customWidth="1"/>
    <col min="9226" max="9226" width="9.5703125" style="30" customWidth="1"/>
    <col min="9227" max="9228" width="12.28515625" style="30" customWidth="1"/>
    <col min="9229" max="9231" width="12.85546875" style="30" customWidth="1"/>
    <col min="9232" max="9232" width="12.7109375" style="30" customWidth="1"/>
    <col min="9233" max="9233" width="12.28515625" style="30" bestFit="1" customWidth="1"/>
    <col min="9234" max="9234" width="13.85546875" style="30" customWidth="1"/>
    <col min="9235" max="9475" width="9.140625" style="30"/>
    <col min="9476" max="9476" width="2.7109375" style="30" customWidth="1"/>
    <col min="9477" max="9477" width="9.140625" style="30"/>
    <col min="9478" max="9478" width="40.28515625" style="30" bestFit="1" customWidth="1"/>
    <col min="9479" max="9479" width="12" style="30" customWidth="1"/>
    <col min="9480" max="9480" width="10" style="30" customWidth="1"/>
    <col min="9481" max="9481" width="14.85546875" style="30" customWidth="1"/>
    <col min="9482" max="9482" width="9.5703125" style="30" customWidth="1"/>
    <col min="9483" max="9484" width="12.28515625" style="30" customWidth="1"/>
    <col min="9485" max="9487" width="12.85546875" style="30" customWidth="1"/>
    <col min="9488" max="9488" width="12.7109375" style="30" customWidth="1"/>
    <col min="9489" max="9489" width="12.28515625" style="30" bestFit="1" customWidth="1"/>
    <col min="9490" max="9490" width="13.85546875" style="30" customWidth="1"/>
    <col min="9491" max="9731" width="9.140625" style="30"/>
    <col min="9732" max="9732" width="2.7109375" style="30" customWidth="1"/>
    <col min="9733" max="9733" width="9.140625" style="30"/>
    <col min="9734" max="9734" width="40.28515625" style="30" bestFit="1" customWidth="1"/>
    <col min="9735" max="9735" width="12" style="30" customWidth="1"/>
    <col min="9736" max="9736" width="10" style="30" customWidth="1"/>
    <col min="9737" max="9737" width="14.85546875" style="30" customWidth="1"/>
    <col min="9738" max="9738" width="9.5703125" style="30" customWidth="1"/>
    <col min="9739" max="9740" width="12.28515625" style="30" customWidth="1"/>
    <col min="9741" max="9743" width="12.85546875" style="30" customWidth="1"/>
    <col min="9744" max="9744" width="12.7109375" style="30" customWidth="1"/>
    <col min="9745" max="9745" width="12.28515625" style="30" bestFit="1" customWidth="1"/>
    <col min="9746" max="9746" width="13.85546875" style="30" customWidth="1"/>
    <col min="9747" max="9987" width="9.140625" style="30"/>
    <col min="9988" max="9988" width="2.7109375" style="30" customWidth="1"/>
    <col min="9989" max="9989" width="9.140625" style="30"/>
    <col min="9990" max="9990" width="40.28515625" style="30" bestFit="1" customWidth="1"/>
    <col min="9991" max="9991" width="12" style="30" customWidth="1"/>
    <col min="9992" max="9992" width="10" style="30" customWidth="1"/>
    <col min="9993" max="9993" width="14.85546875" style="30" customWidth="1"/>
    <col min="9994" max="9994" width="9.5703125" style="30" customWidth="1"/>
    <col min="9995" max="9996" width="12.28515625" style="30" customWidth="1"/>
    <col min="9997" max="9999" width="12.85546875" style="30" customWidth="1"/>
    <col min="10000" max="10000" width="12.7109375" style="30" customWidth="1"/>
    <col min="10001" max="10001" width="12.28515625" style="30" bestFit="1" customWidth="1"/>
    <col min="10002" max="10002" width="13.85546875" style="30" customWidth="1"/>
    <col min="10003" max="10243" width="9.140625" style="30"/>
    <col min="10244" max="10244" width="2.7109375" style="30" customWidth="1"/>
    <col min="10245" max="10245" width="9.140625" style="30"/>
    <col min="10246" max="10246" width="40.28515625" style="30" bestFit="1" customWidth="1"/>
    <col min="10247" max="10247" width="12" style="30" customWidth="1"/>
    <col min="10248" max="10248" width="10" style="30" customWidth="1"/>
    <col min="10249" max="10249" width="14.85546875" style="30" customWidth="1"/>
    <col min="10250" max="10250" width="9.5703125" style="30" customWidth="1"/>
    <col min="10251" max="10252" width="12.28515625" style="30" customWidth="1"/>
    <col min="10253" max="10255" width="12.85546875" style="30" customWidth="1"/>
    <col min="10256" max="10256" width="12.7109375" style="30" customWidth="1"/>
    <col min="10257" max="10257" width="12.28515625" style="30" bestFit="1" customWidth="1"/>
    <col min="10258" max="10258" width="13.85546875" style="30" customWidth="1"/>
    <col min="10259" max="10499" width="9.140625" style="30"/>
    <col min="10500" max="10500" width="2.7109375" style="30" customWidth="1"/>
    <col min="10501" max="10501" width="9.140625" style="30"/>
    <col min="10502" max="10502" width="40.28515625" style="30" bestFit="1" customWidth="1"/>
    <col min="10503" max="10503" width="12" style="30" customWidth="1"/>
    <col min="10504" max="10504" width="10" style="30" customWidth="1"/>
    <col min="10505" max="10505" width="14.85546875" style="30" customWidth="1"/>
    <col min="10506" max="10506" width="9.5703125" style="30" customWidth="1"/>
    <col min="10507" max="10508" width="12.28515625" style="30" customWidth="1"/>
    <col min="10509" max="10511" width="12.85546875" style="30" customWidth="1"/>
    <col min="10512" max="10512" width="12.7109375" style="30" customWidth="1"/>
    <col min="10513" max="10513" width="12.28515625" style="30" bestFit="1" customWidth="1"/>
    <col min="10514" max="10514" width="13.85546875" style="30" customWidth="1"/>
    <col min="10515" max="10755" width="9.140625" style="30"/>
    <col min="10756" max="10756" width="2.7109375" style="30" customWidth="1"/>
    <col min="10757" max="10757" width="9.140625" style="30"/>
    <col min="10758" max="10758" width="40.28515625" style="30" bestFit="1" customWidth="1"/>
    <col min="10759" max="10759" width="12" style="30" customWidth="1"/>
    <col min="10760" max="10760" width="10" style="30" customWidth="1"/>
    <col min="10761" max="10761" width="14.85546875" style="30" customWidth="1"/>
    <col min="10762" max="10762" width="9.5703125" style="30" customWidth="1"/>
    <col min="10763" max="10764" width="12.28515625" style="30" customWidth="1"/>
    <col min="10765" max="10767" width="12.85546875" style="30" customWidth="1"/>
    <col min="10768" max="10768" width="12.7109375" style="30" customWidth="1"/>
    <col min="10769" max="10769" width="12.28515625" style="30" bestFit="1" customWidth="1"/>
    <col min="10770" max="10770" width="13.85546875" style="30" customWidth="1"/>
    <col min="10771" max="11011" width="9.140625" style="30"/>
    <col min="11012" max="11012" width="2.7109375" style="30" customWidth="1"/>
    <col min="11013" max="11013" width="9.140625" style="30"/>
    <col min="11014" max="11014" width="40.28515625" style="30" bestFit="1" customWidth="1"/>
    <col min="11015" max="11015" width="12" style="30" customWidth="1"/>
    <col min="11016" max="11016" width="10" style="30" customWidth="1"/>
    <col min="11017" max="11017" width="14.85546875" style="30" customWidth="1"/>
    <col min="11018" max="11018" width="9.5703125" style="30" customWidth="1"/>
    <col min="11019" max="11020" width="12.28515625" style="30" customWidth="1"/>
    <col min="11021" max="11023" width="12.85546875" style="30" customWidth="1"/>
    <col min="11024" max="11024" width="12.7109375" style="30" customWidth="1"/>
    <col min="11025" max="11025" width="12.28515625" style="30" bestFit="1" customWidth="1"/>
    <col min="11026" max="11026" width="13.85546875" style="30" customWidth="1"/>
    <col min="11027" max="11267" width="9.140625" style="30"/>
    <col min="11268" max="11268" width="2.7109375" style="30" customWidth="1"/>
    <col min="11269" max="11269" width="9.140625" style="30"/>
    <col min="11270" max="11270" width="40.28515625" style="30" bestFit="1" customWidth="1"/>
    <col min="11271" max="11271" width="12" style="30" customWidth="1"/>
    <col min="11272" max="11272" width="10" style="30" customWidth="1"/>
    <col min="11273" max="11273" width="14.85546875" style="30" customWidth="1"/>
    <col min="11274" max="11274" width="9.5703125" style="30" customWidth="1"/>
    <col min="11275" max="11276" width="12.28515625" style="30" customWidth="1"/>
    <col min="11277" max="11279" width="12.85546875" style="30" customWidth="1"/>
    <col min="11280" max="11280" width="12.7109375" style="30" customWidth="1"/>
    <col min="11281" max="11281" width="12.28515625" style="30" bestFit="1" customWidth="1"/>
    <col min="11282" max="11282" width="13.85546875" style="30" customWidth="1"/>
    <col min="11283" max="11523" width="9.140625" style="30"/>
    <col min="11524" max="11524" width="2.7109375" style="30" customWidth="1"/>
    <col min="11525" max="11525" width="9.140625" style="30"/>
    <col min="11526" max="11526" width="40.28515625" style="30" bestFit="1" customWidth="1"/>
    <col min="11527" max="11527" width="12" style="30" customWidth="1"/>
    <col min="11528" max="11528" width="10" style="30" customWidth="1"/>
    <col min="11529" max="11529" width="14.85546875" style="30" customWidth="1"/>
    <col min="11530" max="11530" width="9.5703125" style="30" customWidth="1"/>
    <col min="11531" max="11532" width="12.28515625" style="30" customWidth="1"/>
    <col min="11533" max="11535" width="12.85546875" style="30" customWidth="1"/>
    <col min="11536" max="11536" width="12.7109375" style="30" customWidth="1"/>
    <col min="11537" max="11537" width="12.28515625" style="30" bestFit="1" customWidth="1"/>
    <col min="11538" max="11538" width="13.85546875" style="30" customWidth="1"/>
    <col min="11539" max="11779" width="9.140625" style="30"/>
    <col min="11780" max="11780" width="2.7109375" style="30" customWidth="1"/>
    <col min="11781" max="11781" width="9.140625" style="30"/>
    <col min="11782" max="11782" width="40.28515625" style="30" bestFit="1" customWidth="1"/>
    <col min="11783" max="11783" width="12" style="30" customWidth="1"/>
    <col min="11784" max="11784" width="10" style="30" customWidth="1"/>
    <col min="11785" max="11785" width="14.85546875" style="30" customWidth="1"/>
    <col min="11786" max="11786" width="9.5703125" style="30" customWidth="1"/>
    <col min="11787" max="11788" width="12.28515625" style="30" customWidth="1"/>
    <col min="11789" max="11791" width="12.85546875" style="30" customWidth="1"/>
    <col min="11792" max="11792" width="12.7109375" style="30" customWidth="1"/>
    <col min="11793" max="11793" width="12.28515625" style="30" bestFit="1" customWidth="1"/>
    <col min="11794" max="11794" width="13.85546875" style="30" customWidth="1"/>
    <col min="11795" max="12035" width="9.140625" style="30"/>
    <col min="12036" max="12036" width="2.7109375" style="30" customWidth="1"/>
    <col min="12037" max="12037" width="9.140625" style="30"/>
    <col min="12038" max="12038" width="40.28515625" style="30" bestFit="1" customWidth="1"/>
    <col min="12039" max="12039" width="12" style="30" customWidth="1"/>
    <col min="12040" max="12040" width="10" style="30" customWidth="1"/>
    <col min="12041" max="12041" width="14.85546875" style="30" customWidth="1"/>
    <col min="12042" max="12042" width="9.5703125" style="30" customWidth="1"/>
    <col min="12043" max="12044" width="12.28515625" style="30" customWidth="1"/>
    <col min="12045" max="12047" width="12.85546875" style="30" customWidth="1"/>
    <col min="12048" max="12048" width="12.7109375" style="30" customWidth="1"/>
    <col min="12049" max="12049" width="12.28515625" style="30" bestFit="1" customWidth="1"/>
    <col min="12050" max="12050" width="13.85546875" style="30" customWidth="1"/>
    <col min="12051" max="12291" width="9.140625" style="30"/>
    <col min="12292" max="12292" width="2.7109375" style="30" customWidth="1"/>
    <col min="12293" max="12293" width="9.140625" style="30"/>
    <col min="12294" max="12294" width="40.28515625" style="30" bestFit="1" customWidth="1"/>
    <col min="12295" max="12295" width="12" style="30" customWidth="1"/>
    <col min="12296" max="12296" width="10" style="30" customWidth="1"/>
    <col min="12297" max="12297" width="14.85546875" style="30" customWidth="1"/>
    <col min="12298" max="12298" width="9.5703125" style="30" customWidth="1"/>
    <col min="12299" max="12300" width="12.28515625" style="30" customWidth="1"/>
    <col min="12301" max="12303" width="12.85546875" style="30" customWidth="1"/>
    <col min="12304" max="12304" width="12.7109375" style="30" customWidth="1"/>
    <col min="12305" max="12305" width="12.28515625" style="30" bestFit="1" customWidth="1"/>
    <col min="12306" max="12306" width="13.85546875" style="30" customWidth="1"/>
    <col min="12307" max="12547" width="9.140625" style="30"/>
    <col min="12548" max="12548" width="2.7109375" style="30" customWidth="1"/>
    <col min="12549" max="12549" width="9.140625" style="30"/>
    <col min="12550" max="12550" width="40.28515625" style="30" bestFit="1" customWidth="1"/>
    <col min="12551" max="12551" width="12" style="30" customWidth="1"/>
    <col min="12552" max="12552" width="10" style="30" customWidth="1"/>
    <col min="12553" max="12553" width="14.85546875" style="30" customWidth="1"/>
    <col min="12554" max="12554" width="9.5703125" style="30" customWidth="1"/>
    <col min="12555" max="12556" width="12.28515625" style="30" customWidth="1"/>
    <col min="12557" max="12559" width="12.85546875" style="30" customWidth="1"/>
    <col min="12560" max="12560" width="12.7109375" style="30" customWidth="1"/>
    <col min="12561" max="12561" width="12.28515625" style="30" bestFit="1" customWidth="1"/>
    <col min="12562" max="12562" width="13.85546875" style="30" customWidth="1"/>
    <col min="12563" max="12803" width="9.140625" style="30"/>
    <col min="12804" max="12804" width="2.7109375" style="30" customWidth="1"/>
    <col min="12805" max="12805" width="9.140625" style="30"/>
    <col min="12806" max="12806" width="40.28515625" style="30" bestFit="1" customWidth="1"/>
    <col min="12807" max="12807" width="12" style="30" customWidth="1"/>
    <col min="12808" max="12808" width="10" style="30" customWidth="1"/>
    <col min="12809" max="12809" width="14.85546875" style="30" customWidth="1"/>
    <col min="12810" max="12810" width="9.5703125" style="30" customWidth="1"/>
    <col min="12811" max="12812" width="12.28515625" style="30" customWidth="1"/>
    <col min="12813" max="12815" width="12.85546875" style="30" customWidth="1"/>
    <col min="12816" max="12816" width="12.7109375" style="30" customWidth="1"/>
    <col min="12817" max="12817" width="12.28515625" style="30" bestFit="1" customWidth="1"/>
    <col min="12818" max="12818" width="13.85546875" style="30" customWidth="1"/>
    <col min="12819" max="13059" width="9.140625" style="30"/>
    <col min="13060" max="13060" width="2.7109375" style="30" customWidth="1"/>
    <col min="13061" max="13061" width="9.140625" style="30"/>
    <col min="13062" max="13062" width="40.28515625" style="30" bestFit="1" customWidth="1"/>
    <col min="13063" max="13063" width="12" style="30" customWidth="1"/>
    <col min="13064" max="13064" width="10" style="30" customWidth="1"/>
    <col min="13065" max="13065" width="14.85546875" style="30" customWidth="1"/>
    <col min="13066" max="13066" width="9.5703125" style="30" customWidth="1"/>
    <col min="13067" max="13068" width="12.28515625" style="30" customWidth="1"/>
    <col min="13069" max="13071" width="12.85546875" style="30" customWidth="1"/>
    <col min="13072" max="13072" width="12.7109375" style="30" customWidth="1"/>
    <col min="13073" max="13073" width="12.28515625" style="30" bestFit="1" customWidth="1"/>
    <col min="13074" max="13074" width="13.85546875" style="30" customWidth="1"/>
    <col min="13075" max="13315" width="9.140625" style="30"/>
    <col min="13316" max="13316" width="2.7109375" style="30" customWidth="1"/>
    <col min="13317" max="13317" width="9.140625" style="30"/>
    <col min="13318" max="13318" width="40.28515625" style="30" bestFit="1" customWidth="1"/>
    <col min="13319" max="13319" width="12" style="30" customWidth="1"/>
    <col min="13320" max="13320" width="10" style="30" customWidth="1"/>
    <col min="13321" max="13321" width="14.85546875" style="30" customWidth="1"/>
    <col min="13322" max="13322" width="9.5703125" style="30" customWidth="1"/>
    <col min="13323" max="13324" width="12.28515625" style="30" customWidth="1"/>
    <col min="13325" max="13327" width="12.85546875" style="30" customWidth="1"/>
    <col min="13328" max="13328" width="12.7109375" style="30" customWidth="1"/>
    <col min="13329" max="13329" width="12.28515625" style="30" bestFit="1" customWidth="1"/>
    <col min="13330" max="13330" width="13.85546875" style="30" customWidth="1"/>
    <col min="13331" max="13571" width="9.140625" style="30"/>
    <col min="13572" max="13572" width="2.7109375" style="30" customWidth="1"/>
    <col min="13573" max="13573" width="9.140625" style="30"/>
    <col min="13574" max="13574" width="40.28515625" style="30" bestFit="1" customWidth="1"/>
    <col min="13575" max="13575" width="12" style="30" customWidth="1"/>
    <col min="13576" max="13576" width="10" style="30" customWidth="1"/>
    <col min="13577" max="13577" width="14.85546875" style="30" customWidth="1"/>
    <col min="13578" max="13578" width="9.5703125" style="30" customWidth="1"/>
    <col min="13579" max="13580" width="12.28515625" style="30" customWidth="1"/>
    <col min="13581" max="13583" width="12.85546875" style="30" customWidth="1"/>
    <col min="13584" max="13584" width="12.7109375" style="30" customWidth="1"/>
    <col min="13585" max="13585" width="12.28515625" style="30" bestFit="1" customWidth="1"/>
    <col min="13586" max="13586" width="13.85546875" style="30" customWidth="1"/>
    <col min="13587" max="13827" width="9.140625" style="30"/>
    <col min="13828" max="13828" width="2.7109375" style="30" customWidth="1"/>
    <col min="13829" max="13829" width="9.140625" style="30"/>
    <col min="13830" max="13830" width="40.28515625" style="30" bestFit="1" customWidth="1"/>
    <col min="13831" max="13831" width="12" style="30" customWidth="1"/>
    <col min="13832" max="13832" width="10" style="30" customWidth="1"/>
    <col min="13833" max="13833" width="14.85546875" style="30" customWidth="1"/>
    <col min="13834" max="13834" width="9.5703125" style="30" customWidth="1"/>
    <col min="13835" max="13836" width="12.28515625" style="30" customWidth="1"/>
    <col min="13837" max="13839" width="12.85546875" style="30" customWidth="1"/>
    <col min="13840" max="13840" width="12.7109375" style="30" customWidth="1"/>
    <col min="13841" max="13841" width="12.28515625" style="30" bestFit="1" customWidth="1"/>
    <col min="13842" max="13842" width="13.85546875" style="30" customWidth="1"/>
    <col min="13843" max="14083" width="9.140625" style="30"/>
    <col min="14084" max="14084" width="2.7109375" style="30" customWidth="1"/>
    <col min="14085" max="14085" width="9.140625" style="30"/>
    <col min="14086" max="14086" width="40.28515625" style="30" bestFit="1" customWidth="1"/>
    <col min="14087" max="14087" width="12" style="30" customWidth="1"/>
    <col min="14088" max="14088" width="10" style="30" customWidth="1"/>
    <col min="14089" max="14089" width="14.85546875" style="30" customWidth="1"/>
    <col min="14090" max="14090" width="9.5703125" style="30" customWidth="1"/>
    <col min="14091" max="14092" width="12.28515625" style="30" customWidth="1"/>
    <col min="14093" max="14095" width="12.85546875" style="30" customWidth="1"/>
    <col min="14096" max="14096" width="12.7109375" style="30" customWidth="1"/>
    <col min="14097" max="14097" width="12.28515625" style="30" bestFit="1" customWidth="1"/>
    <col min="14098" max="14098" width="13.85546875" style="30" customWidth="1"/>
    <col min="14099" max="14339" width="9.140625" style="30"/>
    <col min="14340" max="14340" width="2.7109375" style="30" customWidth="1"/>
    <col min="14341" max="14341" width="9.140625" style="30"/>
    <col min="14342" max="14342" width="40.28515625" style="30" bestFit="1" customWidth="1"/>
    <col min="14343" max="14343" width="12" style="30" customWidth="1"/>
    <col min="14344" max="14344" width="10" style="30" customWidth="1"/>
    <col min="14345" max="14345" width="14.85546875" style="30" customWidth="1"/>
    <col min="14346" max="14346" width="9.5703125" style="30" customWidth="1"/>
    <col min="14347" max="14348" width="12.28515625" style="30" customWidth="1"/>
    <col min="14349" max="14351" width="12.85546875" style="30" customWidth="1"/>
    <col min="14352" max="14352" width="12.7109375" style="30" customWidth="1"/>
    <col min="14353" max="14353" width="12.28515625" style="30" bestFit="1" customWidth="1"/>
    <col min="14354" max="14354" width="13.85546875" style="30" customWidth="1"/>
    <col min="14355" max="14595" width="9.140625" style="30"/>
    <col min="14596" max="14596" width="2.7109375" style="30" customWidth="1"/>
    <col min="14597" max="14597" width="9.140625" style="30"/>
    <col min="14598" max="14598" width="40.28515625" style="30" bestFit="1" customWidth="1"/>
    <col min="14599" max="14599" width="12" style="30" customWidth="1"/>
    <col min="14600" max="14600" width="10" style="30" customWidth="1"/>
    <col min="14601" max="14601" width="14.85546875" style="30" customWidth="1"/>
    <col min="14602" max="14602" width="9.5703125" style="30" customWidth="1"/>
    <col min="14603" max="14604" width="12.28515625" style="30" customWidth="1"/>
    <col min="14605" max="14607" width="12.85546875" style="30" customWidth="1"/>
    <col min="14608" max="14608" width="12.7109375" style="30" customWidth="1"/>
    <col min="14609" max="14609" width="12.28515625" style="30" bestFit="1" customWidth="1"/>
    <col min="14610" max="14610" width="13.85546875" style="30" customWidth="1"/>
    <col min="14611" max="14851" width="9.140625" style="30"/>
    <col min="14852" max="14852" width="2.7109375" style="30" customWidth="1"/>
    <col min="14853" max="14853" width="9.140625" style="30"/>
    <col min="14854" max="14854" width="40.28515625" style="30" bestFit="1" customWidth="1"/>
    <col min="14855" max="14855" width="12" style="30" customWidth="1"/>
    <col min="14856" max="14856" width="10" style="30" customWidth="1"/>
    <col min="14857" max="14857" width="14.85546875" style="30" customWidth="1"/>
    <col min="14858" max="14858" width="9.5703125" style="30" customWidth="1"/>
    <col min="14859" max="14860" width="12.28515625" style="30" customWidth="1"/>
    <col min="14861" max="14863" width="12.85546875" style="30" customWidth="1"/>
    <col min="14864" max="14864" width="12.7109375" style="30" customWidth="1"/>
    <col min="14865" max="14865" width="12.28515625" style="30" bestFit="1" customWidth="1"/>
    <col min="14866" max="14866" width="13.85546875" style="30" customWidth="1"/>
    <col min="14867" max="15107" width="9.140625" style="30"/>
    <col min="15108" max="15108" width="2.7109375" style="30" customWidth="1"/>
    <col min="15109" max="15109" width="9.140625" style="30"/>
    <col min="15110" max="15110" width="40.28515625" style="30" bestFit="1" customWidth="1"/>
    <col min="15111" max="15111" width="12" style="30" customWidth="1"/>
    <col min="15112" max="15112" width="10" style="30" customWidth="1"/>
    <col min="15113" max="15113" width="14.85546875" style="30" customWidth="1"/>
    <col min="15114" max="15114" width="9.5703125" style="30" customWidth="1"/>
    <col min="15115" max="15116" width="12.28515625" style="30" customWidth="1"/>
    <col min="15117" max="15119" width="12.85546875" style="30" customWidth="1"/>
    <col min="15120" max="15120" width="12.7109375" style="30" customWidth="1"/>
    <col min="15121" max="15121" width="12.28515625" style="30" bestFit="1" customWidth="1"/>
    <col min="15122" max="15122" width="13.85546875" style="30" customWidth="1"/>
    <col min="15123" max="15363" width="9.140625" style="30"/>
    <col min="15364" max="15364" width="2.7109375" style="30" customWidth="1"/>
    <col min="15365" max="15365" width="9.140625" style="30"/>
    <col min="15366" max="15366" width="40.28515625" style="30" bestFit="1" customWidth="1"/>
    <col min="15367" max="15367" width="12" style="30" customWidth="1"/>
    <col min="15368" max="15368" width="10" style="30" customWidth="1"/>
    <col min="15369" max="15369" width="14.85546875" style="30" customWidth="1"/>
    <col min="15370" max="15370" width="9.5703125" style="30" customWidth="1"/>
    <col min="15371" max="15372" width="12.28515625" style="30" customWidth="1"/>
    <col min="15373" max="15375" width="12.85546875" style="30" customWidth="1"/>
    <col min="15376" max="15376" width="12.7109375" style="30" customWidth="1"/>
    <col min="15377" max="15377" width="12.28515625" style="30" bestFit="1" customWidth="1"/>
    <col min="15378" max="15378" width="13.85546875" style="30" customWidth="1"/>
    <col min="15379" max="15619" width="9.140625" style="30"/>
    <col min="15620" max="15620" width="2.7109375" style="30" customWidth="1"/>
    <col min="15621" max="15621" width="9.140625" style="30"/>
    <col min="15622" max="15622" width="40.28515625" style="30" bestFit="1" customWidth="1"/>
    <col min="15623" max="15623" width="12" style="30" customWidth="1"/>
    <col min="15624" max="15624" width="10" style="30" customWidth="1"/>
    <col min="15625" max="15625" width="14.85546875" style="30" customWidth="1"/>
    <col min="15626" max="15626" width="9.5703125" style="30" customWidth="1"/>
    <col min="15627" max="15628" width="12.28515625" style="30" customWidth="1"/>
    <col min="15629" max="15631" width="12.85546875" style="30" customWidth="1"/>
    <col min="15632" max="15632" width="12.7109375" style="30" customWidth="1"/>
    <col min="15633" max="15633" width="12.28515625" style="30" bestFit="1" customWidth="1"/>
    <col min="15634" max="15634" width="13.85546875" style="30" customWidth="1"/>
    <col min="15635" max="15875" width="9.140625" style="30"/>
    <col min="15876" max="15876" width="2.7109375" style="30" customWidth="1"/>
    <col min="15877" max="15877" width="9.140625" style="30"/>
    <col min="15878" max="15878" width="40.28515625" style="30" bestFit="1" customWidth="1"/>
    <col min="15879" max="15879" width="12" style="30" customWidth="1"/>
    <col min="15880" max="15880" width="10" style="30" customWidth="1"/>
    <col min="15881" max="15881" width="14.85546875" style="30" customWidth="1"/>
    <col min="15882" max="15882" width="9.5703125" style="30" customWidth="1"/>
    <col min="15883" max="15884" width="12.28515625" style="30" customWidth="1"/>
    <col min="15885" max="15887" width="12.85546875" style="30" customWidth="1"/>
    <col min="15888" max="15888" width="12.7109375" style="30" customWidth="1"/>
    <col min="15889" max="15889" width="12.28515625" style="30" bestFit="1" customWidth="1"/>
    <col min="15890" max="15890" width="13.85546875" style="30" customWidth="1"/>
    <col min="15891" max="16131" width="9.140625" style="30"/>
    <col min="16132" max="16132" width="2.7109375" style="30" customWidth="1"/>
    <col min="16133" max="16133" width="9.140625" style="30"/>
    <col min="16134" max="16134" width="40.28515625" style="30" bestFit="1" customWidth="1"/>
    <col min="16135" max="16135" width="12" style="30" customWidth="1"/>
    <col min="16136" max="16136" width="10" style="30" customWidth="1"/>
    <col min="16137" max="16137" width="14.85546875" style="30" customWidth="1"/>
    <col min="16138" max="16138" width="9.5703125" style="30" customWidth="1"/>
    <col min="16139" max="16140" width="12.28515625" style="30" customWidth="1"/>
    <col min="16141" max="16143" width="12.85546875" style="30" customWidth="1"/>
    <col min="16144" max="16144" width="12.7109375" style="30" customWidth="1"/>
    <col min="16145" max="16145" width="12.28515625" style="30" bestFit="1" customWidth="1"/>
    <col min="16146" max="16146" width="13.85546875" style="30" customWidth="1"/>
    <col min="16147" max="16384" width="9.140625" style="30"/>
  </cols>
  <sheetData>
    <row r="1" spans="1:19" ht="18">
      <c r="A1" s="118"/>
      <c r="Q1" s="31" t="s">
        <v>131</v>
      </c>
      <c r="R1" s="32" t="str">
        <f>'LDC Info'!$E$18</f>
        <v>EB-2012-0126</v>
      </c>
      <c r="S1" s="61"/>
    </row>
    <row r="2" spans="1:19">
      <c r="Q2" s="31" t="s">
        <v>132</v>
      </c>
      <c r="R2" s="33"/>
      <c r="S2" s="61"/>
    </row>
    <row r="3" spans="1:19">
      <c r="Q3" s="31" t="s">
        <v>133</v>
      </c>
      <c r="R3" s="33"/>
      <c r="S3" s="61"/>
    </row>
    <row r="4" spans="1:19">
      <c r="Q4" s="31" t="s">
        <v>134</v>
      </c>
      <c r="R4" s="33"/>
      <c r="S4" s="61"/>
    </row>
    <row r="5" spans="1:19">
      <c r="Q5" s="31" t="s">
        <v>135</v>
      </c>
      <c r="R5" s="34"/>
      <c r="S5" s="61"/>
    </row>
    <row r="6" spans="1:19">
      <c r="Q6" s="31"/>
      <c r="R6" s="32"/>
      <c r="S6" s="61"/>
    </row>
    <row r="7" spans="1:19">
      <c r="Q7" s="31" t="s">
        <v>136</v>
      </c>
      <c r="R7" s="34" t="s">
        <v>1171</v>
      </c>
      <c r="S7" s="122"/>
    </row>
    <row r="9" spans="1:19" ht="18">
      <c r="A9" s="1132" t="s">
        <v>363</v>
      </c>
      <c r="B9" s="1132"/>
      <c r="C9" s="1132"/>
      <c r="D9" s="1132"/>
      <c r="E9" s="1132"/>
      <c r="F9" s="1132"/>
      <c r="G9" s="1132"/>
      <c r="H9" s="1132"/>
      <c r="I9" s="1132"/>
      <c r="J9" s="1132"/>
      <c r="K9" s="1132"/>
      <c r="L9" s="1132"/>
      <c r="M9" s="1132"/>
      <c r="N9" s="1132"/>
      <c r="O9" s="1132"/>
      <c r="P9" s="1132"/>
      <c r="Q9" s="1132"/>
      <c r="R9" s="1132"/>
    </row>
    <row r="10" spans="1:19" ht="18">
      <c r="A10" s="1132" t="s">
        <v>364</v>
      </c>
      <c r="B10" s="1132"/>
      <c r="C10" s="1132"/>
      <c r="D10" s="1132"/>
      <c r="E10" s="1132"/>
      <c r="F10" s="1132"/>
      <c r="G10" s="1132"/>
      <c r="H10" s="1132"/>
      <c r="I10" s="1132"/>
      <c r="J10" s="1132"/>
      <c r="K10" s="1132"/>
      <c r="L10" s="1132"/>
      <c r="M10" s="1132"/>
      <c r="N10" s="1132"/>
      <c r="O10" s="1132"/>
      <c r="P10" s="1132"/>
      <c r="Q10" s="1132"/>
      <c r="R10" s="1132"/>
    </row>
    <row r="11" spans="1:19" ht="22.5" customHeight="1">
      <c r="A11" s="1133" t="s">
        <v>332</v>
      </c>
      <c r="B11" s="1133"/>
      <c r="C11" s="1133"/>
      <c r="D11" s="1133"/>
      <c r="E11" s="1133"/>
      <c r="F11" s="1133"/>
      <c r="G11" s="1133"/>
      <c r="H11" s="1133"/>
      <c r="I11" s="1133"/>
      <c r="J11" s="1133"/>
      <c r="K11" s="1133"/>
      <c r="L11" s="1133"/>
      <c r="M11" s="1133"/>
      <c r="N11" s="1133"/>
      <c r="O11" s="1133"/>
      <c r="P11" s="1133"/>
      <c r="Q11" s="1133"/>
      <c r="R11" s="1133"/>
    </row>
    <row r="12" spans="1:19" ht="13.5" customHeight="1">
      <c r="A12" s="123"/>
      <c r="B12" s="123"/>
      <c r="C12" s="124" t="s">
        <v>333</v>
      </c>
      <c r="D12" s="124"/>
      <c r="E12" s="124">
        <v>2013</v>
      </c>
      <c r="F12" s="201" t="s">
        <v>365</v>
      </c>
      <c r="G12" s="124"/>
      <c r="H12" s="123"/>
      <c r="I12" s="123"/>
      <c r="J12" s="123"/>
      <c r="K12" s="123"/>
      <c r="L12" s="123"/>
      <c r="M12" s="123"/>
      <c r="N12" s="123"/>
      <c r="O12" s="123"/>
    </row>
    <row r="13" spans="1:19" ht="13.5" thickBot="1"/>
    <row r="14" spans="1:19" ht="69" customHeight="1">
      <c r="A14" s="1134" t="s">
        <v>334</v>
      </c>
      <c r="B14" s="1136" t="s">
        <v>279</v>
      </c>
      <c r="C14" s="126" t="s">
        <v>366</v>
      </c>
      <c r="D14" s="126" t="s">
        <v>367</v>
      </c>
      <c r="E14" s="126" t="s">
        <v>282</v>
      </c>
      <c r="F14" s="126" t="s">
        <v>368</v>
      </c>
      <c r="G14" s="126" t="s">
        <v>369</v>
      </c>
      <c r="H14" s="126" t="s">
        <v>370</v>
      </c>
      <c r="I14" s="126" t="s">
        <v>371</v>
      </c>
      <c r="J14" s="202" t="s">
        <v>372</v>
      </c>
      <c r="K14" s="202" t="s">
        <v>373</v>
      </c>
      <c r="L14" s="127" t="s">
        <v>374</v>
      </c>
      <c r="M14" s="127" t="s">
        <v>375</v>
      </c>
      <c r="N14" s="1138" t="s">
        <v>376</v>
      </c>
      <c r="O14" s="127" t="s">
        <v>342</v>
      </c>
      <c r="P14" s="127" t="s">
        <v>377</v>
      </c>
      <c r="Q14" s="1138" t="s">
        <v>378</v>
      </c>
      <c r="R14" s="127" t="s">
        <v>379</v>
      </c>
    </row>
    <row r="15" spans="1:19" ht="19.5" customHeight="1" thickBot="1">
      <c r="A15" s="1135"/>
      <c r="B15" s="1137"/>
      <c r="C15" s="128" t="s">
        <v>343</v>
      </c>
      <c r="D15" s="128"/>
      <c r="E15" s="128" t="s">
        <v>346</v>
      </c>
      <c r="F15" s="203" t="s">
        <v>380</v>
      </c>
      <c r="G15" s="203"/>
      <c r="H15" s="128" t="s">
        <v>348</v>
      </c>
      <c r="I15" s="128" t="s">
        <v>349</v>
      </c>
      <c r="J15" s="204" t="s">
        <v>381</v>
      </c>
      <c r="K15" s="204"/>
      <c r="L15" s="130" t="s">
        <v>382</v>
      </c>
      <c r="M15" s="205" t="s">
        <v>383</v>
      </c>
      <c r="N15" s="1139"/>
      <c r="O15" s="130" t="s">
        <v>384</v>
      </c>
      <c r="P15" s="130" t="s">
        <v>385</v>
      </c>
      <c r="Q15" s="1145"/>
      <c r="R15" s="205" t="s">
        <v>386</v>
      </c>
    </row>
    <row r="16" spans="1:19">
      <c r="A16" s="131">
        <v>1611</v>
      </c>
      <c r="B16" s="132" t="s">
        <v>286</v>
      </c>
      <c r="C16" s="175">
        <f>'App.2-B_Fixed Asset Con''ty 2012'!N16</f>
        <v>527093.74600000028</v>
      </c>
      <c r="D16" s="175">
        <v>193368</v>
      </c>
      <c r="E16" s="175">
        <f>'App.2-B_Fixed Asset Con''ty 2013'!H16</f>
        <v>308450.21999999997</v>
      </c>
      <c r="F16" s="206">
        <v>2.350916898798121</v>
      </c>
      <c r="G16" s="206">
        <v>3.5113530443511523</v>
      </c>
      <c r="H16" s="206">
        <v>5</v>
      </c>
      <c r="I16" s="207">
        <f t="shared" ref="I16:I59" si="0">IF(H16=0,0,1/H16)</f>
        <v>0.2</v>
      </c>
      <c r="J16" s="208">
        <f>IF(F16=0,0,+C16/F16)</f>
        <v>224207.73200000002</v>
      </c>
      <c r="K16" s="208">
        <f>IF(G16=0,0,+D16/G16)</f>
        <v>55069.369999999995</v>
      </c>
      <c r="L16" s="208">
        <f t="shared" ref="L16:L59" si="1">IF(H16=0,0,+(E16*0.5)/H16)</f>
        <v>30845.021999999997</v>
      </c>
      <c r="M16" s="209">
        <f>IF(ISERROR(+J16+L16), 0, +J16+K16+L16)</f>
        <v>310122.12400000001</v>
      </c>
      <c r="N16" s="210">
        <f>-'App.2-B_Fixed Asset Con''ty 2013'!O16</f>
        <v>310122.12400000001</v>
      </c>
      <c r="O16" s="211">
        <f t="shared" ref="O16:O59" si="2">IF(ISERROR(+M16-N16), 0, +M16-N16)</f>
        <v>0</v>
      </c>
      <c r="P16" s="208">
        <f t="shared" ref="P16:P59" si="3">IF(H16=0,0,+(E16)/H16)</f>
        <v>61690.043999999994</v>
      </c>
      <c r="Q16" s="212"/>
      <c r="R16" s="213">
        <f>IF(ISERROR(+P16+J16-Q16), 0, +P16+J16-Q16)</f>
        <v>285897.77600000001</v>
      </c>
    </row>
    <row r="17" spans="1:18">
      <c r="A17" s="139">
        <v>1612</v>
      </c>
      <c r="B17" s="140" t="s">
        <v>288</v>
      </c>
      <c r="C17" s="175">
        <f>'App.2-B_Fixed Asset Con''ty 2012'!N17</f>
        <v>0</v>
      </c>
      <c r="D17" s="175"/>
      <c r="E17" s="175"/>
      <c r="F17" s="214"/>
      <c r="G17" s="214"/>
      <c r="H17" s="214"/>
      <c r="I17" s="215">
        <f t="shared" si="0"/>
        <v>0</v>
      </c>
      <c r="J17" s="216">
        <f t="shared" ref="J17:K59" si="4">IF(F17=0,0,+C17/F17)</f>
        <v>0</v>
      </c>
      <c r="K17" s="208">
        <f t="shared" si="4"/>
        <v>0</v>
      </c>
      <c r="L17" s="216">
        <f t="shared" si="1"/>
        <v>0</v>
      </c>
      <c r="M17" s="209">
        <f t="shared" ref="M17:M59" si="5">IF(ISERROR(+J17+L17), 0, +J17+K17+L17)</f>
        <v>0</v>
      </c>
      <c r="N17" s="210"/>
      <c r="O17" s="217">
        <f t="shared" si="2"/>
        <v>0</v>
      </c>
      <c r="P17" s="216">
        <f t="shared" si="3"/>
        <v>0</v>
      </c>
      <c r="Q17" s="212"/>
      <c r="R17" s="213">
        <f t="shared" ref="R17:R59" si="6">IF(ISERROR(+P17+J17-Q17), 0, +P17+J17-Q17)</f>
        <v>0</v>
      </c>
    </row>
    <row r="18" spans="1:18">
      <c r="A18" s="146">
        <v>1805</v>
      </c>
      <c r="B18" s="147" t="s">
        <v>163</v>
      </c>
      <c r="C18" s="175">
        <f>'App.2-B_Fixed Asset Con''ty 2012'!N18</f>
        <v>858551.46</v>
      </c>
      <c r="D18" s="175"/>
      <c r="E18" s="175">
        <f>'App.2-B_Fixed Asset Con''ty 2013'!H18</f>
        <v>10699.21</v>
      </c>
      <c r="F18" s="214"/>
      <c r="G18" s="214"/>
      <c r="H18" s="214"/>
      <c r="I18" s="215">
        <f t="shared" si="0"/>
        <v>0</v>
      </c>
      <c r="J18" s="216">
        <f t="shared" si="4"/>
        <v>0</v>
      </c>
      <c r="K18" s="208">
        <f t="shared" si="4"/>
        <v>0</v>
      </c>
      <c r="L18" s="216">
        <f t="shared" si="1"/>
        <v>0</v>
      </c>
      <c r="M18" s="209">
        <f t="shared" si="5"/>
        <v>0</v>
      </c>
      <c r="N18" s="210"/>
      <c r="O18" s="217">
        <f t="shared" si="2"/>
        <v>0</v>
      </c>
      <c r="P18" s="216">
        <f t="shared" si="3"/>
        <v>0</v>
      </c>
      <c r="Q18" s="212"/>
      <c r="R18" s="213">
        <f t="shared" si="6"/>
        <v>0</v>
      </c>
    </row>
    <row r="19" spans="1:18">
      <c r="A19" s="139">
        <v>1808</v>
      </c>
      <c r="B19" s="148" t="s">
        <v>162</v>
      </c>
      <c r="C19" s="175">
        <f>'App.2-B_Fixed Asset Con''ty 2012'!N19</f>
        <v>4765863.4635498226</v>
      </c>
      <c r="D19" s="175"/>
      <c r="E19" s="175"/>
      <c r="F19" s="214">
        <v>20.195179246644326</v>
      </c>
      <c r="G19" s="214"/>
      <c r="H19" s="214">
        <v>50</v>
      </c>
      <c r="I19" s="215">
        <f t="shared" si="0"/>
        <v>0.02</v>
      </c>
      <c r="J19" s="216">
        <f t="shared" si="4"/>
        <v>235990.15415234448</v>
      </c>
      <c r="K19" s="208">
        <f t="shared" si="4"/>
        <v>0</v>
      </c>
      <c r="L19" s="216">
        <f t="shared" si="1"/>
        <v>0</v>
      </c>
      <c r="M19" s="209">
        <f t="shared" si="5"/>
        <v>235990.15415234448</v>
      </c>
      <c r="N19" s="210">
        <f>-'App.2-B_Fixed Asset Con''ty 2013'!O19</f>
        <v>235990.15415234448</v>
      </c>
      <c r="O19" s="217">
        <f t="shared" si="2"/>
        <v>0</v>
      </c>
      <c r="P19" s="216">
        <f t="shared" si="3"/>
        <v>0</v>
      </c>
      <c r="Q19" s="212"/>
      <c r="R19" s="213">
        <f t="shared" si="6"/>
        <v>235990.15415234448</v>
      </c>
    </row>
    <row r="20" spans="1:18">
      <c r="A20" s="139">
        <v>1808</v>
      </c>
      <c r="B20" s="148" t="s">
        <v>290</v>
      </c>
      <c r="C20" s="175">
        <f>'App.2-B_Fixed Asset Con''ty 2012'!N20</f>
        <v>738833.17999999993</v>
      </c>
      <c r="D20" s="175"/>
      <c r="E20" s="175">
        <f>'App.2-B_Fixed Asset Con''ty 2013'!H20</f>
        <v>1036536</v>
      </c>
      <c r="F20" s="214">
        <v>10.893316399229354</v>
      </c>
      <c r="G20" s="214"/>
      <c r="H20" s="214">
        <v>25</v>
      </c>
      <c r="I20" s="215">
        <f t="shared" si="0"/>
        <v>0.04</v>
      </c>
      <c r="J20" s="216">
        <f t="shared" si="4"/>
        <v>67824.448764957255</v>
      </c>
      <c r="K20" s="208">
        <f t="shared" si="4"/>
        <v>0</v>
      </c>
      <c r="L20" s="216">
        <f t="shared" si="1"/>
        <v>20730.72</v>
      </c>
      <c r="M20" s="209">
        <f t="shared" si="5"/>
        <v>88555.168764957256</v>
      </c>
      <c r="N20" s="210">
        <f>-'App.2-B_Fixed Asset Con''ty 2013'!O20</f>
        <v>88555.168764957256</v>
      </c>
      <c r="O20" s="217">
        <f t="shared" si="2"/>
        <v>0</v>
      </c>
      <c r="P20" s="216">
        <f t="shared" si="3"/>
        <v>41461.440000000002</v>
      </c>
      <c r="Q20" s="212"/>
      <c r="R20" s="213">
        <f t="shared" si="6"/>
        <v>109285.88876495726</v>
      </c>
    </row>
    <row r="21" spans="1:18">
      <c r="A21" s="139">
        <v>1815</v>
      </c>
      <c r="B21" s="148" t="s">
        <v>291</v>
      </c>
      <c r="C21" s="175">
        <f>'App.2-B_Fixed Asset Con''ty 2012'!N21</f>
        <v>0</v>
      </c>
      <c r="D21" s="175"/>
      <c r="E21" s="175"/>
      <c r="F21" s="214"/>
      <c r="G21" s="214"/>
      <c r="H21" s="214"/>
      <c r="I21" s="215">
        <f t="shared" si="0"/>
        <v>0</v>
      </c>
      <c r="J21" s="216">
        <f t="shared" si="4"/>
        <v>0</v>
      </c>
      <c r="K21" s="208">
        <f t="shared" si="4"/>
        <v>0</v>
      </c>
      <c r="L21" s="216">
        <f t="shared" si="1"/>
        <v>0</v>
      </c>
      <c r="M21" s="209">
        <f t="shared" si="5"/>
        <v>0</v>
      </c>
      <c r="N21" s="210"/>
      <c r="O21" s="217">
        <f t="shared" si="2"/>
        <v>0</v>
      </c>
      <c r="P21" s="216">
        <f t="shared" si="3"/>
        <v>0</v>
      </c>
      <c r="Q21" s="212"/>
      <c r="R21" s="213">
        <f t="shared" si="6"/>
        <v>0</v>
      </c>
    </row>
    <row r="22" spans="1:18">
      <c r="A22" s="139">
        <v>1820</v>
      </c>
      <c r="B22" s="140" t="s">
        <v>292</v>
      </c>
      <c r="C22" s="175">
        <f>'App.2-B_Fixed Asset Con''ty 2012'!N22</f>
        <v>6320917.7628508974</v>
      </c>
      <c r="D22" s="175"/>
      <c r="E22" s="175">
        <f>'App.2-B_Fixed Asset Con''ty 2013'!H22-E23-E24</f>
        <v>991480.26438680943</v>
      </c>
      <c r="F22" s="214">
        <v>13.279402162751509</v>
      </c>
      <c r="G22" s="214"/>
      <c r="H22" s="214">
        <v>20</v>
      </c>
      <c r="I22" s="215">
        <f t="shared" si="0"/>
        <v>0.05</v>
      </c>
      <c r="J22" s="216">
        <f t="shared" si="4"/>
        <v>475994.15134673467</v>
      </c>
      <c r="K22" s="208">
        <f t="shared" si="4"/>
        <v>0</v>
      </c>
      <c r="L22" s="216">
        <f t="shared" si="1"/>
        <v>24787.006609670236</v>
      </c>
      <c r="M22" s="209">
        <f t="shared" si="5"/>
        <v>500781.1579564049</v>
      </c>
      <c r="N22" s="210">
        <v>500781.16</v>
      </c>
      <c r="O22" s="217">
        <f t="shared" si="2"/>
        <v>-2.0435950718820095E-3</v>
      </c>
      <c r="P22" s="216">
        <f t="shared" si="3"/>
        <v>49574.013219340472</v>
      </c>
      <c r="Q22" s="212"/>
      <c r="R22" s="213">
        <f t="shared" si="6"/>
        <v>525568.1645660752</v>
      </c>
    </row>
    <row r="23" spans="1:18">
      <c r="A23" s="139">
        <v>1820</v>
      </c>
      <c r="B23" s="140" t="s">
        <v>292</v>
      </c>
      <c r="C23" s="175">
        <v>0</v>
      </c>
      <c r="D23" s="175"/>
      <c r="E23" s="175">
        <v>94870.674563456676</v>
      </c>
      <c r="F23" s="214"/>
      <c r="G23" s="214"/>
      <c r="H23" s="214">
        <v>25</v>
      </c>
      <c r="I23" s="215">
        <f t="shared" si="0"/>
        <v>0.04</v>
      </c>
      <c r="J23" s="216">
        <f t="shared" si="4"/>
        <v>0</v>
      </c>
      <c r="K23" s="208">
        <f t="shared" si="4"/>
        <v>0</v>
      </c>
      <c r="L23" s="216">
        <f t="shared" si="1"/>
        <v>1897.4134912691336</v>
      </c>
      <c r="M23" s="209">
        <f t="shared" si="5"/>
        <v>1897.4134912691336</v>
      </c>
      <c r="N23" s="210">
        <v>1897.41</v>
      </c>
      <c r="O23" s="217">
        <f t="shared" si="2"/>
        <v>3.4912691335193813E-3</v>
      </c>
      <c r="P23" s="216">
        <f t="shared" si="3"/>
        <v>3794.8269825382672</v>
      </c>
      <c r="Q23" s="212"/>
      <c r="R23" s="213">
        <f t="shared" si="6"/>
        <v>3794.8269825382672</v>
      </c>
    </row>
    <row r="24" spans="1:18">
      <c r="A24" s="139">
        <v>1820</v>
      </c>
      <c r="B24" s="140" t="s">
        <v>292</v>
      </c>
      <c r="C24" s="175">
        <v>0</v>
      </c>
      <c r="D24" s="175"/>
      <c r="E24" s="175">
        <v>1726646.277054911</v>
      </c>
      <c r="F24" s="214"/>
      <c r="G24" s="214"/>
      <c r="H24" s="214">
        <v>45</v>
      </c>
      <c r="I24" s="215">
        <f t="shared" si="0"/>
        <v>2.2222222222222223E-2</v>
      </c>
      <c r="J24" s="216">
        <f t="shared" si="4"/>
        <v>0</v>
      </c>
      <c r="K24" s="208">
        <f t="shared" si="4"/>
        <v>0</v>
      </c>
      <c r="L24" s="216">
        <f t="shared" si="1"/>
        <v>19184.958633943457</v>
      </c>
      <c r="M24" s="209">
        <f t="shared" si="5"/>
        <v>19184.958633943457</v>
      </c>
      <c r="N24" s="210">
        <v>19184.96</v>
      </c>
      <c r="O24" s="217">
        <f t="shared" si="2"/>
        <v>-1.3660565418831538E-3</v>
      </c>
      <c r="P24" s="216">
        <f t="shared" si="3"/>
        <v>38369.917267886914</v>
      </c>
      <c r="Q24" s="212"/>
      <c r="R24" s="213">
        <f t="shared" si="6"/>
        <v>38369.917267886914</v>
      </c>
    </row>
    <row r="25" spans="1:18">
      <c r="A25" s="139">
        <v>1825</v>
      </c>
      <c r="B25" s="148" t="s">
        <v>293</v>
      </c>
      <c r="C25" s="175">
        <f>'App.2-B_Fixed Asset Con''ty 2012'!N23</f>
        <v>0</v>
      </c>
      <c r="D25" s="175"/>
      <c r="E25" s="175"/>
      <c r="F25" s="214"/>
      <c r="G25" s="214"/>
      <c r="H25" s="214"/>
      <c r="I25" s="215">
        <f t="shared" si="0"/>
        <v>0</v>
      </c>
      <c r="J25" s="216">
        <f t="shared" si="4"/>
        <v>0</v>
      </c>
      <c r="K25" s="208">
        <f t="shared" si="4"/>
        <v>0</v>
      </c>
      <c r="L25" s="216">
        <f t="shared" si="1"/>
        <v>0</v>
      </c>
      <c r="M25" s="209">
        <f t="shared" si="5"/>
        <v>0</v>
      </c>
      <c r="N25" s="210"/>
      <c r="O25" s="217">
        <f t="shared" si="2"/>
        <v>0</v>
      </c>
      <c r="P25" s="216">
        <f t="shared" si="3"/>
        <v>0</v>
      </c>
      <c r="Q25" s="212"/>
      <c r="R25" s="213">
        <f t="shared" si="6"/>
        <v>0</v>
      </c>
    </row>
    <row r="26" spans="1:18">
      <c r="A26" s="139">
        <v>1830</v>
      </c>
      <c r="B26" s="148" t="s">
        <v>146</v>
      </c>
      <c r="C26" s="175">
        <f>'App.2-B_Fixed Asset Con''ty 2012'!N24</f>
        <v>10192007.32993657</v>
      </c>
      <c r="D26" s="175"/>
      <c r="E26" s="175">
        <f>'App.2-B_Fixed Asset Con''ty 2013'!H24</f>
        <v>1537422.6544616111</v>
      </c>
      <c r="F26" s="214">
        <v>28.500772003040101</v>
      </c>
      <c r="G26" s="214"/>
      <c r="H26" s="214">
        <v>40</v>
      </c>
      <c r="I26" s="215">
        <f t="shared" si="0"/>
        <v>2.5000000000000001E-2</v>
      </c>
      <c r="J26" s="216">
        <f t="shared" si="4"/>
        <v>357604.60554715554</v>
      </c>
      <c r="K26" s="208">
        <f t="shared" si="4"/>
        <v>0</v>
      </c>
      <c r="L26" s="216">
        <f t="shared" si="1"/>
        <v>19217.783180770137</v>
      </c>
      <c r="M26" s="209">
        <f t="shared" si="5"/>
        <v>376822.38872792566</v>
      </c>
      <c r="N26" s="210">
        <f>-'App.2-B_Fixed Asset Con''ty 2013'!O24</f>
        <v>376822.38872792566</v>
      </c>
      <c r="O26" s="217">
        <f t="shared" si="2"/>
        <v>0</v>
      </c>
      <c r="P26" s="216">
        <f t="shared" si="3"/>
        <v>38435.566361540274</v>
      </c>
      <c r="Q26" s="212"/>
      <c r="R26" s="213">
        <f t="shared" si="6"/>
        <v>396040.17190869583</v>
      </c>
    </row>
    <row r="27" spans="1:18">
      <c r="A27" s="139">
        <v>1835</v>
      </c>
      <c r="B27" s="148" t="s">
        <v>152</v>
      </c>
      <c r="C27" s="175">
        <f>'App.2-B_Fixed Asset Con''ty 2012'!N25</f>
        <v>13712091.43912968</v>
      </c>
      <c r="D27" s="175"/>
      <c r="E27" s="175">
        <f>'App.2-B_Fixed Asset Con''ty 2013'!H25</f>
        <v>1532555.7902529691</v>
      </c>
      <c r="F27" s="214">
        <v>21.284926174099763</v>
      </c>
      <c r="G27" s="214"/>
      <c r="H27" s="214">
        <v>40</v>
      </c>
      <c r="I27" s="215">
        <f t="shared" si="0"/>
        <v>2.5000000000000001E-2</v>
      </c>
      <c r="J27" s="216">
        <f t="shared" si="4"/>
        <v>644216.0676044547</v>
      </c>
      <c r="K27" s="208">
        <f t="shared" si="4"/>
        <v>0</v>
      </c>
      <c r="L27" s="216">
        <f t="shared" si="1"/>
        <v>19156.947378162113</v>
      </c>
      <c r="M27" s="209">
        <f t="shared" si="5"/>
        <v>663373.01498261676</v>
      </c>
      <c r="N27" s="210">
        <f>-'App.2-B_Fixed Asset Con''ty 2013'!O25</f>
        <v>663373.01498261676</v>
      </c>
      <c r="O27" s="217">
        <f t="shared" si="2"/>
        <v>0</v>
      </c>
      <c r="P27" s="216">
        <f t="shared" si="3"/>
        <v>38313.894756324225</v>
      </c>
      <c r="Q27" s="212"/>
      <c r="R27" s="213">
        <f t="shared" si="6"/>
        <v>682529.96236077894</v>
      </c>
    </row>
    <row r="28" spans="1:18">
      <c r="A28" s="139">
        <v>1840</v>
      </c>
      <c r="B28" s="148" t="s">
        <v>294</v>
      </c>
      <c r="C28" s="175">
        <f>'App.2-B_Fixed Asset Con''ty 2012'!N26</f>
        <v>8676430.645756755</v>
      </c>
      <c r="D28" s="175"/>
      <c r="E28" s="175">
        <f>'App.2-B_Fixed Asset Con''ty 2013'!H26</f>
        <v>420638.96937380987</v>
      </c>
      <c r="F28" s="214">
        <v>35.953282547202853</v>
      </c>
      <c r="G28" s="214"/>
      <c r="H28" s="214">
        <v>50</v>
      </c>
      <c r="I28" s="215">
        <f t="shared" si="0"/>
        <v>0.02</v>
      </c>
      <c r="J28" s="216">
        <f t="shared" si="4"/>
        <v>241325.13170015896</v>
      </c>
      <c r="K28" s="208">
        <f t="shared" si="4"/>
        <v>0</v>
      </c>
      <c r="L28" s="216">
        <f t="shared" si="1"/>
        <v>4206.3896937380987</v>
      </c>
      <c r="M28" s="209">
        <f t="shared" si="5"/>
        <v>245531.52139389707</v>
      </c>
      <c r="N28" s="210">
        <f>-'App.2-B_Fixed Asset Con''ty 2013'!O26</f>
        <v>245531.52139389707</v>
      </c>
      <c r="O28" s="217">
        <f t="shared" si="2"/>
        <v>0</v>
      </c>
      <c r="P28" s="216">
        <f t="shared" si="3"/>
        <v>8412.7793874761974</v>
      </c>
      <c r="Q28" s="212"/>
      <c r="R28" s="213">
        <f t="shared" si="6"/>
        <v>249737.91108763515</v>
      </c>
    </row>
    <row r="29" spans="1:18">
      <c r="A29" s="139">
        <v>1845</v>
      </c>
      <c r="B29" s="148" t="s">
        <v>295</v>
      </c>
      <c r="C29" s="175">
        <f>'App.2-B_Fixed Asset Con''ty 2012'!N27</f>
        <v>9608177.4509269707</v>
      </c>
      <c r="D29" s="175"/>
      <c r="E29" s="175">
        <f>'App.2-B_Fixed Asset Con''ty 2013'!H27</f>
        <v>497561.55939848791</v>
      </c>
      <c r="F29" s="214">
        <v>22.892674615920892</v>
      </c>
      <c r="G29" s="214"/>
      <c r="H29" s="214">
        <v>40</v>
      </c>
      <c r="I29" s="215">
        <f t="shared" si="0"/>
        <v>2.5000000000000001E-2</v>
      </c>
      <c r="J29" s="216">
        <f t="shared" si="4"/>
        <v>419705.32548629714</v>
      </c>
      <c r="K29" s="208">
        <f t="shared" si="4"/>
        <v>0</v>
      </c>
      <c r="L29" s="216">
        <f t="shared" si="1"/>
        <v>6219.5194924810985</v>
      </c>
      <c r="M29" s="209">
        <f t="shared" si="5"/>
        <v>425924.84497877822</v>
      </c>
      <c r="N29" s="210">
        <f>-'App.2-B_Fixed Asset Con''ty 2013'!O27</f>
        <v>425924.84497877822</v>
      </c>
      <c r="O29" s="217">
        <f t="shared" si="2"/>
        <v>0</v>
      </c>
      <c r="P29" s="216">
        <f t="shared" si="3"/>
        <v>12439.038984962197</v>
      </c>
      <c r="Q29" s="212"/>
      <c r="R29" s="213">
        <f t="shared" si="6"/>
        <v>432144.36447125935</v>
      </c>
    </row>
    <row r="30" spans="1:18">
      <c r="A30" s="139">
        <v>1850</v>
      </c>
      <c r="B30" s="148" t="s">
        <v>154</v>
      </c>
      <c r="C30" s="175">
        <f>'App.2-B_Fixed Asset Con''ty 2012'!N28</f>
        <v>11436776.241715379</v>
      </c>
      <c r="D30" s="175"/>
      <c r="E30" s="175">
        <f>'App.2-B_Fixed Asset Con''ty 2013'!H28</f>
        <v>1296640.6397765677</v>
      </c>
      <c r="F30" s="214">
        <v>24.415888029446407</v>
      </c>
      <c r="G30" s="214"/>
      <c r="H30" s="214">
        <v>40</v>
      </c>
      <c r="I30" s="215">
        <f t="shared" si="0"/>
        <v>2.5000000000000001E-2</v>
      </c>
      <c r="J30" s="216">
        <f t="shared" si="4"/>
        <v>468415.3297198214</v>
      </c>
      <c r="K30" s="208">
        <f t="shared" si="4"/>
        <v>0</v>
      </c>
      <c r="L30" s="216">
        <f t="shared" si="1"/>
        <v>16208.007997207096</v>
      </c>
      <c r="M30" s="209">
        <f t="shared" si="5"/>
        <v>484623.33771702851</v>
      </c>
      <c r="N30" s="210">
        <f>-'App.2-B_Fixed Asset Con''ty 2013'!O28</f>
        <v>484623.33771702851</v>
      </c>
      <c r="O30" s="217">
        <f t="shared" si="2"/>
        <v>0</v>
      </c>
      <c r="P30" s="216">
        <f t="shared" si="3"/>
        <v>32416.015994414192</v>
      </c>
      <c r="Q30" s="212"/>
      <c r="R30" s="213">
        <f t="shared" si="6"/>
        <v>500831.34571423556</v>
      </c>
    </row>
    <row r="31" spans="1:18">
      <c r="A31" s="139">
        <v>1855</v>
      </c>
      <c r="B31" s="148" t="s">
        <v>155</v>
      </c>
      <c r="C31" s="175">
        <f>'App.2-B_Fixed Asset Con''ty 2012'!N29</f>
        <v>5842467.671291193</v>
      </c>
      <c r="D31" s="175"/>
      <c r="E31" s="175">
        <f>'App.2-B_Fixed Asset Con''ty 2013'!H29</f>
        <v>907301.27409810561</v>
      </c>
      <c r="F31" s="214">
        <v>28.131514684285101</v>
      </c>
      <c r="G31" s="214"/>
      <c r="H31" s="214">
        <v>40</v>
      </c>
      <c r="I31" s="215">
        <f t="shared" si="0"/>
        <v>2.5000000000000001E-2</v>
      </c>
      <c r="J31" s="216">
        <f t="shared" si="4"/>
        <v>207684.07733675739</v>
      </c>
      <c r="K31" s="208">
        <f t="shared" si="4"/>
        <v>0</v>
      </c>
      <c r="L31" s="216">
        <f t="shared" si="1"/>
        <v>11341.265926226321</v>
      </c>
      <c r="M31" s="209">
        <f t="shared" si="5"/>
        <v>219025.34326298372</v>
      </c>
      <c r="N31" s="210">
        <f>-'App.2-B_Fixed Asset Con''ty 2013'!O29</f>
        <v>219025.34326298372</v>
      </c>
      <c r="O31" s="217">
        <f t="shared" si="2"/>
        <v>0</v>
      </c>
      <c r="P31" s="216">
        <f t="shared" si="3"/>
        <v>22682.531852452641</v>
      </c>
      <c r="Q31" s="212"/>
      <c r="R31" s="213">
        <f t="shared" si="6"/>
        <v>230366.60918921002</v>
      </c>
    </row>
    <row r="32" spans="1:18">
      <c r="A32" s="139">
        <v>1860</v>
      </c>
      <c r="B32" s="148" t="s">
        <v>147</v>
      </c>
      <c r="C32" s="175">
        <v>256836.64161600108</v>
      </c>
      <c r="D32" s="175"/>
      <c r="E32" s="175"/>
      <c r="F32" s="214">
        <v>14.73497713362706</v>
      </c>
      <c r="G32" s="214"/>
      <c r="H32" s="214">
        <v>25</v>
      </c>
      <c r="I32" s="215">
        <f t="shared" si="0"/>
        <v>0.04</v>
      </c>
      <c r="J32" s="216">
        <f t="shared" si="4"/>
        <v>17430.406527735136</v>
      </c>
      <c r="K32" s="208">
        <f t="shared" si="4"/>
        <v>0</v>
      </c>
      <c r="L32" s="216">
        <f t="shared" si="1"/>
        <v>0</v>
      </c>
      <c r="M32" s="209">
        <f t="shared" si="5"/>
        <v>17430.406527735136</v>
      </c>
      <c r="N32" s="210">
        <v>17430.406527735136</v>
      </c>
      <c r="O32" s="217">
        <f t="shared" si="2"/>
        <v>0</v>
      </c>
      <c r="P32" s="216">
        <f t="shared" si="3"/>
        <v>0</v>
      </c>
      <c r="Q32" s="212"/>
      <c r="R32" s="213">
        <f t="shared" si="6"/>
        <v>17430.406527735136</v>
      </c>
    </row>
    <row r="33" spans="1:18">
      <c r="A33" s="139">
        <v>1860</v>
      </c>
      <c r="B33" s="140" t="s">
        <v>387</v>
      </c>
      <c r="C33" s="175">
        <v>1208354.2350125702</v>
      </c>
      <c r="D33" s="175">
        <f>-C33</f>
        <v>-1208354.2350125702</v>
      </c>
      <c r="E33" s="175"/>
      <c r="F33" s="214">
        <v>0</v>
      </c>
      <c r="G33" s="214"/>
      <c r="H33" s="214"/>
      <c r="I33" s="215">
        <f t="shared" si="0"/>
        <v>0</v>
      </c>
      <c r="J33" s="216">
        <f t="shared" si="4"/>
        <v>0</v>
      </c>
      <c r="K33" s="208">
        <f t="shared" si="4"/>
        <v>0</v>
      </c>
      <c r="L33" s="216">
        <f t="shared" si="1"/>
        <v>0</v>
      </c>
      <c r="M33" s="209">
        <f t="shared" si="5"/>
        <v>0</v>
      </c>
      <c r="N33" s="210"/>
      <c r="O33" s="217">
        <f t="shared" si="2"/>
        <v>0</v>
      </c>
      <c r="P33" s="216">
        <f t="shared" si="3"/>
        <v>0</v>
      </c>
      <c r="Q33" s="212"/>
      <c r="R33" s="213">
        <f t="shared" si="6"/>
        <v>0</v>
      </c>
    </row>
    <row r="34" spans="1:18">
      <c r="A34" s="146">
        <v>1860</v>
      </c>
      <c r="B34" s="147" t="s">
        <v>296</v>
      </c>
      <c r="C34" s="175">
        <v>0</v>
      </c>
      <c r="D34" s="175">
        <v>5475806</v>
      </c>
      <c r="E34" s="175">
        <f>'App.2-B_Fixed Asset Con''ty 2013'!H31</f>
        <v>132791.12410948519</v>
      </c>
      <c r="F34" s="214"/>
      <c r="G34" s="214">
        <v>12.590715012014144</v>
      </c>
      <c r="H34" s="214">
        <v>15</v>
      </c>
      <c r="I34" s="215">
        <f t="shared" si="0"/>
        <v>6.6666666666666666E-2</v>
      </c>
      <c r="J34" s="216">
        <f t="shared" si="4"/>
        <v>0</v>
      </c>
      <c r="K34" s="208">
        <f t="shared" si="4"/>
        <v>434908.26333333331</v>
      </c>
      <c r="L34" s="216">
        <f t="shared" si="1"/>
        <v>4426.3708036495063</v>
      </c>
      <c r="M34" s="209">
        <f t="shared" si="5"/>
        <v>439334.63413698279</v>
      </c>
      <c r="N34" s="210">
        <v>439334.63413698279</v>
      </c>
      <c r="O34" s="217">
        <f t="shared" si="2"/>
        <v>0</v>
      </c>
      <c r="P34" s="216">
        <f t="shared" si="3"/>
        <v>8852.7416072990127</v>
      </c>
      <c r="Q34" s="212"/>
      <c r="R34" s="213">
        <f t="shared" si="6"/>
        <v>8852.7416072990127</v>
      </c>
    </row>
    <row r="35" spans="1:18">
      <c r="A35" s="146">
        <v>1860</v>
      </c>
      <c r="B35" s="147" t="s">
        <v>388</v>
      </c>
      <c r="C35" s="175">
        <v>188339.08268571459</v>
      </c>
      <c r="D35" s="175"/>
      <c r="E35" s="175"/>
      <c r="F35" s="214">
        <v>35.209548939837603</v>
      </c>
      <c r="G35" s="214"/>
      <c r="H35" s="214">
        <v>45</v>
      </c>
      <c r="I35" s="215">
        <f t="shared" si="0"/>
        <v>2.2222222222222223E-2</v>
      </c>
      <c r="J35" s="216">
        <f t="shared" si="4"/>
        <v>5349.0910379888346</v>
      </c>
      <c r="K35" s="208">
        <f t="shared" si="4"/>
        <v>0</v>
      </c>
      <c r="L35" s="216">
        <f t="shared" si="1"/>
        <v>0</v>
      </c>
      <c r="M35" s="209">
        <f t="shared" si="5"/>
        <v>5349.0910379888346</v>
      </c>
      <c r="N35" s="210">
        <v>5349.0910379888346</v>
      </c>
      <c r="O35" s="217">
        <f t="shared" si="2"/>
        <v>0</v>
      </c>
      <c r="P35" s="216">
        <f t="shared" si="3"/>
        <v>0</v>
      </c>
      <c r="Q35" s="212"/>
      <c r="R35" s="213">
        <f t="shared" si="6"/>
        <v>5349.0910379888346</v>
      </c>
    </row>
    <row r="36" spans="1:18">
      <c r="A36" s="146">
        <v>1860</v>
      </c>
      <c r="B36" s="147" t="s">
        <v>389</v>
      </c>
      <c r="C36" s="175">
        <v>464907.16440000013</v>
      </c>
      <c r="D36" s="175"/>
      <c r="E36" s="175"/>
      <c r="F36" s="214">
        <v>21.815904546435757</v>
      </c>
      <c r="G36" s="214"/>
      <c r="H36" s="214">
        <v>30</v>
      </c>
      <c r="I36" s="215">
        <f t="shared" si="0"/>
        <v>3.3333333333333333E-2</v>
      </c>
      <c r="J36" s="216">
        <f t="shared" si="4"/>
        <v>21310.469314276306</v>
      </c>
      <c r="K36" s="208">
        <f t="shared" si="4"/>
        <v>0</v>
      </c>
      <c r="L36" s="216">
        <f t="shared" si="1"/>
        <v>0</v>
      </c>
      <c r="M36" s="209">
        <f t="shared" si="5"/>
        <v>21310.469314276306</v>
      </c>
      <c r="N36" s="210">
        <v>21310.469314276306</v>
      </c>
      <c r="O36" s="217">
        <f t="shared" si="2"/>
        <v>0</v>
      </c>
      <c r="P36" s="216">
        <f t="shared" si="3"/>
        <v>0</v>
      </c>
      <c r="Q36" s="212"/>
      <c r="R36" s="213">
        <f t="shared" si="6"/>
        <v>21310.469314276306</v>
      </c>
    </row>
    <row r="37" spans="1:18">
      <c r="A37" s="146">
        <v>1905</v>
      </c>
      <c r="B37" s="147" t="s">
        <v>163</v>
      </c>
      <c r="C37" s="175">
        <v>0</v>
      </c>
      <c r="D37" s="175"/>
      <c r="E37" s="175"/>
      <c r="F37" s="214"/>
      <c r="G37" s="214"/>
      <c r="H37" s="214"/>
      <c r="I37" s="215">
        <f t="shared" si="0"/>
        <v>0</v>
      </c>
      <c r="J37" s="216">
        <f t="shared" si="4"/>
        <v>0</v>
      </c>
      <c r="K37" s="208">
        <f t="shared" si="4"/>
        <v>0</v>
      </c>
      <c r="L37" s="216">
        <f t="shared" si="1"/>
        <v>0</v>
      </c>
      <c r="M37" s="209">
        <f t="shared" si="5"/>
        <v>0</v>
      </c>
      <c r="N37" s="210"/>
      <c r="O37" s="217">
        <f t="shared" si="2"/>
        <v>0</v>
      </c>
      <c r="P37" s="216">
        <f t="shared" si="3"/>
        <v>0</v>
      </c>
      <c r="Q37" s="212"/>
      <c r="R37" s="213">
        <f t="shared" si="6"/>
        <v>0</v>
      </c>
    </row>
    <row r="38" spans="1:18">
      <c r="A38" s="139">
        <v>1908</v>
      </c>
      <c r="B38" s="148" t="s">
        <v>297</v>
      </c>
      <c r="C38" s="175">
        <v>0</v>
      </c>
      <c r="D38" s="175"/>
      <c r="E38" s="175"/>
      <c r="F38" s="214"/>
      <c r="G38" s="214"/>
      <c r="H38" s="214"/>
      <c r="I38" s="215">
        <f t="shared" si="0"/>
        <v>0</v>
      </c>
      <c r="J38" s="216">
        <f t="shared" si="4"/>
        <v>0</v>
      </c>
      <c r="K38" s="208">
        <f t="shared" si="4"/>
        <v>0</v>
      </c>
      <c r="L38" s="216">
        <f t="shared" si="1"/>
        <v>0</v>
      </c>
      <c r="M38" s="209">
        <f t="shared" si="5"/>
        <v>0</v>
      </c>
      <c r="N38" s="210"/>
      <c r="O38" s="217">
        <f t="shared" si="2"/>
        <v>0</v>
      </c>
      <c r="P38" s="216">
        <f t="shared" si="3"/>
        <v>0</v>
      </c>
      <c r="Q38" s="212"/>
      <c r="R38" s="213">
        <f t="shared" si="6"/>
        <v>0</v>
      </c>
    </row>
    <row r="39" spans="1:18">
      <c r="A39" s="139">
        <v>1910</v>
      </c>
      <c r="B39" s="148" t="s">
        <v>298</v>
      </c>
      <c r="C39" s="175">
        <v>0</v>
      </c>
      <c r="D39" s="175"/>
      <c r="E39" s="175"/>
      <c r="F39" s="214"/>
      <c r="G39" s="214"/>
      <c r="H39" s="214"/>
      <c r="I39" s="215">
        <f t="shared" si="0"/>
        <v>0</v>
      </c>
      <c r="J39" s="216">
        <f t="shared" si="4"/>
        <v>0</v>
      </c>
      <c r="K39" s="208">
        <f t="shared" si="4"/>
        <v>0</v>
      </c>
      <c r="L39" s="216">
        <f t="shared" si="1"/>
        <v>0</v>
      </c>
      <c r="M39" s="209">
        <f t="shared" si="5"/>
        <v>0</v>
      </c>
      <c r="N39" s="210"/>
      <c r="O39" s="217">
        <f t="shared" si="2"/>
        <v>0</v>
      </c>
      <c r="P39" s="216">
        <f t="shared" si="3"/>
        <v>0</v>
      </c>
      <c r="Q39" s="212"/>
      <c r="R39" s="213">
        <f t="shared" si="6"/>
        <v>0</v>
      </c>
    </row>
    <row r="40" spans="1:18">
      <c r="A40" s="139">
        <v>1915</v>
      </c>
      <c r="B40" s="148" t="s">
        <v>299</v>
      </c>
      <c r="C40" s="175">
        <f>'App.2-B_Fixed Asset Con''ty 2012'!N35</f>
        <v>2600.981500000009</v>
      </c>
      <c r="D40" s="175"/>
      <c r="E40" s="175"/>
      <c r="F40" s="214">
        <v>2.7713694508952251</v>
      </c>
      <c r="G40" s="214"/>
      <c r="H40" s="214">
        <v>10</v>
      </c>
      <c r="I40" s="215">
        <f t="shared" si="0"/>
        <v>0.1</v>
      </c>
      <c r="J40" s="216">
        <f t="shared" si="4"/>
        <v>938.51849999999945</v>
      </c>
      <c r="K40" s="208">
        <f t="shared" si="4"/>
        <v>0</v>
      </c>
      <c r="L40" s="216">
        <f t="shared" si="1"/>
        <v>0</v>
      </c>
      <c r="M40" s="209">
        <f t="shared" si="5"/>
        <v>938.51849999999945</v>
      </c>
      <c r="N40" s="210">
        <f>-'App.2-B_Fixed Asset Con''ty 2013'!O35</f>
        <v>938.51849999999945</v>
      </c>
      <c r="O40" s="217">
        <f t="shared" si="2"/>
        <v>0</v>
      </c>
      <c r="P40" s="216">
        <f t="shared" si="3"/>
        <v>0</v>
      </c>
      <c r="Q40" s="212"/>
      <c r="R40" s="213">
        <f t="shared" si="6"/>
        <v>938.51849999999945</v>
      </c>
    </row>
    <row r="41" spans="1:18">
      <c r="A41" s="139">
        <v>1915</v>
      </c>
      <c r="B41" s="148" t="s">
        <v>300</v>
      </c>
      <c r="C41" s="175">
        <f>'App.2-B_Fixed Asset Con''ty 2012'!N36</f>
        <v>0</v>
      </c>
      <c r="D41" s="175"/>
      <c r="E41" s="175"/>
      <c r="F41" s="214"/>
      <c r="G41" s="214"/>
      <c r="H41" s="214"/>
      <c r="I41" s="215">
        <f t="shared" si="0"/>
        <v>0</v>
      </c>
      <c r="J41" s="216">
        <f t="shared" si="4"/>
        <v>0</v>
      </c>
      <c r="K41" s="208">
        <f t="shared" si="4"/>
        <v>0</v>
      </c>
      <c r="L41" s="216">
        <f t="shared" si="1"/>
        <v>0</v>
      </c>
      <c r="M41" s="209">
        <f t="shared" si="5"/>
        <v>0</v>
      </c>
      <c r="N41" s="210"/>
      <c r="O41" s="217">
        <f t="shared" si="2"/>
        <v>0</v>
      </c>
      <c r="P41" s="216">
        <f t="shared" si="3"/>
        <v>0</v>
      </c>
      <c r="Q41" s="212"/>
      <c r="R41" s="213">
        <f t="shared" si="6"/>
        <v>0</v>
      </c>
    </row>
    <row r="42" spans="1:18">
      <c r="A42" s="139">
        <v>1920</v>
      </c>
      <c r="B42" s="148" t="s">
        <v>301</v>
      </c>
      <c r="C42" s="175">
        <f>'App.2-B_Fixed Asset Con''ty 2012'!N37</f>
        <v>115891.606</v>
      </c>
      <c r="D42" s="175">
        <v>103014</v>
      </c>
      <c r="E42" s="175">
        <f>'App.2-B_Fixed Asset Con''ty 2013'!H37</f>
        <v>364328</v>
      </c>
      <c r="F42" s="214">
        <v>3.5552250807606853</v>
      </c>
      <c r="G42" s="214">
        <v>2.514801624253181</v>
      </c>
      <c r="H42" s="214">
        <v>5</v>
      </c>
      <c r="I42" s="215">
        <f t="shared" si="0"/>
        <v>0.2</v>
      </c>
      <c r="J42" s="216">
        <f t="shared" si="4"/>
        <v>32597.544000000002</v>
      </c>
      <c r="K42" s="208">
        <f t="shared" si="4"/>
        <v>40963.072</v>
      </c>
      <c r="L42" s="216">
        <f t="shared" si="1"/>
        <v>36432.800000000003</v>
      </c>
      <c r="M42" s="209">
        <f t="shared" si="5"/>
        <v>109993.41600000001</v>
      </c>
      <c r="N42" s="210">
        <f>-'App.2-B_Fixed Asset Con''ty 2013'!O37</f>
        <v>109993.41600000001</v>
      </c>
      <c r="O42" s="217">
        <f t="shared" si="2"/>
        <v>0</v>
      </c>
      <c r="P42" s="216">
        <f t="shared" si="3"/>
        <v>72865.600000000006</v>
      </c>
      <c r="Q42" s="212"/>
      <c r="R42" s="213">
        <f t="shared" si="6"/>
        <v>105463.144</v>
      </c>
    </row>
    <row r="43" spans="1:18">
      <c r="A43" s="149">
        <v>1920</v>
      </c>
      <c r="B43" s="140" t="s">
        <v>302</v>
      </c>
      <c r="C43" s="175">
        <f>'App.2-B_Fixed Asset Con''ty 2012'!N38</f>
        <v>0</v>
      </c>
      <c r="D43" s="175"/>
      <c r="E43" s="175"/>
      <c r="F43" s="214"/>
      <c r="G43" s="214"/>
      <c r="H43" s="214"/>
      <c r="I43" s="215">
        <f t="shared" si="0"/>
        <v>0</v>
      </c>
      <c r="J43" s="216">
        <f t="shared" si="4"/>
        <v>0</v>
      </c>
      <c r="K43" s="208">
        <f t="shared" si="4"/>
        <v>0</v>
      </c>
      <c r="L43" s="216">
        <f t="shared" si="1"/>
        <v>0</v>
      </c>
      <c r="M43" s="209">
        <f t="shared" si="5"/>
        <v>0</v>
      </c>
      <c r="N43" s="210"/>
      <c r="O43" s="217">
        <f t="shared" si="2"/>
        <v>0</v>
      </c>
      <c r="P43" s="216">
        <f t="shared" si="3"/>
        <v>0</v>
      </c>
      <c r="Q43" s="212"/>
      <c r="R43" s="213">
        <f t="shared" si="6"/>
        <v>0</v>
      </c>
    </row>
    <row r="44" spans="1:18">
      <c r="A44" s="149">
        <v>1920</v>
      </c>
      <c r="B44" s="140" t="s">
        <v>303</v>
      </c>
      <c r="C44" s="175">
        <f>'App.2-B_Fixed Asset Con''ty 2012'!N39</f>
        <v>0</v>
      </c>
      <c r="D44" s="175"/>
      <c r="E44" s="175"/>
      <c r="F44" s="214"/>
      <c r="G44" s="214"/>
      <c r="H44" s="214"/>
      <c r="I44" s="215">
        <f t="shared" si="0"/>
        <v>0</v>
      </c>
      <c r="J44" s="216">
        <f t="shared" si="4"/>
        <v>0</v>
      </c>
      <c r="K44" s="208">
        <f t="shared" si="4"/>
        <v>0</v>
      </c>
      <c r="L44" s="216">
        <f t="shared" si="1"/>
        <v>0</v>
      </c>
      <c r="M44" s="209">
        <f t="shared" si="5"/>
        <v>0</v>
      </c>
      <c r="N44" s="210"/>
      <c r="O44" s="217">
        <f t="shared" si="2"/>
        <v>0</v>
      </c>
      <c r="P44" s="216">
        <f t="shared" si="3"/>
        <v>0</v>
      </c>
      <c r="Q44" s="212"/>
      <c r="R44" s="213">
        <f t="shared" si="6"/>
        <v>0</v>
      </c>
    </row>
    <row r="45" spans="1:18">
      <c r="A45" s="139">
        <v>1930</v>
      </c>
      <c r="B45" s="148" t="s">
        <v>304</v>
      </c>
      <c r="C45" s="175">
        <f>'App.2-B_Fixed Asset Con''ty 2012'!N40</f>
        <v>1394132.5912797628</v>
      </c>
      <c r="D45" s="175"/>
      <c r="E45" s="175">
        <v>39949</v>
      </c>
      <c r="F45" s="214">
        <v>8.0766059051957608</v>
      </c>
      <c r="G45" s="214"/>
      <c r="H45" s="214">
        <v>8</v>
      </c>
      <c r="I45" s="215">
        <f t="shared" si="0"/>
        <v>0.125</v>
      </c>
      <c r="J45" s="216">
        <f t="shared" si="4"/>
        <v>172613.67059929264</v>
      </c>
      <c r="K45" s="208">
        <f t="shared" si="4"/>
        <v>0</v>
      </c>
      <c r="L45" s="216">
        <f t="shared" si="1"/>
        <v>2496.8125</v>
      </c>
      <c r="M45" s="209">
        <f t="shared" si="5"/>
        <v>175110.48309929264</v>
      </c>
      <c r="N45" s="210">
        <v>175110.48</v>
      </c>
      <c r="O45" s="217">
        <f t="shared" si="2"/>
        <v>3.0992926331236959E-3</v>
      </c>
      <c r="P45" s="216">
        <f t="shared" si="3"/>
        <v>4993.625</v>
      </c>
      <c r="Q45" s="212"/>
      <c r="R45" s="213">
        <f t="shared" si="6"/>
        <v>177607.29559929264</v>
      </c>
    </row>
    <row r="46" spans="1:18">
      <c r="A46" s="139">
        <v>1930</v>
      </c>
      <c r="B46" s="148" t="s">
        <v>304</v>
      </c>
      <c r="C46" s="175"/>
      <c r="D46" s="175"/>
      <c r="E46" s="175">
        <v>458450</v>
      </c>
      <c r="F46" s="214"/>
      <c r="G46" s="214"/>
      <c r="H46" s="214">
        <v>12</v>
      </c>
      <c r="I46" s="215">
        <f t="shared" si="0"/>
        <v>8.3333333333333329E-2</v>
      </c>
      <c r="J46" s="216">
        <f t="shared" si="4"/>
        <v>0</v>
      </c>
      <c r="K46" s="208">
        <f t="shared" si="4"/>
        <v>0</v>
      </c>
      <c r="L46" s="216">
        <f t="shared" si="1"/>
        <v>19102.083333333332</v>
      </c>
      <c r="M46" s="209">
        <f t="shared" si="5"/>
        <v>19102.083333333332</v>
      </c>
      <c r="N46" s="210">
        <f>19102.08</f>
        <v>19102.080000000002</v>
      </c>
      <c r="O46" s="217">
        <f t="shared" si="2"/>
        <v>3.3333333303744439E-3</v>
      </c>
      <c r="P46" s="216">
        <f t="shared" si="3"/>
        <v>38204.166666666664</v>
      </c>
      <c r="Q46" s="212"/>
      <c r="R46" s="213">
        <f t="shared" si="6"/>
        <v>38204.166666666664</v>
      </c>
    </row>
    <row r="47" spans="1:18">
      <c r="A47" s="139">
        <v>1935</v>
      </c>
      <c r="B47" s="148" t="s">
        <v>305</v>
      </c>
      <c r="C47" s="175">
        <f>'App.2-B_Fixed Asset Con''ty 2012'!N41</f>
        <v>0</v>
      </c>
      <c r="D47" s="175"/>
      <c r="E47" s="175"/>
      <c r="F47" s="214"/>
      <c r="G47" s="214"/>
      <c r="H47" s="214"/>
      <c r="I47" s="215">
        <f t="shared" si="0"/>
        <v>0</v>
      </c>
      <c r="J47" s="216">
        <f t="shared" si="4"/>
        <v>0</v>
      </c>
      <c r="K47" s="208">
        <f t="shared" si="4"/>
        <v>0</v>
      </c>
      <c r="L47" s="216">
        <f t="shared" si="1"/>
        <v>0</v>
      </c>
      <c r="M47" s="209">
        <f t="shared" si="5"/>
        <v>0</v>
      </c>
      <c r="N47" s="210"/>
      <c r="O47" s="217">
        <f t="shared" si="2"/>
        <v>0</v>
      </c>
      <c r="P47" s="216">
        <f t="shared" si="3"/>
        <v>0</v>
      </c>
      <c r="Q47" s="212"/>
      <c r="R47" s="213">
        <f t="shared" si="6"/>
        <v>0</v>
      </c>
    </row>
    <row r="48" spans="1:18">
      <c r="A48" s="139">
        <v>1940</v>
      </c>
      <c r="B48" s="148" t="s">
        <v>185</v>
      </c>
      <c r="C48" s="175">
        <f>'App.2-B_Fixed Asset Con''ty 2012'!N42</f>
        <v>494205.24200000009</v>
      </c>
      <c r="D48" s="175"/>
      <c r="E48" s="175">
        <f>'App.2-B_Fixed Asset Con''ty 2013'!H42</f>
        <v>160000</v>
      </c>
      <c r="F48" s="214">
        <v>5.9490750135131778</v>
      </c>
      <c r="G48" s="214"/>
      <c r="H48" s="214">
        <v>10</v>
      </c>
      <c r="I48" s="215">
        <f t="shared" si="0"/>
        <v>0.1</v>
      </c>
      <c r="J48" s="216">
        <f t="shared" si="4"/>
        <v>83072.619000000006</v>
      </c>
      <c r="K48" s="208">
        <f t="shared" si="4"/>
        <v>0</v>
      </c>
      <c r="L48" s="216">
        <f t="shared" si="1"/>
        <v>8000</v>
      </c>
      <c r="M48" s="209">
        <f t="shared" si="5"/>
        <v>91072.619000000006</v>
      </c>
      <c r="N48" s="210">
        <f>-'App.2-B_Fixed Asset Con''ty 2013'!O42</f>
        <v>91072.619000000006</v>
      </c>
      <c r="O48" s="217">
        <f t="shared" si="2"/>
        <v>0</v>
      </c>
      <c r="P48" s="216">
        <f t="shared" si="3"/>
        <v>16000</v>
      </c>
      <c r="Q48" s="212">
        <v>1784.5009999999997</v>
      </c>
      <c r="R48" s="213">
        <f t="shared" si="6"/>
        <v>97288.118000000002</v>
      </c>
    </row>
    <row r="49" spans="1:18">
      <c r="A49" s="139">
        <v>1945</v>
      </c>
      <c r="B49" s="148" t="s">
        <v>306</v>
      </c>
      <c r="C49" s="175">
        <f>'App.2-B_Fixed Asset Con''ty 2012'!N43</f>
        <v>0</v>
      </c>
      <c r="D49" s="175"/>
      <c r="E49" s="175"/>
      <c r="F49" s="214"/>
      <c r="G49" s="214"/>
      <c r="H49" s="214"/>
      <c r="I49" s="215">
        <f t="shared" si="0"/>
        <v>0</v>
      </c>
      <c r="J49" s="216">
        <f t="shared" si="4"/>
        <v>0</v>
      </c>
      <c r="K49" s="208">
        <f t="shared" si="4"/>
        <v>0</v>
      </c>
      <c r="L49" s="216">
        <f t="shared" si="1"/>
        <v>0</v>
      </c>
      <c r="M49" s="209">
        <f t="shared" si="5"/>
        <v>0</v>
      </c>
      <c r="N49" s="210"/>
      <c r="O49" s="217">
        <f t="shared" si="2"/>
        <v>0</v>
      </c>
      <c r="P49" s="216">
        <f t="shared" si="3"/>
        <v>0</v>
      </c>
      <c r="Q49" s="212"/>
      <c r="R49" s="213">
        <f t="shared" si="6"/>
        <v>0</v>
      </c>
    </row>
    <row r="50" spans="1:18">
      <c r="A50" s="139">
        <v>1950</v>
      </c>
      <c r="B50" s="148" t="s">
        <v>307</v>
      </c>
      <c r="C50" s="175">
        <f>'App.2-B_Fixed Asset Con''ty 2012'!N44</f>
        <v>0</v>
      </c>
      <c r="D50" s="175"/>
      <c r="E50" s="175"/>
      <c r="F50" s="214"/>
      <c r="G50" s="214"/>
      <c r="H50" s="214"/>
      <c r="I50" s="215">
        <f t="shared" si="0"/>
        <v>0</v>
      </c>
      <c r="J50" s="216">
        <f t="shared" si="4"/>
        <v>0</v>
      </c>
      <c r="K50" s="208">
        <f t="shared" si="4"/>
        <v>0</v>
      </c>
      <c r="L50" s="216">
        <f t="shared" si="1"/>
        <v>0</v>
      </c>
      <c r="M50" s="209">
        <f t="shared" si="5"/>
        <v>0</v>
      </c>
      <c r="N50" s="210"/>
      <c r="O50" s="217">
        <f t="shared" si="2"/>
        <v>0</v>
      </c>
      <c r="P50" s="216">
        <f t="shared" si="3"/>
        <v>0</v>
      </c>
      <c r="Q50" s="212"/>
      <c r="R50" s="213">
        <f t="shared" si="6"/>
        <v>0</v>
      </c>
    </row>
    <row r="51" spans="1:18">
      <c r="A51" s="139">
        <v>1955</v>
      </c>
      <c r="B51" s="148" t="s">
        <v>308</v>
      </c>
      <c r="C51" s="175">
        <f>'App.2-B_Fixed Asset Con''ty 2012'!N45</f>
        <v>954645.89879999985</v>
      </c>
      <c r="D51" s="175"/>
      <c r="E51" s="175">
        <f>'App.2-B_Fixed Asset Con''ty 2013'!H45</f>
        <v>60000</v>
      </c>
      <c r="F51" s="214">
        <v>11.926981850115327</v>
      </c>
      <c r="G51" s="214"/>
      <c r="H51" s="214">
        <v>10</v>
      </c>
      <c r="I51" s="215">
        <f t="shared" si="0"/>
        <v>0.1</v>
      </c>
      <c r="J51" s="216">
        <f t="shared" si="4"/>
        <v>80040.861199999985</v>
      </c>
      <c r="K51" s="208">
        <f t="shared" si="4"/>
        <v>0</v>
      </c>
      <c r="L51" s="216">
        <f t="shared" si="1"/>
        <v>3000</v>
      </c>
      <c r="M51" s="209">
        <f t="shared" si="5"/>
        <v>83040.861199999985</v>
      </c>
      <c r="N51" s="210">
        <f>-'App.2-B_Fixed Asset Con''ty 2013'!O45</f>
        <v>83040.861199999985</v>
      </c>
      <c r="O51" s="217">
        <f t="shared" si="2"/>
        <v>0</v>
      </c>
      <c r="P51" s="216">
        <f t="shared" si="3"/>
        <v>6000</v>
      </c>
      <c r="Q51" s="212"/>
      <c r="R51" s="213">
        <f t="shared" si="6"/>
        <v>86040.861199999985</v>
      </c>
    </row>
    <row r="52" spans="1:18">
      <c r="A52" s="150">
        <v>1955</v>
      </c>
      <c r="B52" s="151" t="s">
        <v>309</v>
      </c>
      <c r="C52" s="175">
        <f>'App.2-B_Fixed Asset Con''ty 2012'!N46</f>
        <v>0</v>
      </c>
      <c r="D52" s="175"/>
      <c r="E52" s="175"/>
      <c r="F52" s="214"/>
      <c r="G52" s="214"/>
      <c r="H52" s="214"/>
      <c r="I52" s="215">
        <f t="shared" si="0"/>
        <v>0</v>
      </c>
      <c r="J52" s="216">
        <f t="shared" si="4"/>
        <v>0</v>
      </c>
      <c r="K52" s="208">
        <f t="shared" si="4"/>
        <v>0</v>
      </c>
      <c r="L52" s="216">
        <f t="shared" si="1"/>
        <v>0</v>
      </c>
      <c r="M52" s="209">
        <f t="shared" si="5"/>
        <v>0</v>
      </c>
      <c r="N52" s="210"/>
      <c r="O52" s="217">
        <f t="shared" si="2"/>
        <v>0</v>
      </c>
      <c r="P52" s="216">
        <f t="shared" si="3"/>
        <v>0</v>
      </c>
      <c r="Q52" s="212"/>
      <c r="R52" s="213">
        <f t="shared" si="6"/>
        <v>0</v>
      </c>
    </row>
    <row r="53" spans="1:18">
      <c r="A53" s="149">
        <v>1960</v>
      </c>
      <c r="B53" s="140" t="s">
        <v>390</v>
      </c>
      <c r="C53" s="175">
        <f>'App.2-B_Fixed Asset Con''ty 2012'!N47</f>
        <v>0</v>
      </c>
      <c r="D53" s="175">
        <v>12377</v>
      </c>
      <c r="E53" s="175"/>
      <c r="F53" s="214"/>
      <c r="G53" s="214">
        <v>7.5003529898696462</v>
      </c>
      <c r="H53" s="214"/>
      <c r="I53" s="215">
        <f t="shared" si="0"/>
        <v>0</v>
      </c>
      <c r="J53" s="216">
        <f t="shared" si="4"/>
        <v>0</v>
      </c>
      <c r="K53" s="208">
        <f t="shared" si="4"/>
        <v>1650.1889999999999</v>
      </c>
      <c r="L53" s="216">
        <f t="shared" si="1"/>
        <v>0</v>
      </c>
      <c r="M53" s="209">
        <f t="shared" si="5"/>
        <v>1650.1889999999999</v>
      </c>
      <c r="N53" s="210">
        <f>-'App.2-B_Fixed Asset Con''ty 2013'!O47</f>
        <v>1650.1889999999999</v>
      </c>
      <c r="O53" s="217">
        <f t="shared" si="2"/>
        <v>0</v>
      </c>
      <c r="P53" s="216">
        <f t="shared" si="3"/>
        <v>0</v>
      </c>
      <c r="Q53" s="212"/>
      <c r="R53" s="213">
        <f t="shared" si="6"/>
        <v>0</v>
      </c>
    </row>
    <row r="54" spans="1:18">
      <c r="A54" s="139">
        <v>1975</v>
      </c>
      <c r="B54" s="148" t="s">
        <v>311</v>
      </c>
      <c r="C54" s="175">
        <f>'App.2-B_Fixed Asset Con''ty 2012'!N48</f>
        <v>0</v>
      </c>
      <c r="D54" s="175"/>
      <c r="E54" s="175"/>
      <c r="F54" s="214"/>
      <c r="G54" s="214"/>
      <c r="H54" s="214"/>
      <c r="I54" s="215">
        <f t="shared" si="0"/>
        <v>0</v>
      </c>
      <c r="J54" s="216">
        <f t="shared" si="4"/>
        <v>0</v>
      </c>
      <c r="K54" s="208">
        <f t="shared" si="4"/>
        <v>0</v>
      </c>
      <c r="L54" s="216">
        <f t="shared" si="1"/>
        <v>0</v>
      </c>
      <c r="M54" s="209">
        <f t="shared" si="5"/>
        <v>0</v>
      </c>
      <c r="N54" s="210"/>
      <c r="O54" s="217">
        <f t="shared" si="2"/>
        <v>0</v>
      </c>
      <c r="P54" s="216">
        <f t="shared" si="3"/>
        <v>0</v>
      </c>
      <c r="Q54" s="212"/>
      <c r="R54" s="213">
        <f t="shared" si="6"/>
        <v>0</v>
      </c>
    </row>
    <row r="55" spans="1:18">
      <c r="A55" s="139">
        <v>1980</v>
      </c>
      <c r="B55" s="148" t="s">
        <v>353</v>
      </c>
      <c r="C55" s="175">
        <f>'App.2-B_Fixed Asset Con''ty 2012'!N49</f>
        <v>298898.95666666655</v>
      </c>
      <c r="D55" s="175"/>
      <c r="E55" s="175">
        <f>'App.2-B_Fixed Asset Con''ty 2013'!H49</f>
        <v>380073.10036859824</v>
      </c>
      <c r="F55" s="214">
        <v>14.072651699592223</v>
      </c>
      <c r="G55" s="214"/>
      <c r="H55" s="214">
        <v>20</v>
      </c>
      <c r="I55" s="215">
        <f t="shared" si="0"/>
        <v>0.05</v>
      </c>
      <c r="J55" s="216">
        <f t="shared" si="4"/>
        <v>21239.704005132709</v>
      </c>
      <c r="K55" s="208">
        <f t="shared" si="4"/>
        <v>0</v>
      </c>
      <c r="L55" s="216">
        <f t="shared" si="1"/>
        <v>9501.8275092149561</v>
      </c>
      <c r="M55" s="209">
        <f t="shared" si="5"/>
        <v>30741.531514347666</v>
      </c>
      <c r="N55" s="210">
        <f>-'App.2-B_Fixed Asset Con''ty 2013'!O49</f>
        <v>30741.531514347666</v>
      </c>
      <c r="O55" s="217">
        <f t="shared" si="2"/>
        <v>0</v>
      </c>
      <c r="P55" s="216">
        <f t="shared" si="3"/>
        <v>19003.655018429912</v>
      </c>
      <c r="Q55" s="212"/>
      <c r="R55" s="213">
        <f t="shared" si="6"/>
        <v>40243.359023562618</v>
      </c>
    </row>
    <row r="56" spans="1:18">
      <c r="A56" s="139">
        <v>1985</v>
      </c>
      <c r="B56" s="148" t="s">
        <v>312</v>
      </c>
      <c r="C56" s="175">
        <f>'App.2-B_Fixed Asset Con''ty 2012'!N50</f>
        <v>0</v>
      </c>
      <c r="D56" s="175"/>
      <c r="E56" s="175"/>
      <c r="F56" s="214"/>
      <c r="G56" s="214"/>
      <c r="H56" s="214"/>
      <c r="I56" s="215">
        <f t="shared" si="0"/>
        <v>0</v>
      </c>
      <c r="J56" s="216">
        <f t="shared" si="4"/>
        <v>0</v>
      </c>
      <c r="K56" s="208">
        <f t="shared" si="4"/>
        <v>0</v>
      </c>
      <c r="L56" s="216">
        <f t="shared" si="1"/>
        <v>0</v>
      </c>
      <c r="M56" s="209">
        <f t="shared" si="5"/>
        <v>0</v>
      </c>
      <c r="N56" s="210"/>
      <c r="O56" s="217">
        <f t="shared" si="2"/>
        <v>0</v>
      </c>
      <c r="P56" s="216">
        <f t="shared" si="3"/>
        <v>0</v>
      </c>
      <c r="Q56" s="212"/>
      <c r="R56" s="213">
        <f t="shared" si="6"/>
        <v>0</v>
      </c>
    </row>
    <row r="57" spans="1:18">
      <c r="A57" s="139">
        <v>1995</v>
      </c>
      <c r="B57" s="148" t="s">
        <v>313</v>
      </c>
      <c r="C57" s="175">
        <f>'App.2-B_Fixed Asset Con''ty 2012'!N51</f>
        <v>-11305673.781999998</v>
      </c>
      <c r="D57" s="175"/>
      <c r="E57" s="175">
        <f>'App.2-B_Fixed Asset Con''ty 2013'!H51</f>
        <v>-703790</v>
      </c>
      <c r="F57" s="214">
        <v>39.387627334631667</v>
      </c>
      <c r="G57" s="214"/>
      <c r="H57" s="214">
        <v>45</v>
      </c>
      <c r="I57" s="215">
        <f t="shared" si="0"/>
        <v>2.2222222222222223E-2</v>
      </c>
      <c r="J57" s="181">
        <f t="shared" si="4"/>
        <v>-287036.17219561373</v>
      </c>
      <c r="K57" s="208">
        <f t="shared" si="4"/>
        <v>0</v>
      </c>
      <c r="L57" s="181">
        <f t="shared" si="1"/>
        <v>-7819.8888888888887</v>
      </c>
      <c r="M57" s="181">
        <f t="shared" si="5"/>
        <v>-294856.06108450261</v>
      </c>
      <c r="N57" s="133">
        <f>-'App.2-B_Fixed Asset Con''ty 2013'!O51</f>
        <v>-294856.06108450261</v>
      </c>
      <c r="O57" s="182">
        <f t="shared" si="2"/>
        <v>0</v>
      </c>
      <c r="P57" s="181">
        <f t="shared" si="3"/>
        <v>-15639.777777777777</v>
      </c>
      <c r="Q57" s="212"/>
      <c r="R57" s="218">
        <f t="shared" si="6"/>
        <v>-302675.94997339149</v>
      </c>
    </row>
    <row r="58" spans="1:18">
      <c r="A58" s="153" t="s">
        <v>391</v>
      </c>
      <c r="B58" s="102"/>
      <c r="C58" s="180"/>
      <c r="D58" s="180"/>
      <c r="E58" s="180"/>
      <c r="F58" s="214"/>
      <c r="G58" s="214"/>
      <c r="H58" s="214"/>
      <c r="I58" s="215">
        <f t="shared" si="0"/>
        <v>0</v>
      </c>
      <c r="J58" s="216">
        <f t="shared" si="4"/>
        <v>0</v>
      </c>
      <c r="K58" s="208">
        <f t="shared" si="4"/>
        <v>0</v>
      </c>
      <c r="L58" s="216">
        <f t="shared" si="1"/>
        <v>0</v>
      </c>
      <c r="M58" s="209">
        <f t="shared" si="5"/>
        <v>0</v>
      </c>
      <c r="N58" s="210"/>
      <c r="O58" s="217">
        <f t="shared" si="2"/>
        <v>0</v>
      </c>
      <c r="P58" s="216">
        <f t="shared" si="3"/>
        <v>0</v>
      </c>
      <c r="Q58" s="212"/>
      <c r="R58" s="213">
        <f t="shared" si="6"/>
        <v>0</v>
      </c>
    </row>
    <row r="59" spans="1:18" ht="13.5" thickBot="1">
      <c r="A59" s="185"/>
      <c r="B59" s="186"/>
      <c r="C59" s="219"/>
      <c r="D59" s="219"/>
      <c r="E59" s="219"/>
      <c r="F59" s="220"/>
      <c r="G59" s="220"/>
      <c r="H59" s="220"/>
      <c r="I59" s="221">
        <f t="shared" si="0"/>
        <v>0</v>
      </c>
      <c r="J59" s="222">
        <f t="shared" si="4"/>
        <v>0</v>
      </c>
      <c r="K59" s="208">
        <f t="shared" si="4"/>
        <v>0</v>
      </c>
      <c r="L59" s="222">
        <f t="shared" si="1"/>
        <v>0</v>
      </c>
      <c r="M59" s="209">
        <f t="shared" si="5"/>
        <v>0</v>
      </c>
      <c r="N59" s="210"/>
      <c r="O59" s="223">
        <f t="shared" si="2"/>
        <v>0</v>
      </c>
      <c r="P59" s="222">
        <f t="shared" si="3"/>
        <v>0</v>
      </c>
      <c r="Q59" s="212"/>
      <c r="R59" s="213">
        <f t="shared" si="6"/>
        <v>0</v>
      </c>
    </row>
    <row r="60" spans="1:18" ht="14.25" thickTop="1" thickBot="1">
      <c r="A60" s="1147" t="s">
        <v>323</v>
      </c>
      <c r="B60" s="1148"/>
      <c r="C60" s="224">
        <f>SUM(C16:C59)</f>
        <v>66752349.009117983</v>
      </c>
      <c r="D60" s="224"/>
      <c r="E60" s="224">
        <f>SUM(E16:E59)</f>
        <v>11252604.757844811</v>
      </c>
      <c r="F60" s="225"/>
      <c r="G60" s="225"/>
      <c r="H60" s="226"/>
      <c r="I60" s="227"/>
      <c r="J60" s="225">
        <f t="shared" ref="J60:R60" si="7">SUM(J16:J59)</f>
        <v>3490523.7356474935</v>
      </c>
      <c r="K60" s="225">
        <f t="shared" si="7"/>
        <v>532590.89433333336</v>
      </c>
      <c r="L60" s="225">
        <f t="shared" si="7"/>
        <v>248935.03966077667</v>
      </c>
      <c r="M60" s="225">
        <f>SUM(M16:M59)</f>
        <v>4272049.6696416037</v>
      </c>
      <c r="N60" s="225">
        <f t="shared" si="7"/>
        <v>4272049.6631273599</v>
      </c>
      <c r="O60" s="225">
        <f t="shared" si="7"/>
        <v>6.5142434832523577E-3</v>
      </c>
      <c r="P60" s="225">
        <f t="shared" si="7"/>
        <v>497870.07932155335</v>
      </c>
      <c r="Q60" s="228">
        <f>SUM(Q16:Q59)</f>
        <v>1784.5009999999997</v>
      </c>
      <c r="R60" s="229">
        <f t="shared" si="7"/>
        <v>3986609.3139690459</v>
      </c>
    </row>
    <row r="61" spans="1:18" ht="13.5" thickBot="1">
      <c r="A61" s="101">
        <v>1611</v>
      </c>
      <c r="B61" s="102" t="s">
        <v>148</v>
      </c>
      <c r="C61" s="180">
        <f>'App.2-B_Fixed Asset Con''ty 2012'!N56</f>
        <v>-65457.794792000015</v>
      </c>
      <c r="D61" s="180"/>
      <c r="E61" s="180"/>
      <c r="F61" s="214">
        <v>2.522678074930611</v>
      </c>
      <c r="G61" s="214"/>
      <c r="H61" s="214"/>
      <c r="I61" s="215">
        <f t="shared" ref="I61" si="8">IF(H61=0,0,1/H61)</f>
        <v>0</v>
      </c>
      <c r="J61" s="181">
        <f>IF(F61=0,0,+C61/F61)</f>
        <v>-25947.74</v>
      </c>
      <c r="K61" s="208">
        <f t="shared" ref="K61" si="9">IF(G61=0,0,+D61/G61)</f>
        <v>0</v>
      </c>
      <c r="L61" s="216">
        <f t="shared" ref="L61" si="10">IF(H61=0,0,+(E61*0.5)/H61)</f>
        <v>0</v>
      </c>
      <c r="M61" s="181">
        <f t="shared" ref="M61" si="11">IF(ISERROR(+J61+L61), 0, +J61+K61+L61)</f>
        <v>-25947.74</v>
      </c>
      <c r="N61" s="141">
        <f>-'App.2-B_Fixed Asset Con''ty 2013'!O56</f>
        <v>-25947.74</v>
      </c>
      <c r="O61" s="181">
        <f t="shared" ref="O61" si="12">IF(ISERROR(+M61-N61), 0, +M61-N61)</f>
        <v>0</v>
      </c>
      <c r="P61" s="216">
        <f t="shared" ref="P61" si="13">IF(H61=0,0,+(E61)/H61)</f>
        <v>0</v>
      </c>
      <c r="Q61" s="212"/>
      <c r="R61" s="181">
        <f t="shared" ref="R61" si="14">IF(ISERROR(+P61+J61-Q61), 0, +P61+J61-Q61)</f>
        <v>-25947.74</v>
      </c>
    </row>
    <row r="62" spans="1:18" ht="14.25" thickTop="1" thickBot="1">
      <c r="A62" s="1147" t="s">
        <v>323</v>
      </c>
      <c r="B62" s="1148"/>
      <c r="C62" s="224">
        <f>C60+C61</f>
        <v>66686891.214325987</v>
      </c>
      <c r="D62" s="224"/>
      <c r="E62" s="224">
        <f t="shared" ref="E62:R62" si="15">E60+E61</f>
        <v>11252604.757844811</v>
      </c>
      <c r="F62" s="224"/>
      <c r="G62" s="224"/>
      <c r="H62" s="224"/>
      <c r="I62" s="224"/>
      <c r="J62" s="224">
        <f t="shared" si="15"/>
        <v>3464575.9956474933</v>
      </c>
      <c r="K62" s="224">
        <f t="shared" si="15"/>
        <v>532590.89433333336</v>
      </c>
      <c r="L62" s="224">
        <f t="shared" si="15"/>
        <v>248935.03966077667</v>
      </c>
      <c r="M62" s="230">
        <f t="shared" si="15"/>
        <v>4246101.9296416035</v>
      </c>
      <c r="N62" s="224">
        <f t="shared" si="15"/>
        <v>4246101.9231273597</v>
      </c>
      <c r="O62" s="224">
        <f t="shared" si="15"/>
        <v>6.5142434832523577E-3</v>
      </c>
      <c r="P62" s="224">
        <f t="shared" si="15"/>
        <v>497870.07932155335</v>
      </c>
      <c r="Q62" s="224">
        <f t="shared" si="15"/>
        <v>1784.5009999999997</v>
      </c>
      <c r="R62" s="224">
        <f t="shared" si="15"/>
        <v>3960661.5739690457</v>
      </c>
    </row>
    <row r="63" spans="1:18">
      <c r="N63" s="231"/>
    </row>
    <row r="64" spans="1:18">
      <c r="A64" s="31" t="s">
        <v>270</v>
      </c>
    </row>
    <row r="66" spans="1:18">
      <c r="A66" s="172">
        <v>1</v>
      </c>
      <c r="B66" s="1142" t="s">
        <v>355</v>
      </c>
      <c r="C66" s="1142"/>
      <c r="D66" s="1142"/>
      <c r="E66" s="1142"/>
      <c r="F66" s="1142"/>
      <c r="G66" s="1142"/>
      <c r="H66" s="1142"/>
      <c r="I66" s="1142"/>
      <c r="J66" s="1142"/>
      <c r="K66" s="1142"/>
      <c r="L66" s="1142"/>
      <c r="M66" s="1142"/>
      <c r="N66" s="1142"/>
      <c r="O66" s="1142"/>
      <c r="P66" s="1142"/>
      <c r="Q66" s="1142"/>
      <c r="R66" s="1142"/>
    </row>
    <row r="67" spans="1:18">
      <c r="A67" s="172">
        <v>2</v>
      </c>
      <c r="B67" s="1149" t="s">
        <v>356</v>
      </c>
      <c r="C67" s="1149"/>
      <c r="D67" s="1149"/>
      <c r="E67" s="1149"/>
      <c r="F67" s="1149"/>
      <c r="G67" s="1149"/>
      <c r="H67" s="1149"/>
      <c r="I67" s="1149"/>
      <c r="J67" s="1149"/>
      <c r="K67" s="1149"/>
      <c r="L67" s="1149"/>
      <c r="M67" s="1149"/>
      <c r="N67" s="1149"/>
      <c r="O67" s="1149"/>
      <c r="P67" s="1149"/>
      <c r="Q67" s="1149"/>
      <c r="R67" s="1149"/>
    </row>
    <row r="68" spans="1:18" ht="14.25" customHeight="1">
      <c r="A68" s="172">
        <v>3</v>
      </c>
      <c r="B68" s="1142" t="s">
        <v>392</v>
      </c>
      <c r="C68" s="1142"/>
      <c r="D68" s="1142"/>
      <c r="E68" s="1142"/>
      <c r="F68" s="1142"/>
      <c r="G68" s="1142"/>
      <c r="H68" s="1142"/>
      <c r="I68" s="1142"/>
      <c r="J68" s="1142"/>
      <c r="K68" s="1142"/>
      <c r="L68" s="1142"/>
      <c r="M68" s="1142"/>
      <c r="N68" s="1142"/>
      <c r="O68" s="1142"/>
      <c r="P68" s="1142"/>
      <c r="Q68" s="1142"/>
      <c r="R68" s="1142"/>
    </row>
    <row r="69" spans="1:18" ht="44.25" customHeight="1">
      <c r="A69" s="172">
        <v>4</v>
      </c>
      <c r="B69" s="1142" t="s">
        <v>393</v>
      </c>
      <c r="C69" s="1142"/>
      <c r="D69" s="1142"/>
      <c r="E69" s="1142"/>
      <c r="F69" s="1142"/>
      <c r="G69" s="1142"/>
      <c r="H69" s="1142"/>
      <c r="I69" s="1142"/>
      <c r="J69" s="1142"/>
      <c r="K69" s="1142"/>
      <c r="L69" s="1142"/>
      <c r="M69" s="1142"/>
      <c r="N69" s="1142"/>
      <c r="O69" s="1142"/>
      <c r="P69" s="1142"/>
      <c r="Q69" s="1142"/>
      <c r="R69" s="1142"/>
    </row>
    <row r="70" spans="1:18" ht="12.75" customHeight="1">
      <c r="A70" s="172">
        <v>5</v>
      </c>
      <c r="B70" s="1142" t="s">
        <v>394</v>
      </c>
      <c r="C70" s="1142"/>
      <c r="D70" s="1142"/>
      <c r="E70" s="1142"/>
      <c r="F70" s="1142"/>
      <c r="G70" s="1142"/>
      <c r="H70" s="1142"/>
      <c r="I70" s="1142"/>
      <c r="J70" s="1142"/>
      <c r="K70" s="1142"/>
      <c r="L70" s="1142"/>
      <c r="M70" s="1142"/>
      <c r="N70" s="1142"/>
      <c r="O70" s="1142"/>
      <c r="P70" s="1142"/>
      <c r="Q70" s="1142"/>
      <c r="R70" s="1142"/>
    </row>
    <row r="71" spans="1:18" ht="12.75" customHeight="1">
      <c r="A71" s="232">
        <v>6</v>
      </c>
      <c r="B71" s="1123" t="s">
        <v>395</v>
      </c>
      <c r="C71" s="1123"/>
      <c r="D71" s="1123"/>
      <c r="E71" s="1123"/>
      <c r="F71" s="1123"/>
      <c r="G71" s="1123"/>
      <c r="H71" s="1123"/>
      <c r="I71" s="1123"/>
      <c r="J71" s="1123"/>
      <c r="K71" s="1123"/>
      <c r="L71" s="1123"/>
      <c r="M71" s="1123"/>
      <c r="N71" s="1123"/>
      <c r="O71" s="1123"/>
      <c r="P71" s="1123"/>
      <c r="Q71" s="1123"/>
      <c r="R71" s="1123"/>
    </row>
    <row r="73" spans="1:18">
      <c r="A73" s="31" t="s">
        <v>357</v>
      </c>
      <c r="B73" s="1146" t="s">
        <v>358</v>
      </c>
      <c r="C73" s="1146"/>
      <c r="D73" s="1146"/>
      <c r="E73" s="1146"/>
      <c r="F73" s="1146"/>
      <c r="G73" s="1146"/>
      <c r="H73" s="1146"/>
      <c r="I73" s="1146"/>
      <c r="J73" s="1146"/>
      <c r="K73" s="1146"/>
      <c r="L73" s="1146"/>
      <c r="M73" s="1146"/>
      <c r="N73" s="1146"/>
      <c r="O73" s="1146"/>
    </row>
    <row r="74" spans="1:18">
      <c r="B74" s="1146"/>
      <c r="C74" s="1146"/>
      <c r="D74" s="1146"/>
      <c r="E74" s="1146"/>
      <c r="F74" s="1146"/>
      <c r="G74" s="1146"/>
      <c r="H74" s="1146"/>
      <c r="I74" s="1146"/>
      <c r="J74" s="1146"/>
      <c r="K74" s="1146"/>
      <c r="L74" s="1146"/>
      <c r="M74" s="1146"/>
      <c r="N74" s="1146"/>
      <c r="O74" s="1146"/>
    </row>
    <row r="75" spans="1:18">
      <c r="B75" s="1146"/>
      <c r="C75" s="1146"/>
      <c r="D75" s="1146"/>
      <c r="E75" s="1146"/>
      <c r="F75" s="1146"/>
      <c r="G75" s="1146"/>
      <c r="H75" s="1146"/>
      <c r="I75" s="1146"/>
      <c r="J75" s="1146"/>
      <c r="K75" s="1146"/>
      <c r="L75" s="1146"/>
      <c r="M75" s="1146"/>
      <c r="N75" s="1146"/>
      <c r="O75" s="1146"/>
    </row>
    <row r="83" spans="1:15">
      <c r="B83" s="74"/>
      <c r="C83" s="74"/>
      <c r="D83" s="74"/>
      <c r="E83" s="74"/>
      <c r="F83" s="74"/>
      <c r="G83" s="74"/>
      <c r="H83" s="74"/>
      <c r="I83" s="74"/>
      <c r="J83" s="74"/>
      <c r="K83" s="74"/>
      <c r="L83" s="74"/>
      <c r="M83" s="74"/>
      <c r="N83" s="74"/>
      <c r="O83" s="74"/>
    </row>
    <row r="84" spans="1:15">
      <c r="A84" s="74"/>
      <c r="B84" s="74"/>
      <c r="C84" s="74"/>
      <c r="D84" s="74"/>
      <c r="E84" s="74"/>
      <c r="F84" s="74"/>
      <c r="G84" s="74"/>
      <c r="H84" s="74"/>
      <c r="I84" s="74"/>
      <c r="J84" s="74"/>
      <c r="K84" s="74"/>
      <c r="L84" s="74"/>
      <c r="M84" s="74"/>
      <c r="N84" s="74"/>
      <c r="O84" s="74"/>
    </row>
    <row r="86" spans="1:15">
      <c r="O86" s="74"/>
    </row>
    <row r="87" spans="1:15" ht="12.75" customHeight="1">
      <c r="O87" s="74"/>
    </row>
    <row r="88" spans="1:15">
      <c r="O88" s="74"/>
    </row>
    <row r="89" spans="1:15">
      <c r="O89" s="74"/>
    </row>
    <row r="90" spans="1:15">
      <c r="A90" s="174"/>
      <c r="B90" s="174"/>
      <c r="C90" s="174"/>
      <c r="D90" s="174"/>
      <c r="E90" s="174"/>
      <c r="F90" s="174"/>
      <c r="G90" s="174"/>
      <c r="H90" s="174"/>
      <c r="I90" s="174"/>
      <c r="J90" s="74"/>
      <c r="K90" s="74"/>
      <c r="L90" s="74"/>
      <c r="M90" s="74"/>
      <c r="N90" s="74"/>
      <c r="O90" s="74"/>
    </row>
    <row r="91" spans="1:15">
      <c r="A91" s="174"/>
      <c r="B91" s="174"/>
      <c r="C91" s="174"/>
      <c r="D91" s="174"/>
      <c r="E91" s="174"/>
      <c r="F91" s="174"/>
      <c r="G91" s="174"/>
      <c r="H91" s="174"/>
      <c r="I91" s="174"/>
      <c r="J91" s="74"/>
      <c r="K91" s="74"/>
      <c r="L91" s="74"/>
      <c r="M91" s="74"/>
      <c r="N91" s="74"/>
      <c r="O91" s="74"/>
    </row>
    <row r="92" spans="1:15">
      <c r="O92" s="74"/>
    </row>
    <row r="93" spans="1:15">
      <c r="J93" s="233"/>
      <c r="K93" s="233"/>
      <c r="L93" s="233"/>
      <c r="M93" s="233"/>
      <c r="N93" s="233"/>
      <c r="O93" s="74"/>
    </row>
    <row r="94" spans="1:15" ht="14.25">
      <c r="A94" s="234"/>
      <c r="B94" s="235"/>
      <c r="C94" s="235"/>
      <c r="D94" s="235"/>
      <c r="E94" s="235"/>
      <c r="F94" s="235"/>
      <c r="G94" s="235"/>
      <c r="H94" s="235"/>
      <c r="I94" s="233"/>
      <c r="J94" s="233"/>
      <c r="K94" s="233"/>
      <c r="L94" s="233"/>
      <c r="M94" s="233"/>
      <c r="N94" s="233"/>
      <c r="O94" s="74"/>
    </row>
    <row r="95" spans="1:15" ht="14.25">
      <c r="A95" s="234"/>
      <c r="B95" s="235"/>
      <c r="C95" s="235"/>
      <c r="D95" s="235"/>
      <c r="E95" s="235"/>
      <c r="F95" s="235"/>
      <c r="G95" s="235"/>
      <c r="H95" s="235"/>
      <c r="I95" s="233"/>
      <c r="J95" s="233"/>
      <c r="K95" s="233"/>
      <c r="L95" s="233"/>
      <c r="M95" s="233"/>
      <c r="N95" s="233"/>
      <c r="O95" s="74"/>
    </row>
    <row r="97" spans="1:1">
      <c r="A97" s="74"/>
    </row>
    <row r="98" spans="1:1">
      <c r="A98" s="74"/>
    </row>
  </sheetData>
  <mergeCells count="16">
    <mergeCell ref="B70:R70"/>
    <mergeCell ref="B71:R71"/>
    <mergeCell ref="B73:O75"/>
    <mergeCell ref="A60:B60"/>
    <mergeCell ref="A62:B62"/>
    <mergeCell ref="B66:R66"/>
    <mergeCell ref="B67:R67"/>
    <mergeCell ref="B68:R68"/>
    <mergeCell ref="B69:R69"/>
    <mergeCell ref="A9:R9"/>
    <mergeCell ref="A10:R10"/>
    <mergeCell ref="A11:R11"/>
    <mergeCell ref="A14:A15"/>
    <mergeCell ref="B14:B15"/>
    <mergeCell ref="N14:N15"/>
    <mergeCell ref="Q14:Q15"/>
  </mergeCells>
  <dataValidations count="1">
    <dataValidation allowBlank="1" showInputMessage="1" showErrorMessage="1" promptTitle="Date Format" prompt="E.g:  &quot;August 1, 2011&quot;" sqref="WVX983055 JL7 TH7 ADD7 AMZ7 AWV7 BGR7 BQN7 CAJ7 CKF7 CUB7 DDX7 DNT7 DXP7 EHL7 ERH7 FBD7 FKZ7 FUV7 GER7 GON7 GYJ7 HIF7 HSB7 IBX7 ILT7 IVP7 JFL7 JPH7 JZD7 KIZ7 KSV7 LCR7 LMN7 LWJ7 MGF7 MQB7 MZX7 NJT7 NTP7 ODL7 ONH7 OXD7 PGZ7 PQV7 QAR7 QKN7 QUJ7 REF7 ROB7 RXX7 SHT7 SRP7 TBL7 TLH7 TVD7 UEZ7 UOV7 UYR7 VIN7 VSJ7 WCF7 WMB7 WVX7 O65551 JL65551 TH65551 ADD65551 AMZ65551 AWV65551 BGR65551 BQN65551 CAJ65551 CKF65551 CUB65551 DDX65551 DNT65551 DXP65551 EHL65551 ERH65551 FBD65551 FKZ65551 FUV65551 GER65551 GON65551 GYJ65551 HIF65551 HSB65551 IBX65551 ILT65551 IVP65551 JFL65551 JPH65551 JZD65551 KIZ65551 KSV65551 LCR65551 LMN65551 LWJ65551 MGF65551 MQB65551 MZX65551 NJT65551 NTP65551 ODL65551 ONH65551 OXD65551 PGZ65551 PQV65551 QAR65551 QKN65551 QUJ65551 REF65551 ROB65551 RXX65551 SHT65551 SRP65551 TBL65551 TLH65551 TVD65551 UEZ65551 UOV65551 UYR65551 VIN65551 VSJ65551 WCF65551 WMB65551 WVX65551 O131087 JL131087 TH131087 ADD131087 AMZ131087 AWV131087 BGR131087 BQN131087 CAJ131087 CKF131087 CUB131087 DDX131087 DNT131087 DXP131087 EHL131087 ERH131087 FBD131087 FKZ131087 FUV131087 GER131087 GON131087 GYJ131087 HIF131087 HSB131087 IBX131087 ILT131087 IVP131087 JFL131087 JPH131087 JZD131087 KIZ131087 KSV131087 LCR131087 LMN131087 LWJ131087 MGF131087 MQB131087 MZX131087 NJT131087 NTP131087 ODL131087 ONH131087 OXD131087 PGZ131087 PQV131087 QAR131087 QKN131087 QUJ131087 REF131087 ROB131087 RXX131087 SHT131087 SRP131087 TBL131087 TLH131087 TVD131087 UEZ131087 UOV131087 UYR131087 VIN131087 VSJ131087 WCF131087 WMB131087 WVX131087 O196623 JL196623 TH196623 ADD196623 AMZ196623 AWV196623 BGR196623 BQN196623 CAJ196623 CKF196623 CUB196623 DDX196623 DNT196623 DXP196623 EHL196623 ERH196623 FBD196623 FKZ196623 FUV196623 GER196623 GON196623 GYJ196623 HIF196623 HSB196623 IBX196623 ILT196623 IVP196623 JFL196623 JPH196623 JZD196623 KIZ196623 KSV196623 LCR196623 LMN196623 LWJ196623 MGF196623 MQB196623 MZX196623 NJT196623 NTP196623 ODL196623 ONH196623 OXD196623 PGZ196623 PQV196623 QAR196623 QKN196623 QUJ196623 REF196623 ROB196623 RXX196623 SHT196623 SRP196623 TBL196623 TLH196623 TVD196623 UEZ196623 UOV196623 UYR196623 VIN196623 VSJ196623 WCF196623 WMB196623 WVX196623 O262159 JL262159 TH262159 ADD262159 AMZ262159 AWV262159 BGR262159 BQN262159 CAJ262159 CKF262159 CUB262159 DDX262159 DNT262159 DXP262159 EHL262159 ERH262159 FBD262159 FKZ262159 FUV262159 GER262159 GON262159 GYJ262159 HIF262159 HSB262159 IBX262159 ILT262159 IVP262159 JFL262159 JPH262159 JZD262159 KIZ262159 KSV262159 LCR262159 LMN262159 LWJ262159 MGF262159 MQB262159 MZX262159 NJT262159 NTP262159 ODL262159 ONH262159 OXD262159 PGZ262159 PQV262159 QAR262159 QKN262159 QUJ262159 REF262159 ROB262159 RXX262159 SHT262159 SRP262159 TBL262159 TLH262159 TVD262159 UEZ262159 UOV262159 UYR262159 VIN262159 VSJ262159 WCF262159 WMB262159 WVX262159 O327695 JL327695 TH327695 ADD327695 AMZ327695 AWV327695 BGR327695 BQN327695 CAJ327695 CKF327695 CUB327695 DDX327695 DNT327695 DXP327695 EHL327695 ERH327695 FBD327695 FKZ327695 FUV327695 GER327695 GON327695 GYJ327695 HIF327695 HSB327695 IBX327695 ILT327695 IVP327695 JFL327695 JPH327695 JZD327695 KIZ327695 KSV327695 LCR327695 LMN327695 LWJ327695 MGF327695 MQB327695 MZX327695 NJT327695 NTP327695 ODL327695 ONH327695 OXD327695 PGZ327695 PQV327695 QAR327695 QKN327695 QUJ327695 REF327695 ROB327695 RXX327695 SHT327695 SRP327695 TBL327695 TLH327695 TVD327695 UEZ327695 UOV327695 UYR327695 VIN327695 VSJ327695 WCF327695 WMB327695 WVX327695 O393231 JL393231 TH393231 ADD393231 AMZ393231 AWV393231 BGR393231 BQN393231 CAJ393231 CKF393231 CUB393231 DDX393231 DNT393231 DXP393231 EHL393231 ERH393231 FBD393231 FKZ393231 FUV393231 GER393231 GON393231 GYJ393231 HIF393231 HSB393231 IBX393231 ILT393231 IVP393231 JFL393231 JPH393231 JZD393231 KIZ393231 KSV393231 LCR393231 LMN393231 LWJ393231 MGF393231 MQB393231 MZX393231 NJT393231 NTP393231 ODL393231 ONH393231 OXD393231 PGZ393231 PQV393231 QAR393231 QKN393231 QUJ393231 REF393231 ROB393231 RXX393231 SHT393231 SRP393231 TBL393231 TLH393231 TVD393231 UEZ393231 UOV393231 UYR393231 VIN393231 VSJ393231 WCF393231 WMB393231 WVX393231 O458767 JL458767 TH458767 ADD458767 AMZ458767 AWV458767 BGR458767 BQN458767 CAJ458767 CKF458767 CUB458767 DDX458767 DNT458767 DXP458767 EHL458767 ERH458767 FBD458767 FKZ458767 FUV458767 GER458767 GON458767 GYJ458767 HIF458767 HSB458767 IBX458767 ILT458767 IVP458767 JFL458767 JPH458767 JZD458767 KIZ458767 KSV458767 LCR458767 LMN458767 LWJ458767 MGF458767 MQB458767 MZX458767 NJT458767 NTP458767 ODL458767 ONH458767 OXD458767 PGZ458767 PQV458767 QAR458767 QKN458767 QUJ458767 REF458767 ROB458767 RXX458767 SHT458767 SRP458767 TBL458767 TLH458767 TVD458767 UEZ458767 UOV458767 UYR458767 VIN458767 VSJ458767 WCF458767 WMB458767 WVX458767 O524303 JL524303 TH524303 ADD524303 AMZ524303 AWV524303 BGR524303 BQN524303 CAJ524303 CKF524303 CUB524303 DDX524303 DNT524303 DXP524303 EHL524303 ERH524303 FBD524303 FKZ524303 FUV524303 GER524303 GON524303 GYJ524303 HIF524303 HSB524303 IBX524303 ILT524303 IVP524303 JFL524303 JPH524303 JZD524303 KIZ524303 KSV524303 LCR524303 LMN524303 LWJ524303 MGF524303 MQB524303 MZX524303 NJT524303 NTP524303 ODL524303 ONH524303 OXD524303 PGZ524303 PQV524303 QAR524303 QKN524303 QUJ524303 REF524303 ROB524303 RXX524303 SHT524303 SRP524303 TBL524303 TLH524303 TVD524303 UEZ524303 UOV524303 UYR524303 VIN524303 VSJ524303 WCF524303 WMB524303 WVX524303 O589839 JL589839 TH589839 ADD589839 AMZ589839 AWV589839 BGR589839 BQN589839 CAJ589839 CKF589839 CUB589839 DDX589839 DNT589839 DXP589839 EHL589839 ERH589839 FBD589839 FKZ589839 FUV589839 GER589839 GON589839 GYJ589839 HIF589839 HSB589839 IBX589839 ILT589839 IVP589839 JFL589839 JPH589839 JZD589839 KIZ589839 KSV589839 LCR589839 LMN589839 LWJ589839 MGF589839 MQB589839 MZX589839 NJT589839 NTP589839 ODL589839 ONH589839 OXD589839 PGZ589839 PQV589839 QAR589839 QKN589839 QUJ589839 REF589839 ROB589839 RXX589839 SHT589839 SRP589839 TBL589839 TLH589839 TVD589839 UEZ589839 UOV589839 UYR589839 VIN589839 VSJ589839 WCF589839 WMB589839 WVX589839 O655375 JL655375 TH655375 ADD655375 AMZ655375 AWV655375 BGR655375 BQN655375 CAJ655375 CKF655375 CUB655375 DDX655375 DNT655375 DXP655375 EHL655375 ERH655375 FBD655375 FKZ655375 FUV655375 GER655375 GON655375 GYJ655375 HIF655375 HSB655375 IBX655375 ILT655375 IVP655375 JFL655375 JPH655375 JZD655375 KIZ655375 KSV655375 LCR655375 LMN655375 LWJ655375 MGF655375 MQB655375 MZX655375 NJT655375 NTP655375 ODL655375 ONH655375 OXD655375 PGZ655375 PQV655375 QAR655375 QKN655375 QUJ655375 REF655375 ROB655375 RXX655375 SHT655375 SRP655375 TBL655375 TLH655375 TVD655375 UEZ655375 UOV655375 UYR655375 VIN655375 VSJ655375 WCF655375 WMB655375 WVX655375 O720911 JL720911 TH720911 ADD720911 AMZ720911 AWV720911 BGR720911 BQN720911 CAJ720911 CKF720911 CUB720911 DDX720911 DNT720911 DXP720911 EHL720911 ERH720911 FBD720911 FKZ720911 FUV720911 GER720911 GON720911 GYJ720911 HIF720911 HSB720911 IBX720911 ILT720911 IVP720911 JFL720911 JPH720911 JZD720911 KIZ720911 KSV720911 LCR720911 LMN720911 LWJ720911 MGF720911 MQB720911 MZX720911 NJT720911 NTP720911 ODL720911 ONH720911 OXD720911 PGZ720911 PQV720911 QAR720911 QKN720911 QUJ720911 REF720911 ROB720911 RXX720911 SHT720911 SRP720911 TBL720911 TLH720911 TVD720911 UEZ720911 UOV720911 UYR720911 VIN720911 VSJ720911 WCF720911 WMB720911 WVX720911 O786447 JL786447 TH786447 ADD786447 AMZ786447 AWV786447 BGR786447 BQN786447 CAJ786447 CKF786447 CUB786447 DDX786447 DNT786447 DXP786447 EHL786447 ERH786447 FBD786447 FKZ786447 FUV786447 GER786447 GON786447 GYJ786447 HIF786447 HSB786447 IBX786447 ILT786447 IVP786447 JFL786447 JPH786447 JZD786447 KIZ786447 KSV786447 LCR786447 LMN786447 LWJ786447 MGF786447 MQB786447 MZX786447 NJT786447 NTP786447 ODL786447 ONH786447 OXD786447 PGZ786447 PQV786447 QAR786447 QKN786447 QUJ786447 REF786447 ROB786447 RXX786447 SHT786447 SRP786447 TBL786447 TLH786447 TVD786447 UEZ786447 UOV786447 UYR786447 VIN786447 VSJ786447 WCF786447 WMB786447 WVX786447 O851983 JL851983 TH851983 ADD851983 AMZ851983 AWV851983 BGR851983 BQN851983 CAJ851983 CKF851983 CUB851983 DDX851983 DNT851983 DXP851983 EHL851983 ERH851983 FBD851983 FKZ851983 FUV851983 GER851983 GON851983 GYJ851983 HIF851983 HSB851983 IBX851983 ILT851983 IVP851983 JFL851983 JPH851983 JZD851983 KIZ851983 KSV851983 LCR851983 LMN851983 LWJ851983 MGF851983 MQB851983 MZX851983 NJT851983 NTP851983 ODL851983 ONH851983 OXD851983 PGZ851983 PQV851983 QAR851983 QKN851983 QUJ851983 REF851983 ROB851983 RXX851983 SHT851983 SRP851983 TBL851983 TLH851983 TVD851983 UEZ851983 UOV851983 UYR851983 VIN851983 VSJ851983 WCF851983 WMB851983 WVX851983 O917519 JL917519 TH917519 ADD917519 AMZ917519 AWV917519 BGR917519 BQN917519 CAJ917519 CKF917519 CUB917519 DDX917519 DNT917519 DXP917519 EHL917519 ERH917519 FBD917519 FKZ917519 FUV917519 GER917519 GON917519 GYJ917519 HIF917519 HSB917519 IBX917519 ILT917519 IVP917519 JFL917519 JPH917519 JZD917519 KIZ917519 KSV917519 LCR917519 LMN917519 LWJ917519 MGF917519 MQB917519 MZX917519 NJT917519 NTP917519 ODL917519 ONH917519 OXD917519 PGZ917519 PQV917519 QAR917519 QKN917519 QUJ917519 REF917519 ROB917519 RXX917519 SHT917519 SRP917519 TBL917519 TLH917519 TVD917519 UEZ917519 UOV917519 UYR917519 VIN917519 VSJ917519 WCF917519 WMB917519 WVX917519 O983055 JL983055 TH983055 ADD983055 AMZ983055 AWV983055 BGR983055 BQN983055 CAJ983055 CKF983055 CUB983055 DDX983055 DNT983055 DXP983055 EHL983055 ERH983055 FBD983055 FKZ983055 FUV983055 GER983055 GON983055 GYJ983055 HIF983055 HSB983055 IBX983055 ILT983055 IVP983055 JFL983055 JPH983055 JZD983055 KIZ983055 KSV983055 LCR983055 LMN983055 LWJ983055 MGF983055 MQB983055 MZX983055 NJT983055 NTP983055 ODL983055 ONH983055 OXD983055 PGZ983055 PQV983055 QAR983055 QKN983055 QUJ983055 REF983055 ROB983055 RXX983055 SHT983055 SRP983055 TBL983055 TLH983055 TVD983055 UEZ983055 UOV983055 UYR983055 VIN983055 VSJ983055 WCF983055 WMB983055"/>
  </dataValidations>
  <printOptions horizontalCentered="1"/>
  <pageMargins left="0.74803149606299213" right="0.74803149606299213" top="0.70866141732283472" bottom="0.39370078740157483" header="0.39370078740157483" footer="0.27559055118110237"/>
  <pageSetup scale="42" orientation="landscape" r:id="rId1"/>
  <headerFooter alignWithMargins="0"/>
</worksheet>
</file>

<file path=xl/worksheets/sheet14.xml><?xml version="1.0" encoding="utf-8"?>
<worksheet xmlns="http://schemas.openxmlformats.org/spreadsheetml/2006/main" xmlns:r="http://schemas.openxmlformats.org/officeDocument/2006/relationships">
  <sheetPr>
    <pageSetUpPr fitToPage="1"/>
  </sheetPr>
  <dimension ref="A1:P77"/>
  <sheetViews>
    <sheetView showGridLines="0" zoomScale="90" zoomScaleNormal="90" workbookViewId="0">
      <selection activeCell="J24" sqref="J24"/>
    </sheetView>
  </sheetViews>
  <sheetFormatPr defaultRowHeight="12.75"/>
  <cols>
    <col min="1" max="1" width="5" style="30" customWidth="1"/>
    <col min="2" max="2" width="62" style="30" customWidth="1"/>
    <col min="3" max="3" width="12.7109375" style="30" bestFit="1" customWidth="1"/>
    <col min="4" max="4" width="1.7109375" style="30" customWidth="1"/>
    <col min="5" max="7" width="15.7109375" style="30" customWidth="1"/>
    <col min="8" max="8" width="17.85546875" style="30" bestFit="1" customWidth="1"/>
    <col min="9" max="9" width="18.5703125" style="30" bestFit="1" customWidth="1"/>
    <col min="10" max="12" width="15.7109375" style="30" customWidth="1"/>
    <col min="13" max="13" width="20" style="30" customWidth="1"/>
    <col min="14" max="14" width="18.5703125" style="30" bestFit="1" customWidth="1"/>
    <col min="15" max="15" width="13.7109375" style="30" customWidth="1"/>
    <col min="16" max="16" width="54.5703125" style="30" bestFit="1" customWidth="1"/>
    <col min="17" max="255" width="9.140625" style="30"/>
    <col min="256" max="256" width="2.85546875" style="30" customWidth="1"/>
    <col min="257" max="257" width="5" style="30" customWidth="1"/>
    <col min="258" max="258" width="62" style="30" customWidth="1"/>
    <col min="259" max="259" width="12.7109375" style="30" bestFit="1" customWidth="1"/>
    <col min="260" max="260" width="1.7109375" style="30" customWidth="1"/>
    <col min="261" max="263" width="15.7109375" style="30" customWidth="1"/>
    <col min="264" max="264" width="17.85546875" style="30" bestFit="1" customWidth="1"/>
    <col min="265" max="265" width="18.5703125" style="30" bestFit="1" customWidth="1"/>
    <col min="266" max="268" width="15.7109375" style="30" customWidth="1"/>
    <col min="269" max="269" width="20" style="30" customWidth="1"/>
    <col min="270" max="270" width="18.5703125" style="30" bestFit="1" customWidth="1"/>
    <col min="271" max="271" width="13.7109375" style="30" customWidth="1"/>
    <col min="272" max="272" width="54.5703125" style="30" bestFit="1" customWidth="1"/>
    <col min="273" max="511" width="9.140625" style="30"/>
    <col min="512" max="512" width="2.85546875" style="30" customWidth="1"/>
    <col min="513" max="513" width="5" style="30" customWidth="1"/>
    <col min="514" max="514" width="62" style="30" customWidth="1"/>
    <col min="515" max="515" width="12.7109375" style="30" bestFit="1" customWidth="1"/>
    <col min="516" max="516" width="1.7109375" style="30" customWidth="1"/>
    <col min="517" max="519" width="15.7109375" style="30" customWidth="1"/>
    <col min="520" max="520" width="17.85546875" style="30" bestFit="1" customWidth="1"/>
    <col min="521" max="521" width="18.5703125" style="30" bestFit="1" customWidth="1"/>
    <col min="522" max="524" width="15.7109375" style="30" customWidth="1"/>
    <col min="525" max="525" width="20" style="30" customWidth="1"/>
    <col min="526" max="526" width="18.5703125" style="30" bestFit="1" customWidth="1"/>
    <col min="527" max="527" width="13.7109375" style="30" customWidth="1"/>
    <col min="528" max="528" width="54.5703125" style="30" bestFit="1" customWidth="1"/>
    <col min="529" max="767" width="9.140625" style="30"/>
    <col min="768" max="768" width="2.85546875" style="30" customWidth="1"/>
    <col min="769" max="769" width="5" style="30" customWidth="1"/>
    <col min="770" max="770" width="62" style="30" customWidth="1"/>
    <col min="771" max="771" width="12.7109375" style="30" bestFit="1" customWidth="1"/>
    <col min="772" max="772" width="1.7109375" style="30" customWidth="1"/>
    <col min="773" max="775" width="15.7109375" style="30" customWidth="1"/>
    <col min="776" max="776" width="17.85546875" style="30" bestFit="1" customWidth="1"/>
    <col min="777" max="777" width="18.5703125" style="30" bestFit="1" customWidth="1"/>
    <col min="778" max="780" width="15.7109375" style="30" customWidth="1"/>
    <col min="781" max="781" width="20" style="30" customWidth="1"/>
    <col min="782" max="782" width="18.5703125" style="30" bestFit="1" customWidth="1"/>
    <col min="783" max="783" width="13.7109375" style="30" customWidth="1"/>
    <col min="784" max="784" width="54.5703125" style="30" bestFit="1" customWidth="1"/>
    <col min="785" max="1023" width="9.140625" style="30"/>
    <col min="1024" max="1024" width="2.85546875" style="30" customWidth="1"/>
    <col min="1025" max="1025" width="5" style="30" customWidth="1"/>
    <col min="1026" max="1026" width="62" style="30" customWidth="1"/>
    <col min="1027" max="1027" width="12.7109375" style="30" bestFit="1" customWidth="1"/>
    <col min="1028" max="1028" width="1.7109375" style="30" customWidth="1"/>
    <col min="1029" max="1031" width="15.7109375" style="30" customWidth="1"/>
    <col min="1032" max="1032" width="17.85546875" style="30" bestFit="1" customWidth="1"/>
    <col min="1033" max="1033" width="18.5703125" style="30" bestFit="1" customWidth="1"/>
    <col min="1034" max="1036" width="15.7109375" style="30" customWidth="1"/>
    <col min="1037" max="1037" width="20" style="30" customWidth="1"/>
    <col min="1038" max="1038" width="18.5703125" style="30" bestFit="1" customWidth="1"/>
    <col min="1039" max="1039" width="13.7109375" style="30" customWidth="1"/>
    <col min="1040" max="1040" width="54.5703125" style="30" bestFit="1" customWidth="1"/>
    <col min="1041" max="1279" width="9.140625" style="30"/>
    <col min="1280" max="1280" width="2.85546875" style="30" customWidth="1"/>
    <col min="1281" max="1281" width="5" style="30" customWidth="1"/>
    <col min="1282" max="1282" width="62" style="30" customWidth="1"/>
    <col min="1283" max="1283" width="12.7109375" style="30" bestFit="1" customWidth="1"/>
    <col min="1284" max="1284" width="1.7109375" style="30" customWidth="1"/>
    <col min="1285" max="1287" width="15.7109375" style="30" customWidth="1"/>
    <col min="1288" max="1288" width="17.85546875" style="30" bestFit="1" customWidth="1"/>
    <col min="1289" max="1289" width="18.5703125" style="30" bestFit="1" customWidth="1"/>
    <col min="1290" max="1292" width="15.7109375" style="30" customWidth="1"/>
    <col min="1293" max="1293" width="20" style="30" customWidth="1"/>
    <col min="1294" max="1294" width="18.5703125" style="30" bestFit="1" customWidth="1"/>
    <col min="1295" max="1295" width="13.7109375" style="30" customWidth="1"/>
    <col min="1296" max="1296" width="54.5703125" style="30" bestFit="1" customWidth="1"/>
    <col min="1297" max="1535" width="9.140625" style="30"/>
    <col min="1536" max="1536" width="2.85546875" style="30" customWidth="1"/>
    <col min="1537" max="1537" width="5" style="30" customWidth="1"/>
    <col min="1538" max="1538" width="62" style="30" customWidth="1"/>
    <col min="1539" max="1539" width="12.7109375" style="30" bestFit="1" customWidth="1"/>
    <col min="1540" max="1540" width="1.7109375" style="30" customWidth="1"/>
    <col min="1541" max="1543" width="15.7109375" style="30" customWidth="1"/>
    <col min="1544" max="1544" width="17.85546875" style="30" bestFit="1" customWidth="1"/>
    <col min="1545" max="1545" width="18.5703125" style="30" bestFit="1" customWidth="1"/>
    <col min="1546" max="1548" width="15.7109375" style="30" customWidth="1"/>
    <col min="1549" max="1549" width="20" style="30" customWidth="1"/>
    <col min="1550" max="1550" width="18.5703125" style="30" bestFit="1" customWidth="1"/>
    <col min="1551" max="1551" width="13.7109375" style="30" customWidth="1"/>
    <col min="1552" max="1552" width="54.5703125" style="30" bestFit="1" customWidth="1"/>
    <col min="1553" max="1791" width="9.140625" style="30"/>
    <col min="1792" max="1792" width="2.85546875" style="30" customWidth="1"/>
    <col min="1793" max="1793" width="5" style="30" customWidth="1"/>
    <col min="1794" max="1794" width="62" style="30" customWidth="1"/>
    <col min="1795" max="1795" width="12.7109375" style="30" bestFit="1" customWidth="1"/>
    <col min="1796" max="1796" width="1.7109375" style="30" customWidth="1"/>
    <col min="1797" max="1799" width="15.7109375" style="30" customWidth="1"/>
    <col min="1800" max="1800" width="17.85546875" style="30" bestFit="1" customWidth="1"/>
    <col min="1801" max="1801" width="18.5703125" style="30" bestFit="1" customWidth="1"/>
    <col min="1802" max="1804" width="15.7109375" style="30" customWidth="1"/>
    <col min="1805" max="1805" width="20" style="30" customWidth="1"/>
    <col min="1806" max="1806" width="18.5703125" style="30" bestFit="1" customWidth="1"/>
    <col min="1807" max="1807" width="13.7109375" style="30" customWidth="1"/>
    <col min="1808" max="1808" width="54.5703125" style="30" bestFit="1" customWidth="1"/>
    <col min="1809" max="2047" width="9.140625" style="30"/>
    <col min="2048" max="2048" width="2.85546875" style="30" customWidth="1"/>
    <col min="2049" max="2049" width="5" style="30" customWidth="1"/>
    <col min="2050" max="2050" width="62" style="30" customWidth="1"/>
    <col min="2051" max="2051" width="12.7109375" style="30" bestFit="1" customWidth="1"/>
    <col min="2052" max="2052" width="1.7109375" style="30" customWidth="1"/>
    <col min="2053" max="2055" width="15.7109375" style="30" customWidth="1"/>
    <col min="2056" max="2056" width="17.85546875" style="30" bestFit="1" customWidth="1"/>
    <col min="2057" max="2057" width="18.5703125" style="30" bestFit="1" customWidth="1"/>
    <col min="2058" max="2060" width="15.7109375" style="30" customWidth="1"/>
    <col min="2061" max="2061" width="20" style="30" customWidth="1"/>
    <col min="2062" max="2062" width="18.5703125" style="30" bestFit="1" customWidth="1"/>
    <col min="2063" max="2063" width="13.7109375" style="30" customWidth="1"/>
    <col min="2064" max="2064" width="54.5703125" style="30" bestFit="1" customWidth="1"/>
    <col min="2065" max="2303" width="9.140625" style="30"/>
    <col min="2304" max="2304" width="2.85546875" style="30" customWidth="1"/>
    <col min="2305" max="2305" width="5" style="30" customWidth="1"/>
    <col min="2306" max="2306" width="62" style="30" customWidth="1"/>
    <col min="2307" max="2307" width="12.7109375" style="30" bestFit="1" customWidth="1"/>
    <col min="2308" max="2308" width="1.7109375" style="30" customWidth="1"/>
    <col min="2309" max="2311" width="15.7109375" style="30" customWidth="1"/>
    <col min="2312" max="2312" width="17.85546875" style="30" bestFit="1" customWidth="1"/>
    <col min="2313" max="2313" width="18.5703125" style="30" bestFit="1" customWidth="1"/>
    <col min="2314" max="2316" width="15.7109375" style="30" customWidth="1"/>
    <col min="2317" max="2317" width="20" style="30" customWidth="1"/>
    <col min="2318" max="2318" width="18.5703125" style="30" bestFit="1" customWidth="1"/>
    <col min="2319" max="2319" width="13.7109375" style="30" customWidth="1"/>
    <col min="2320" max="2320" width="54.5703125" style="30" bestFit="1" customWidth="1"/>
    <col min="2321" max="2559" width="9.140625" style="30"/>
    <col min="2560" max="2560" width="2.85546875" style="30" customWidth="1"/>
    <col min="2561" max="2561" width="5" style="30" customWidth="1"/>
    <col min="2562" max="2562" width="62" style="30" customWidth="1"/>
    <col min="2563" max="2563" width="12.7109375" style="30" bestFit="1" customWidth="1"/>
    <col min="2564" max="2564" width="1.7109375" style="30" customWidth="1"/>
    <col min="2565" max="2567" width="15.7109375" style="30" customWidth="1"/>
    <col min="2568" max="2568" width="17.85546875" style="30" bestFit="1" customWidth="1"/>
    <col min="2569" max="2569" width="18.5703125" style="30" bestFit="1" customWidth="1"/>
    <col min="2570" max="2572" width="15.7109375" style="30" customWidth="1"/>
    <col min="2573" max="2573" width="20" style="30" customWidth="1"/>
    <col min="2574" max="2574" width="18.5703125" style="30" bestFit="1" customWidth="1"/>
    <col min="2575" max="2575" width="13.7109375" style="30" customWidth="1"/>
    <col min="2576" max="2576" width="54.5703125" style="30" bestFit="1" customWidth="1"/>
    <col min="2577" max="2815" width="9.140625" style="30"/>
    <col min="2816" max="2816" width="2.85546875" style="30" customWidth="1"/>
    <col min="2817" max="2817" width="5" style="30" customWidth="1"/>
    <col min="2818" max="2818" width="62" style="30" customWidth="1"/>
    <col min="2819" max="2819" width="12.7109375" style="30" bestFit="1" customWidth="1"/>
    <col min="2820" max="2820" width="1.7109375" style="30" customWidth="1"/>
    <col min="2821" max="2823" width="15.7109375" style="30" customWidth="1"/>
    <col min="2824" max="2824" width="17.85546875" style="30" bestFit="1" customWidth="1"/>
    <col min="2825" max="2825" width="18.5703125" style="30" bestFit="1" customWidth="1"/>
    <col min="2826" max="2828" width="15.7109375" style="30" customWidth="1"/>
    <col min="2829" max="2829" width="20" style="30" customWidth="1"/>
    <col min="2830" max="2830" width="18.5703125" style="30" bestFit="1" customWidth="1"/>
    <col min="2831" max="2831" width="13.7109375" style="30" customWidth="1"/>
    <col min="2832" max="2832" width="54.5703125" style="30" bestFit="1" customWidth="1"/>
    <col min="2833" max="3071" width="9.140625" style="30"/>
    <col min="3072" max="3072" width="2.85546875" style="30" customWidth="1"/>
    <col min="3073" max="3073" width="5" style="30" customWidth="1"/>
    <col min="3074" max="3074" width="62" style="30" customWidth="1"/>
    <col min="3075" max="3075" width="12.7109375" style="30" bestFit="1" customWidth="1"/>
    <col min="3076" max="3076" width="1.7109375" style="30" customWidth="1"/>
    <col min="3077" max="3079" width="15.7109375" style="30" customWidth="1"/>
    <col min="3080" max="3080" width="17.85546875" style="30" bestFit="1" customWidth="1"/>
    <col min="3081" max="3081" width="18.5703125" style="30" bestFit="1" customWidth="1"/>
    <col min="3082" max="3084" width="15.7109375" style="30" customWidth="1"/>
    <col min="3085" max="3085" width="20" style="30" customWidth="1"/>
    <col min="3086" max="3086" width="18.5703125" style="30" bestFit="1" customWidth="1"/>
    <col min="3087" max="3087" width="13.7109375" style="30" customWidth="1"/>
    <col min="3088" max="3088" width="54.5703125" style="30" bestFit="1" customWidth="1"/>
    <col min="3089" max="3327" width="9.140625" style="30"/>
    <col min="3328" max="3328" width="2.85546875" style="30" customWidth="1"/>
    <col min="3329" max="3329" width="5" style="30" customWidth="1"/>
    <col min="3330" max="3330" width="62" style="30" customWidth="1"/>
    <col min="3331" max="3331" width="12.7109375" style="30" bestFit="1" customWidth="1"/>
    <col min="3332" max="3332" width="1.7109375" style="30" customWidth="1"/>
    <col min="3333" max="3335" width="15.7109375" style="30" customWidth="1"/>
    <col min="3336" max="3336" width="17.85546875" style="30" bestFit="1" customWidth="1"/>
    <col min="3337" max="3337" width="18.5703125" style="30" bestFit="1" customWidth="1"/>
    <col min="3338" max="3340" width="15.7109375" style="30" customWidth="1"/>
    <col min="3341" max="3341" width="20" style="30" customWidth="1"/>
    <col min="3342" max="3342" width="18.5703125" style="30" bestFit="1" customWidth="1"/>
    <col min="3343" max="3343" width="13.7109375" style="30" customWidth="1"/>
    <col min="3344" max="3344" width="54.5703125" style="30" bestFit="1" customWidth="1"/>
    <col min="3345" max="3583" width="9.140625" style="30"/>
    <col min="3584" max="3584" width="2.85546875" style="30" customWidth="1"/>
    <col min="3585" max="3585" width="5" style="30" customWidth="1"/>
    <col min="3586" max="3586" width="62" style="30" customWidth="1"/>
    <col min="3587" max="3587" width="12.7109375" style="30" bestFit="1" customWidth="1"/>
    <col min="3588" max="3588" width="1.7109375" style="30" customWidth="1"/>
    <col min="3589" max="3591" width="15.7109375" style="30" customWidth="1"/>
    <col min="3592" max="3592" width="17.85546875" style="30" bestFit="1" customWidth="1"/>
    <col min="3593" max="3593" width="18.5703125" style="30" bestFit="1" customWidth="1"/>
    <col min="3594" max="3596" width="15.7109375" style="30" customWidth="1"/>
    <col min="3597" max="3597" width="20" style="30" customWidth="1"/>
    <col min="3598" max="3598" width="18.5703125" style="30" bestFit="1" customWidth="1"/>
    <col min="3599" max="3599" width="13.7109375" style="30" customWidth="1"/>
    <col min="3600" max="3600" width="54.5703125" style="30" bestFit="1" customWidth="1"/>
    <col min="3601" max="3839" width="9.140625" style="30"/>
    <col min="3840" max="3840" width="2.85546875" style="30" customWidth="1"/>
    <col min="3841" max="3841" width="5" style="30" customWidth="1"/>
    <col min="3842" max="3842" width="62" style="30" customWidth="1"/>
    <col min="3843" max="3843" width="12.7109375" style="30" bestFit="1" customWidth="1"/>
    <col min="3844" max="3844" width="1.7109375" style="30" customWidth="1"/>
    <col min="3845" max="3847" width="15.7109375" style="30" customWidth="1"/>
    <col min="3848" max="3848" width="17.85546875" style="30" bestFit="1" customWidth="1"/>
    <col min="3849" max="3849" width="18.5703125" style="30" bestFit="1" customWidth="1"/>
    <col min="3850" max="3852" width="15.7109375" style="30" customWidth="1"/>
    <col min="3853" max="3853" width="20" style="30" customWidth="1"/>
    <col min="3854" max="3854" width="18.5703125" style="30" bestFit="1" customWidth="1"/>
    <col min="3855" max="3855" width="13.7109375" style="30" customWidth="1"/>
    <col min="3856" max="3856" width="54.5703125" style="30" bestFit="1" customWidth="1"/>
    <col min="3857" max="4095" width="9.140625" style="30"/>
    <col min="4096" max="4096" width="2.85546875" style="30" customWidth="1"/>
    <col min="4097" max="4097" width="5" style="30" customWidth="1"/>
    <col min="4098" max="4098" width="62" style="30" customWidth="1"/>
    <col min="4099" max="4099" width="12.7109375" style="30" bestFit="1" customWidth="1"/>
    <col min="4100" max="4100" width="1.7109375" style="30" customWidth="1"/>
    <col min="4101" max="4103" width="15.7109375" style="30" customWidth="1"/>
    <col min="4104" max="4104" width="17.85546875" style="30" bestFit="1" customWidth="1"/>
    <col min="4105" max="4105" width="18.5703125" style="30" bestFit="1" customWidth="1"/>
    <col min="4106" max="4108" width="15.7109375" style="30" customWidth="1"/>
    <col min="4109" max="4109" width="20" style="30" customWidth="1"/>
    <col min="4110" max="4110" width="18.5703125" style="30" bestFit="1" customWidth="1"/>
    <col min="4111" max="4111" width="13.7109375" style="30" customWidth="1"/>
    <col min="4112" max="4112" width="54.5703125" style="30" bestFit="1" customWidth="1"/>
    <col min="4113" max="4351" width="9.140625" style="30"/>
    <col min="4352" max="4352" width="2.85546875" style="30" customWidth="1"/>
    <col min="4353" max="4353" width="5" style="30" customWidth="1"/>
    <col min="4354" max="4354" width="62" style="30" customWidth="1"/>
    <col min="4355" max="4355" width="12.7109375" style="30" bestFit="1" customWidth="1"/>
    <col min="4356" max="4356" width="1.7109375" style="30" customWidth="1"/>
    <col min="4357" max="4359" width="15.7109375" style="30" customWidth="1"/>
    <col min="4360" max="4360" width="17.85546875" style="30" bestFit="1" customWidth="1"/>
    <col min="4361" max="4361" width="18.5703125" style="30" bestFit="1" customWidth="1"/>
    <col min="4362" max="4364" width="15.7109375" style="30" customWidth="1"/>
    <col min="4365" max="4365" width="20" style="30" customWidth="1"/>
    <col min="4366" max="4366" width="18.5703125" style="30" bestFit="1" customWidth="1"/>
    <col min="4367" max="4367" width="13.7109375" style="30" customWidth="1"/>
    <col min="4368" max="4368" width="54.5703125" style="30" bestFit="1" customWidth="1"/>
    <col min="4369" max="4607" width="9.140625" style="30"/>
    <col min="4608" max="4608" width="2.85546875" style="30" customWidth="1"/>
    <col min="4609" max="4609" width="5" style="30" customWidth="1"/>
    <col min="4610" max="4610" width="62" style="30" customWidth="1"/>
    <col min="4611" max="4611" width="12.7109375" style="30" bestFit="1" customWidth="1"/>
    <col min="4612" max="4612" width="1.7109375" style="30" customWidth="1"/>
    <col min="4613" max="4615" width="15.7109375" style="30" customWidth="1"/>
    <col min="4616" max="4616" width="17.85546875" style="30" bestFit="1" customWidth="1"/>
    <col min="4617" max="4617" width="18.5703125" style="30" bestFit="1" customWidth="1"/>
    <col min="4618" max="4620" width="15.7109375" style="30" customWidth="1"/>
    <col min="4621" max="4621" width="20" style="30" customWidth="1"/>
    <col min="4622" max="4622" width="18.5703125" style="30" bestFit="1" customWidth="1"/>
    <col min="4623" max="4623" width="13.7109375" style="30" customWidth="1"/>
    <col min="4624" max="4624" width="54.5703125" style="30" bestFit="1" customWidth="1"/>
    <col min="4625" max="4863" width="9.140625" style="30"/>
    <col min="4864" max="4864" width="2.85546875" style="30" customWidth="1"/>
    <col min="4865" max="4865" width="5" style="30" customWidth="1"/>
    <col min="4866" max="4866" width="62" style="30" customWidth="1"/>
    <col min="4867" max="4867" width="12.7109375" style="30" bestFit="1" customWidth="1"/>
    <col min="4868" max="4868" width="1.7109375" style="30" customWidth="1"/>
    <col min="4869" max="4871" width="15.7109375" style="30" customWidth="1"/>
    <col min="4872" max="4872" width="17.85546875" style="30" bestFit="1" customWidth="1"/>
    <col min="4873" max="4873" width="18.5703125" style="30" bestFit="1" customWidth="1"/>
    <col min="4874" max="4876" width="15.7109375" style="30" customWidth="1"/>
    <col min="4877" max="4877" width="20" style="30" customWidth="1"/>
    <col min="4878" max="4878" width="18.5703125" style="30" bestFit="1" customWidth="1"/>
    <col min="4879" max="4879" width="13.7109375" style="30" customWidth="1"/>
    <col min="4880" max="4880" width="54.5703125" style="30" bestFit="1" customWidth="1"/>
    <col min="4881" max="5119" width="9.140625" style="30"/>
    <col min="5120" max="5120" width="2.85546875" style="30" customWidth="1"/>
    <col min="5121" max="5121" width="5" style="30" customWidth="1"/>
    <col min="5122" max="5122" width="62" style="30" customWidth="1"/>
    <col min="5123" max="5123" width="12.7109375" style="30" bestFit="1" customWidth="1"/>
    <col min="5124" max="5124" width="1.7109375" style="30" customWidth="1"/>
    <col min="5125" max="5127" width="15.7109375" style="30" customWidth="1"/>
    <col min="5128" max="5128" width="17.85546875" style="30" bestFit="1" customWidth="1"/>
    <col min="5129" max="5129" width="18.5703125" style="30" bestFit="1" customWidth="1"/>
    <col min="5130" max="5132" width="15.7109375" style="30" customWidth="1"/>
    <col min="5133" max="5133" width="20" style="30" customWidth="1"/>
    <col min="5134" max="5134" width="18.5703125" style="30" bestFit="1" customWidth="1"/>
    <col min="5135" max="5135" width="13.7109375" style="30" customWidth="1"/>
    <col min="5136" max="5136" width="54.5703125" style="30" bestFit="1" customWidth="1"/>
    <col min="5137" max="5375" width="9.140625" style="30"/>
    <col min="5376" max="5376" width="2.85546875" style="30" customWidth="1"/>
    <col min="5377" max="5377" width="5" style="30" customWidth="1"/>
    <col min="5378" max="5378" width="62" style="30" customWidth="1"/>
    <col min="5379" max="5379" width="12.7109375" style="30" bestFit="1" customWidth="1"/>
    <col min="5380" max="5380" width="1.7109375" style="30" customWidth="1"/>
    <col min="5381" max="5383" width="15.7109375" style="30" customWidth="1"/>
    <col min="5384" max="5384" width="17.85546875" style="30" bestFit="1" customWidth="1"/>
    <col min="5385" max="5385" width="18.5703125" style="30" bestFit="1" customWidth="1"/>
    <col min="5386" max="5388" width="15.7109375" style="30" customWidth="1"/>
    <col min="5389" max="5389" width="20" style="30" customWidth="1"/>
    <col min="5390" max="5390" width="18.5703125" style="30" bestFit="1" customWidth="1"/>
    <col min="5391" max="5391" width="13.7109375" style="30" customWidth="1"/>
    <col min="5392" max="5392" width="54.5703125" style="30" bestFit="1" customWidth="1"/>
    <col min="5393" max="5631" width="9.140625" style="30"/>
    <col min="5632" max="5632" width="2.85546875" style="30" customWidth="1"/>
    <col min="5633" max="5633" width="5" style="30" customWidth="1"/>
    <col min="5634" max="5634" width="62" style="30" customWidth="1"/>
    <col min="5635" max="5635" width="12.7109375" style="30" bestFit="1" customWidth="1"/>
    <col min="5636" max="5636" width="1.7109375" style="30" customWidth="1"/>
    <col min="5637" max="5639" width="15.7109375" style="30" customWidth="1"/>
    <col min="5640" max="5640" width="17.85546875" style="30" bestFit="1" customWidth="1"/>
    <col min="5641" max="5641" width="18.5703125" style="30" bestFit="1" customWidth="1"/>
    <col min="5642" max="5644" width="15.7109375" style="30" customWidth="1"/>
    <col min="5645" max="5645" width="20" style="30" customWidth="1"/>
    <col min="5646" max="5646" width="18.5703125" style="30" bestFit="1" customWidth="1"/>
    <col min="5647" max="5647" width="13.7109375" style="30" customWidth="1"/>
    <col min="5648" max="5648" width="54.5703125" style="30" bestFit="1" customWidth="1"/>
    <col min="5649" max="5887" width="9.140625" style="30"/>
    <col min="5888" max="5888" width="2.85546875" style="30" customWidth="1"/>
    <col min="5889" max="5889" width="5" style="30" customWidth="1"/>
    <col min="5890" max="5890" width="62" style="30" customWidth="1"/>
    <col min="5891" max="5891" width="12.7109375" style="30" bestFit="1" customWidth="1"/>
    <col min="5892" max="5892" width="1.7109375" style="30" customWidth="1"/>
    <col min="5893" max="5895" width="15.7109375" style="30" customWidth="1"/>
    <col min="5896" max="5896" width="17.85546875" style="30" bestFit="1" customWidth="1"/>
    <col min="5897" max="5897" width="18.5703125" style="30" bestFit="1" customWidth="1"/>
    <col min="5898" max="5900" width="15.7109375" style="30" customWidth="1"/>
    <col min="5901" max="5901" width="20" style="30" customWidth="1"/>
    <col min="5902" max="5902" width="18.5703125" style="30" bestFit="1" customWidth="1"/>
    <col min="5903" max="5903" width="13.7109375" style="30" customWidth="1"/>
    <col min="5904" max="5904" width="54.5703125" style="30" bestFit="1" customWidth="1"/>
    <col min="5905" max="6143" width="9.140625" style="30"/>
    <col min="6144" max="6144" width="2.85546875" style="30" customWidth="1"/>
    <col min="6145" max="6145" width="5" style="30" customWidth="1"/>
    <col min="6146" max="6146" width="62" style="30" customWidth="1"/>
    <col min="6147" max="6147" width="12.7109375" style="30" bestFit="1" customWidth="1"/>
    <col min="6148" max="6148" width="1.7109375" style="30" customWidth="1"/>
    <col min="6149" max="6151" width="15.7109375" style="30" customWidth="1"/>
    <col min="6152" max="6152" width="17.85546875" style="30" bestFit="1" customWidth="1"/>
    <col min="6153" max="6153" width="18.5703125" style="30" bestFit="1" customWidth="1"/>
    <col min="6154" max="6156" width="15.7109375" style="30" customWidth="1"/>
    <col min="6157" max="6157" width="20" style="30" customWidth="1"/>
    <col min="6158" max="6158" width="18.5703125" style="30" bestFit="1" customWidth="1"/>
    <col min="6159" max="6159" width="13.7109375" style="30" customWidth="1"/>
    <col min="6160" max="6160" width="54.5703125" style="30" bestFit="1" customWidth="1"/>
    <col min="6161" max="6399" width="9.140625" style="30"/>
    <col min="6400" max="6400" width="2.85546875" style="30" customWidth="1"/>
    <col min="6401" max="6401" width="5" style="30" customWidth="1"/>
    <col min="6402" max="6402" width="62" style="30" customWidth="1"/>
    <col min="6403" max="6403" width="12.7109375" style="30" bestFit="1" customWidth="1"/>
    <col min="6404" max="6404" width="1.7109375" style="30" customWidth="1"/>
    <col min="6405" max="6407" width="15.7109375" style="30" customWidth="1"/>
    <col min="6408" max="6408" width="17.85546875" style="30" bestFit="1" customWidth="1"/>
    <col min="6409" max="6409" width="18.5703125" style="30" bestFit="1" customWidth="1"/>
    <col min="6410" max="6412" width="15.7109375" style="30" customWidth="1"/>
    <col min="6413" max="6413" width="20" style="30" customWidth="1"/>
    <col min="6414" max="6414" width="18.5703125" style="30" bestFit="1" customWidth="1"/>
    <col min="6415" max="6415" width="13.7109375" style="30" customWidth="1"/>
    <col min="6416" max="6416" width="54.5703125" style="30" bestFit="1" customWidth="1"/>
    <col min="6417" max="6655" width="9.140625" style="30"/>
    <col min="6656" max="6656" width="2.85546875" style="30" customWidth="1"/>
    <col min="6657" max="6657" width="5" style="30" customWidth="1"/>
    <col min="6658" max="6658" width="62" style="30" customWidth="1"/>
    <col min="6659" max="6659" width="12.7109375" style="30" bestFit="1" customWidth="1"/>
    <col min="6660" max="6660" width="1.7109375" style="30" customWidth="1"/>
    <col min="6661" max="6663" width="15.7109375" style="30" customWidth="1"/>
    <col min="6664" max="6664" width="17.85546875" style="30" bestFit="1" customWidth="1"/>
    <col min="6665" max="6665" width="18.5703125" style="30" bestFit="1" customWidth="1"/>
    <col min="6666" max="6668" width="15.7109375" style="30" customWidth="1"/>
    <col min="6669" max="6669" width="20" style="30" customWidth="1"/>
    <col min="6670" max="6670" width="18.5703125" style="30" bestFit="1" customWidth="1"/>
    <col min="6671" max="6671" width="13.7109375" style="30" customWidth="1"/>
    <col min="6672" max="6672" width="54.5703125" style="30" bestFit="1" customWidth="1"/>
    <col min="6673" max="6911" width="9.140625" style="30"/>
    <col min="6912" max="6912" width="2.85546875" style="30" customWidth="1"/>
    <col min="6913" max="6913" width="5" style="30" customWidth="1"/>
    <col min="6914" max="6914" width="62" style="30" customWidth="1"/>
    <col min="6915" max="6915" width="12.7109375" style="30" bestFit="1" customWidth="1"/>
    <col min="6916" max="6916" width="1.7109375" style="30" customWidth="1"/>
    <col min="6917" max="6919" width="15.7109375" style="30" customWidth="1"/>
    <col min="6920" max="6920" width="17.85546875" style="30" bestFit="1" customWidth="1"/>
    <col min="6921" max="6921" width="18.5703125" style="30" bestFit="1" customWidth="1"/>
    <col min="6922" max="6924" width="15.7109375" style="30" customWidth="1"/>
    <col min="6925" max="6925" width="20" style="30" customWidth="1"/>
    <col min="6926" max="6926" width="18.5703125" style="30" bestFit="1" customWidth="1"/>
    <col min="6927" max="6927" width="13.7109375" style="30" customWidth="1"/>
    <col min="6928" max="6928" width="54.5703125" style="30" bestFit="1" customWidth="1"/>
    <col min="6929" max="7167" width="9.140625" style="30"/>
    <col min="7168" max="7168" width="2.85546875" style="30" customWidth="1"/>
    <col min="7169" max="7169" width="5" style="30" customWidth="1"/>
    <col min="7170" max="7170" width="62" style="30" customWidth="1"/>
    <col min="7171" max="7171" width="12.7109375" style="30" bestFit="1" customWidth="1"/>
    <col min="7172" max="7172" width="1.7109375" style="30" customWidth="1"/>
    <col min="7173" max="7175" width="15.7109375" style="30" customWidth="1"/>
    <col min="7176" max="7176" width="17.85546875" style="30" bestFit="1" customWidth="1"/>
    <col min="7177" max="7177" width="18.5703125" style="30" bestFit="1" customWidth="1"/>
    <col min="7178" max="7180" width="15.7109375" style="30" customWidth="1"/>
    <col min="7181" max="7181" width="20" style="30" customWidth="1"/>
    <col min="7182" max="7182" width="18.5703125" style="30" bestFit="1" customWidth="1"/>
    <col min="7183" max="7183" width="13.7109375" style="30" customWidth="1"/>
    <col min="7184" max="7184" width="54.5703125" style="30" bestFit="1" customWidth="1"/>
    <col min="7185" max="7423" width="9.140625" style="30"/>
    <col min="7424" max="7424" width="2.85546875" style="30" customWidth="1"/>
    <col min="7425" max="7425" width="5" style="30" customWidth="1"/>
    <col min="7426" max="7426" width="62" style="30" customWidth="1"/>
    <col min="7427" max="7427" width="12.7109375" style="30" bestFit="1" customWidth="1"/>
    <col min="7428" max="7428" width="1.7109375" style="30" customWidth="1"/>
    <col min="7429" max="7431" width="15.7109375" style="30" customWidth="1"/>
    <col min="7432" max="7432" width="17.85546875" style="30" bestFit="1" customWidth="1"/>
    <col min="7433" max="7433" width="18.5703125" style="30" bestFit="1" customWidth="1"/>
    <col min="7434" max="7436" width="15.7109375" style="30" customWidth="1"/>
    <col min="7437" max="7437" width="20" style="30" customWidth="1"/>
    <col min="7438" max="7438" width="18.5703125" style="30" bestFit="1" customWidth="1"/>
    <col min="7439" max="7439" width="13.7109375" style="30" customWidth="1"/>
    <col min="7440" max="7440" width="54.5703125" style="30" bestFit="1" customWidth="1"/>
    <col min="7441" max="7679" width="9.140625" style="30"/>
    <col min="7680" max="7680" width="2.85546875" style="30" customWidth="1"/>
    <col min="7681" max="7681" width="5" style="30" customWidth="1"/>
    <col min="7682" max="7682" width="62" style="30" customWidth="1"/>
    <col min="7683" max="7683" width="12.7109375" style="30" bestFit="1" customWidth="1"/>
    <col min="7684" max="7684" width="1.7109375" style="30" customWidth="1"/>
    <col min="7685" max="7687" width="15.7109375" style="30" customWidth="1"/>
    <col min="7688" max="7688" width="17.85546875" style="30" bestFit="1" customWidth="1"/>
    <col min="7689" max="7689" width="18.5703125" style="30" bestFit="1" customWidth="1"/>
    <col min="7690" max="7692" width="15.7109375" style="30" customWidth="1"/>
    <col min="7693" max="7693" width="20" style="30" customWidth="1"/>
    <col min="7694" max="7694" width="18.5703125" style="30" bestFit="1" customWidth="1"/>
    <col min="7695" max="7695" width="13.7109375" style="30" customWidth="1"/>
    <col min="7696" max="7696" width="54.5703125" style="30" bestFit="1" customWidth="1"/>
    <col min="7697" max="7935" width="9.140625" style="30"/>
    <col min="7936" max="7936" width="2.85546875" style="30" customWidth="1"/>
    <col min="7937" max="7937" width="5" style="30" customWidth="1"/>
    <col min="7938" max="7938" width="62" style="30" customWidth="1"/>
    <col min="7939" max="7939" width="12.7109375" style="30" bestFit="1" customWidth="1"/>
    <col min="7940" max="7940" width="1.7109375" style="30" customWidth="1"/>
    <col min="7941" max="7943" width="15.7109375" style="30" customWidth="1"/>
    <col min="7944" max="7944" width="17.85546875" style="30" bestFit="1" customWidth="1"/>
    <col min="7945" max="7945" width="18.5703125" style="30" bestFit="1" customWidth="1"/>
    <col min="7946" max="7948" width="15.7109375" style="30" customWidth="1"/>
    <col min="7949" max="7949" width="20" style="30" customWidth="1"/>
    <col min="7950" max="7950" width="18.5703125" style="30" bestFit="1" customWidth="1"/>
    <col min="7951" max="7951" width="13.7109375" style="30" customWidth="1"/>
    <col min="7952" max="7952" width="54.5703125" style="30" bestFit="1" customWidth="1"/>
    <col min="7953" max="8191" width="9.140625" style="30"/>
    <col min="8192" max="8192" width="2.85546875" style="30" customWidth="1"/>
    <col min="8193" max="8193" width="5" style="30" customWidth="1"/>
    <col min="8194" max="8194" width="62" style="30" customWidth="1"/>
    <col min="8195" max="8195" width="12.7109375" style="30" bestFit="1" customWidth="1"/>
    <col min="8196" max="8196" width="1.7109375" style="30" customWidth="1"/>
    <col min="8197" max="8199" width="15.7109375" style="30" customWidth="1"/>
    <col min="8200" max="8200" width="17.85546875" style="30" bestFit="1" customWidth="1"/>
    <col min="8201" max="8201" width="18.5703125" style="30" bestFit="1" customWidth="1"/>
    <col min="8202" max="8204" width="15.7109375" style="30" customWidth="1"/>
    <col min="8205" max="8205" width="20" style="30" customWidth="1"/>
    <col min="8206" max="8206" width="18.5703125" style="30" bestFit="1" customWidth="1"/>
    <col min="8207" max="8207" width="13.7109375" style="30" customWidth="1"/>
    <col min="8208" max="8208" width="54.5703125" style="30" bestFit="1" customWidth="1"/>
    <col min="8209" max="8447" width="9.140625" style="30"/>
    <col min="8448" max="8448" width="2.85546875" style="30" customWidth="1"/>
    <col min="8449" max="8449" width="5" style="30" customWidth="1"/>
    <col min="8450" max="8450" width="62" style="30" customWidth="1"/>
    <col min="8451" max="8451" width="12.7109375" style="30" bestFit="1" customWidth="1"/>
    <col min="8452" max="8452" width="1.7109375" style="30" customWidth="1"/>
    <col min="8453" max="8455" width="15.7109375" style="30" customWidth="1"/>
    <col min="8456" max="8456" width="17.85546875" style="30" bestFit="1" customWidth="1"/>
    <col min="8457" max="8457" width="18.5703125" style="30" bestFit="1" customWidth="1"/>
    <col min="8458" max="8460" width="15.7109375" style="30" customWidth="1"/>
    <col min="8461" max="8461" width="20" style="30" customWidth="1"/>
    <col min="8462" max="8462" width="18.5703125" style="30" bestFit="1" customWidth="1"/>
    <col min="8463" max="8463" width="13.7109375" style="30" customWidth="1"/>
    <col min="8464" max="8464" width="54.5703125" style="30" bestFit="1" customWidth="1"/>
    <col min="8465" max="8703" width="9.140625" style="30"/>
    <col min="8704" max="8704" width="2.85546875" style="30" customWidth="1"/>
    <col min="8705" max="8705" width="5" style="30" customWidth="1"/>
    <col min="8706" max="8706" width="62" style="30" customWidth="1"/>
    <col min="8707" max="8707" width="12.7109375" style="30" bestFit="1" customWidth="1"/>
    <col min="8708" max="8708" width="1.7109375" style="30" customWidth="1"/>
    <col min="8709" max="8711" width="15.7109375" style="30" customWidth="1"/>
    <col min="8712" max="8712" width="17.85546875" style="30" bestFit="1" customWidth="1"/>
    <col min="8713" max="8713" width="18.5703125" style="30" bestFit="1" customWidth="1"/>
    <col min="8714" max="8716" width="15.7109375" style="30" customWidth="1"/>
    <col min="8717" max="8717" width="20" style="30" customWidth="1"/>
    <col min="8718" max="8718" width="18.5703125" style="30" bestFit="1" customWidth="1"/>
    <col min="8719" max="8719" width="13.7109375" style="30" customWidth="1"/>
    <col min="8720" max="8720" width="54.5703125" style="30" bestFit="1" customWidth="1"/>
    <col min="8721" max="8959" width="9.140625" style="30"/>
    <col min="8960" max="8960" width="2.85546875" style="30" customWidth="1"/>
    <col min="8961" max="8961" width="5" style="30" customWidth="1"/>
    <col min="8962" max="8962" width="62" style="30" customWidth="1"/>
    <col min="8963" max="8963" width="12.7109375" style="30" bestFit="1" customWidth="1"/>
    <col min="8964" max="8964" width="1.7109375" style="30" customWidth="1"/>
    <col min="8965" max="8967" width="15.7109375" style="30" customWidth="1"/>
    <col min="8968" max="8968" width="17.85546875" style="30" bestFit="1" customWidth="1"/>
    <col min="8969" max="8969" width="18.5703125" style="30" bestFit="1" customWidth="1"/>
    <col min="8970" max="8972" width="15.7109375" style="30" customWidth="1"/>
    <col min="8973" max="8973" width="20" style="30" customWidth="1"/>
    <col min="8974" max="8974" width="18.5703125" style="30" bestFit="1" customWidth="1"/>
    <col min="8975" max="8975" width="13.7109375" style="30" customWidth="1"/>
    <col min="8976" max="8976" width="54.5703125" style="30" bestFit="1" customWidth="1"/>
    <col min="8977" max="9215" width="9.140625" style="30"/>
    <col min="9216" max="9216" width="2.85546875" style="30" customWidth="1"/>
    <col min="9217" max="9217" width="5" style="30" customWidth="1"/>
    <col min="9218" max="9218" width="62" style="30" customWidth="1"/>
    <col min="9219" max="9219" width="12.7109375" style="30" bestFit="1" customWidth="1"/>
    <col min="9220" max="9220" width="1.7109375" style="30" customWidth="1"/>
    <col min="9221" max="9223" width="15.7109375" style="30" customWidth="1"/>
    <col min="9224" max="9224" width="17.85546875" style="30" bestFit="1" customWidth="1"/>
    <col min="9225" max="9225" width="18.5703125" style="30" bestFit="1" customWidth="1"/>
    <col min="9226" max="9228" width="15.7109375" style="30" customWidth="1"/>
    <col min="9229" max="9229" width="20" style="30" customWidth="1"/>
    <col min="9230" max="9230" width="18.5703125" style="30" bestFit="1" customWidth="1"/>
    <col min="9231" max="9231" width="13.7109375" style="30" customWidth="1"/>
    <col min="9232" max="9232" width="54.5703125" style="30" bestFit="1" customWidth="1"/>
    <col min="9233" max="9471" width="9.140625" style="30"/>
    <col min="9472" max="9472" width="2.85546875" style="30" customWidth="1"/>
    <col min="9473" max="9473" width="5" style="30" customWidth="1"/>
    <col min="9474" max="9474" width="62" style="30" customWidth="1"/>
    <col min="9475" max="9475" width="12.7109375" style="30" bestFit="1" customWidth="1"/>
    <col min="9476" max="9476" width="1.7109375" style="30" customWidth="1"/>
    <col min="9477" max="9479" width="15.7109375" style="30" customWidth="1"/>
    <col min="9480" max="9480" width="17.85546875" style="30" bestFit="1" customWidth="1"/>
    <col min="9481" max="9481" width="18.5703125" style="30" bestFit="1" customWidth="1"/>
    <col min="9482" max="9484" width="15.7109375" style="30" customWidth="1"/>
    <col min="9485" max="9485" width="20" style="30" customWidth="1"/>
    <col min="9486" max="9486" width="18.5703125" style="30" bestFit="1" customWidth="1"/>
    <col min="9487" max="9487" width="13.7109375" style="30" customWidth="1"/>
    <col min="9488" max="9488" width="54.5703125" style="30" bestFit="1" customWidth="1"/>
    <col min="9489" max="9727" width="9.140625" style="30"/>
    <col min="9728" max="9728" width="2.85546875" style="30" customWidth="1"/>
    <col min="9729" max="9729" width="5" style="30" customWidth="1"/>
    <col min="9730" max="9730" width="62" style="30" customWidth="1"/>
    <col min="9731" max="9731" width="12.7109375" style="30" bestFit="1" customWidth="1"/>
    <col min="9732" max="9732" width="1.7109375" style="30" customWidth="1"/>
    <col min="9733" max="9735" width="15.7109375" style="30" customWidth="1"/>
    <col min="9736" max="9736" width="17.85546875" style="30" bestFit="1" customWidth="1"/>
    <col min="9737" max="9737" width="18.5703125" style="30" bestFit="1" customWidth="1"/>
    <col min="9738" max="9740" width="15.7109375" style="30" customWidth="1"/>
    <col min="9741" max="9741" width="20" style="30" customWidth="1"/>
    <col min="9742" max="9742" width="18.5703125" style="30" bestFit="1" customWidth="1"/>
    <col min="9743" max="9743" width="13.7109375" style="30" customWidth="1"/>
    <col min="9744" max="9744" width="54.5703125" style="30" bestFit="1" customWidth="1"/>
    <col min="9745" max="9983" width="9.140625" style="30"/>
    <col min="9984" max="9984" width="2.85546875" style="30" customWidth="1"/>
    <col min="9985" max="9985" width="5" style="30" customWidth="1"/>
    <col min="9986" max="9986" width="62" style="30" customWidth="1"/>
    <col min="9987" max="9987" width="12.7109375" style="30" bestFit="1" customWidth="1"/>
    <col min="9988" max="9988" width="1.7109375" style="30" customWidth="1"/>
    <col min="9989" max="9991" width="15.7109375" style="30" customWidth="1"/>
    <col min="9992" max="9992" width="17.85546875" style="30" bestFit="1" customWidth="1"/>
    <col min="9993" max="9993" width="18.5703125" style="30" bestFit="1" customWidth="1"/>
    <col min="9994" max="9996" width="15.7109375" style="30" customWidth="1"/>
    <col min="9997" max="9997" width="20" style="30" customWidth="1"/>
    <col min="9998" max="9998" width="18.5703125" style="30" bestFit="1" customWidth="1"/>
    <col min="9999" max="9999" width="13.7109375" style="30" customWidth="1"/>
    <col min="10000" max="10000" width="54.5703125" style="30" bestFit="1" customWidth="1"/>
    <col min="10001" max="10239" width="9.140625" style="30"/>
    <col min="10240" max="10240" width="2.85546875" style="30" customWidth="1"/>
    <col min="10241" max="10241" width="5" style="30" customWidth="1"/>
    <col min="10242" max="10242" width="62" style="30" customWidth="1"/>
    <col min="10243" max="10243" width="12.7109375" style="30" bestFit="1" customWidth="1"/>
    <col min="10244" max="10244" width="1.7109375" style="30" customWidth="1"/>
    <col min="10245" max="10247" width="15.7109375" style="30" customWidth="1"/>
    <col min="10248" max="10248" width="17.85546875" style="30" bestFit="1" customWidth="1"/>
    <col min="10249" max="10249" width="18.5703125" style="30" bestFit="1" customWidth="1"/>
    <col min="10250" max="10252" width="15.7109375" style="30" customWidth="1"/>
    <col min="10253" max="10253" width="20" style="30" customWidth="1"/>
    <col min="10254" max="10254" width="18.5703125" style="30" bestFit="1" customWidth="1"/>
    <col min="10255" max="10255" width="13.7109375" style="30" customWidth="1"/>
    <col min="10256" max="10256" width="54.5703125" style="30" bestFit="1" customWidth="1"/>
    <col min="10257" max="10495" width="9.140625" style="30"/>
    <col min="10496" max="10496" width="2.85546875" style="30" customWidth="1"/>
    <col min="10497" max="10497" width="5" style="30" customWidth="1"/>
    <col min="10498" max="10498" width="62" style="30" customWidth="1"/>
    <col min="10499" max="10499" width="12.7109375" style="30" bestFit="1" customWidth="1"/>
    <col min="10500" max="10500" width="1.7109375" style="30" customWidth="1"/>
    <col min="10501" max="10503" width="15.7109375" style="30" customWidth="1"/>
    <col min="10504" max="10504" width="17.85546875" style="30" bestFit="1" customWidth="1"/>
    <col min="10505" max="10505" width="18.5703125" style="30" bestFit="1" customWidth="1"/>
    <col min="10506" max="10508" width="15.7109375" style="30" customWidth="1"/>
    <col min="10509" max="10509" width="20" style="30" customWidth="1"/>
    <col min="10510" max="10510" width="18.5703125" style="30" bestFit="1" customWidth="1"/>
    <col min="10511" max="10511" width="13.7109375" style="30" customWidth="1"/>
    <col min="10512" max="10512" width="54.5703125" style="30" bestFit="1" customWidth="1"/>
    <col min="10513" max="10751" width="9.140625" style="30"/>
    <col min="10752" max="10752" width="2.85546875" style="30" customWidth="1"/>
    <col min="10753" max="10753" width="5" style="30" customWidth="1"/>
    <col min="10754" max="10754" width="62" style="30" customWidth="1"/>
    <col min="10755" max="10755" width="12.7109375" style="30" bestFit="1" customWidth="1"/>
    <col min="10756" max="10756" width="1.7109375" style="30" customWidth="1"/>
    <col min="10757" max="10759" width="15.7109375" style="30" customWidth="1"/>
    <col min="10760" max="10760" width="17.85546875" style="30" bestFit="1" customWidth="1"/>
    <col min="10761" max="10761" width="18.5703125" style="30" bestFit="1" customWidth="1"/>
    <col min="10762" max="10764" width="15.7109375" style="30" customWidth="1"/>
    <col min="10765" max="10765" width="20" style="30" customWidth="1"/>
    <col min="10766" max="10766" width="18.5703125" style="30" bestFit="1" customWidth="1"/>
    <col min="10767" max="10767" width="13.7109375" style="30" customWidth="1"/>
    <col min="10768" max="10768" width="54.5703125" style="30" bestFit="1" customWidth="1"/>
    <col min="10769" max="11007" width="9.140625" style="30"/>
    <col min="11008" max="11008" width="2.85546875" style="30" customWidth="1"/>
    <col min="11009" max="11009" width="5" style="30" customWidth="1"/>
    <col min="11010" max="11010" width="62" style="30" customWidth="1"/>
    <col min="11011" max="11011" width="12.7109375" style="30" bestFit="1" customWidth="1"/>
    <col min="11012" max="11012" width="1.7109375" style="30" customWidth="1"/>
    <col min="11013" max="11015" width="15.7109375" style="30" customWidth="1"/>
    <col min="11016" max="11016" width="17.85546875" style="30" bestFit="1" customWidth="1"/>
    <col min="11017" max="11017" width="18.5703125" style="30" bestFit="1" customWidth="1"/>
    <col min="11018" max="11020" width="15.7109375" style="30" customWidth="1"/>
    <col min="11021" max="11021" width="20" style="30" customWidth="1"/>
    <col min="11022" max="11022" width="18.5703125" style="30" bestFit="1" customWidth="1"/>
    <col min="11023" max="11023" width="13.7109375" style="30" customWidth="1"/>
    <col min="11024" max="11024" width="54.5703125" style="30" bestFit="1" customWidth="1"/>
    <col min="11025" max="11263" width="9.140625" style="30"/>
    <col min="11264" max="11264" width="2.85546875" style="30" customWidth="1"/>
    <col min="11265" max="11265" width="5" style="30" customWidth="1"/>
    <col min="11266" max="11266" width="62" style="30" customWidth="1"/>
    <col min="11267" max="11267" width="12.7109375" style="30" bestFit="1" customWidth="1"/>
    <col min="11268" max="11268" width="1.7109375" style="30" customWidth="1"/>
    <col min="11269" max="11271" width="15.7109375" style="30" customWidth="1"/>
    <col min="11272" max="11272" width="17.85546875" style="30" bestFit="1" customWidth="1"/>
    <col min="11273" max="11273" width="18.5703125" style="30" bestFit="1" customWidth="1"/>
    <col min="11274" max="11276" width="15.7109375" style="30" customWidth="1"/>
    <col min="11277" max="11277" width="20" style="30" customWidth="1"/>
    <col min="11278" max="11278" width="18.5703125" style="30" bestFit="1" customWidth="1"/>
    <col min="11279" max="11279" width="13.7109375" style="30" customWidth="1"/>
    <col min="11280" max="11280" width="54.5703125" style="30" bestFit="1" customWidth="1"/>
    <col min="11281" max="11519" width="9.140625" style="30"/>
    <col min="11520" max="11520" width="2.85546875" style="30" customWidth="1"/>
    <col min="11521" max="11521" width="5" style="30" customWidth="1"/>
    <col min="11522" max="11522" width="62" style="30" customWidth="1"/>
    <col min="11523" max="11523" width="12.7109375" style="30" bestFit="1" customWidth="1"/>
    <col min="11524" max="11524" width="1.7109375" style="30" customWidth="1"/>
    <col min="11525" max="11527" width="15.7109375" style="30" customWidth="1"/>
    <col min="11528" max="11528" width="17.85546875" style="30" bestFit="1" customWidth="1"/>
    <col min="11529" max="11529" width="18.5703125" style="30" bestFit="1" customWidth="1"/>
    <col min="11530" max="11532" width="15.7109375" style="30" customWidth="1"/>
    <col min="11533" max="11533" width="20" style="30" customWidth="1"/>
    <col min="11534" max="11534" width="18.5703125" style="30" bestFit="1" customWidth="1"/>
    <col min="11535" max="11535" width="13.7109375" style="30" customWidth="1"/>
    <col min="11536" max="11536" width="54.5703125" style="30" bestFit="1" customWidth="1"/>
    <col min="11537" max="11775" width="9.140625" style="30"/>
    <col min="11776" max="11776" width="2.85546875" style="30" customWidth="1"/>
    <col min="11777" max="11777" width="5" style="30" customWidth="1"/>
    <col min="11778" max="11778" width="62" style="30" customWidth="1"/>
    <col min="11779" max="11779" width="12.7109375" style="30" bestFit="1" customWidth="1"/>
    <col min="11780" max="11780" width="1.7109375" style="30" customWidth="1"/>
    <col min="11781" max="11783" width="15.7109375" style="30" customWidth="1"/>
    <col min="11784" max="11784" width="17.85546875" style="30" bestFit="1" customWidth="1"/>
    <col min="11785" max="11785" width="18.5703125" style="30" bestFit="1" customWidth="1"/>
    <col min="11786" max="11788" width="15.7109375" style="30" customWidth="1"/>
    <col min="11789" max="11789" width="20" style="30" customWidth="1"/>
    <col min="11790" max="11790" width="18.5703125" style="30" bestFit="1" customWidth="1"/>
    <col min="11791" max="11791" width="13.7109375" style="30" customWidth="1"/>
    <col min="11792" max="11792" width="54.5703125" style="30" bestFit="1" customWidth="1"/>
    <col min="11793" max="12031" width="9.140625" style="30"/>
    <col min="12032" max="12032" width="2.85546875" style="30" customWidth="1"/>
    <col min="12033" max="12033" width="5" style="30" customWidth="1"/>
    <col min="12034" max="12034" width="62" style="30" customWidth="1"/>
    <col min="12035" max="12035" width="12.7109375" style="30" bestFit="1" customWidth="1"/>
    <col min="12036" max="12036" width="1.7109375" style="30" customWidth="1"/>
    <col min="12037" max="12039" width="15.7109375" style="30" customWidth="1"/>
    <col min="12040" max="12040" width="17.85546875" style="30" bestFit="1" customWidth="1"/>
    <col min="12041" max="12041" width="18.5703125" style="30" bestFit="1" customWidth="1"/>
    <col min="12042" max="12044" width="15.7109375" style="30" customWidth="1"/>
    <col min="12045" max="12045" width="20" style="30" customWidth="1"/>
    <col min="12046" max="12046" width="18.5703125" style="30" bestFit="1" customWidth="1"/>
    <col min="12047" max="12047" width="13.7109375" style="30" customWidth="1"/>
    <col min="12048" max="12048" width="54.5703125" style="30" bestFit="1" customWidth="1"/>
    <col min="12049" max="12287" width="9.140625" style="30"/>
    <col min="12288" max="12288" width="2.85546875" style="30" customWidth="1"/>
    <col min="12289" max="12289" width="5" style="30" customWidth="1"/>
    <col min="12290" max="12290" width="62" style="30" customWidth="1"/>
    <col min="12291" max="12291" width="12.7109375" style="30" bestFit="1" customWidth="1"/>
    <col min="12292" max="12292" width="1.7109375" style="30" customWidth="1"/>
    <col min="12293" max="12295" width="15.7109375" style="30" customWidth="1"/>
    <col min="12296" max="12296" width="17.85546875" style="30" bestFit="1" customWidth="1"/>
    <col min="12297" max="12297" width="18.5703125" style="30" bestFit="1" customWidth="1"/>
    <col min="12298" max="12300" width="15.7109375" style="30" customWidth="1"/>
    <col min="12301" max="12301" width="20" style="30" customWidth="1"/>
    <col min="12302" max="12302" width="18.5703125" style="30" bestFit="1" customWidth="1"/>
    <col min="12303" max="12303" width="13.7109375" style="30" customWidth="1"/>
    <col min="12304" max="12304" width="54.5703125" style="30" bestFit="1" customWidth="1"/>
    <col min="12305" max="12543" width="9.140625" style="30"/>
    <col min="12544" max="12544" width="2.85546875" style="30" customWidth="1"/>
    <col min="12545" max="12545" width="5" style="30" customWidth="1"/>
    <col min="12546" max="12546" width="62" style="30" customWidth="1"/>
    <col min="12547" max="12547" width="12.7109375" style="30" bestFit="1" customWidth="1"/>
    <col min="12548" max="12548" width="1.7109375" style="30" customWidth="1"/>
    <col min="12549" max="12551" width="15.7109375" style="30" customWidth="1"/>
    <col min="12552" max="12552" width="17.85546875" style="30" bestFit="1" customWidth="1"/>
    <col min="12553" max="12553" width="18.5703125" style="30" bestFit="1" customWidth="1"/>
    <col min="12554" max="12556" width="15.7109375" style="30" customWidth="1"/>
    <col min="12557" max="12557" width="20" style="30" customWidth="1"/>
    <col min="12558" max="12558" width="18.5703125" style="30" bestFit="1" customWidth="1"/>
    <col min="12559" max="12559" width="13.7109375" style="30" customWidth="1"/>
    <col min="12560" max="12560" width="54.5703125" style="30" bestFit="1" customWidth="1"/>
    <col min="12561" max="12799" width="9.140625" style="30"/>
    <col min="12800" max="12800" width="2.85546875" style="30" customWidth="1"/>
    <col min="12801" max="12801" width="5" style="30" customWidth="1"/>
    <col min="12802" max="12802" width="62" style="30" customWidth="1"/>
    <col min="12803" max="12803" width="12.7109375" style="30" bestFit="1" customWidth="1"/>
    <col min="12804" max="12804" width="1.7109375" style="30" customWidth="1"/>
    <col min="12805" max="12807" width="15.7109375" style="30" customWidth="1"/>
    <col min="12808" max="12808" width="17.85546875" style="30" bestFit="1" customWidth="1"/>
    <col min="12809" max="12809" width="18.5703125" style="30" bestFit="1" customWidth="1"/>
    <col min="12810" max="12812" width="15.7109375" style="30" customWidth="1"/>
    <col min="12813" max="12813" width="20" style="30" customWidth="1"/>
    <col min="12814" max="12814" width="18.5703125" style="30" bestFit="1" customWidth="1"/>
    <col min="12815" max="12815" width="13.7109375" style="30" customWidth="1"/>
    <col min="12816" max="12816" width="54.5703125" style="30" bestFit="1" customWidth="1"/>
    <col min="12817" max="13055" width="9.140625" style="30"/>
    <col min="13056" max="13056" width="2.85546875" style="30" customWidth="1"/>
    <col min="13057" max="13057" width="5" style="30" customWidth="1"/>
    <col min="13058" max="13058" width="62" style="30" customWidth="1"/>
    <col min="13059" max="13059" width="12.7109375" style="30" bestFit="1" customWidth="1"/>
    <col min="13060" max="13060" width="1.7109375" style="30" customWidth="1"/>
    <col min="13061" max="13063" width="15.7109375" style="30" customWidth="1"/>
    <col min="13064" max="13064" width="17.85546875" style="30" bestFit="1" customWidth="1"/>
    <col min="13065" max="13065" width="18.5703125" style="30" bestFit="1" customWidth="1"/>
    <col min="13066" max="13068" width="15.7109375" style="30" customWidth="1"/>
    <col min="13069" max="13069" width="20" style="30" customWidth="1"/>
    <col min="13070" max="13070" width="18.5703125" style="30" bestFit="1" customWidth="1"/>
    <col min="13071" max="13071" width="13.7109375" style="30" customWidth="1"/>
    <col min="13072" max="13072" width="54.5703125" style="30" bestFit="1" customWidth="1"/>
    <col min="13073" max="13311" width="9.140625" style="30"/>
    <col min="13312" max="13312" width="2.85546875" style="30" customWidth="1"/>
    <col min="13313" max="13313" width="5" style="30" customWidth="1"/>
    <col min="13314" max="13314" width="62" style="30" customWidth="1"/>
    <col min="13315" max="13315" width="12.7109375" style="30" bestFit="1" customWidth="1"/>
    <col min="13316" max="13316" width="1.7109375" style="30" customWidth="1"/>
    <col min="13317" max="13319" width="15.7109375" style="30" customWidth="1"/>
    <col min="13320" max="13320" width="17.85546875" style="30" bestFit="1" customWidth="1"/>
    <col min="13321" max="13321" width="18.5703125" style="30" bestFit="1" customWidth="1"/>
    <col min="13322" max="13324" width="15.7109375" style="30" customWidth="1"/>
    <col min="13325" max="13325" width="20" style="30" customWidth="1"/>
    <col min="13326" max="13326" width="18.5703125" style="30" bestFit="1" customWidth="1"/>
    <col min="13327" max="13327" width="13.7109375" style="30" customWidth="1"/>
    <col min="13328" max="13328" width="54.5703125" style="30" bestFit="1" customWidth="1"/>
    <col min="13329" max="13567" width="9.140625" style="30"/>
    <col min="13568" max="13568" width="2.85546875" style="30" customWidth="1"/>
    <col min="13569" max="13569" width="5" style="30" customWidth="1"/>
    <col min="13570" max="13570" width="62" style="30" customWidth="1"/>
    <col min="13571" max="13571" width="12.7109375" style="30" bestFit="1" customWidth="1"/>
    <col min="13572" max="13572" width="1.7109375" style="30" customWidth="1"/>
    <col min="13573" max="13575" width="15.7109375" style="30" customWidth="1"/>
    <col min="13576" max="13576" width="17.85546875" style="30" bestFit="1" customWidth="1"/>
    <col min="13577" max="13577" width="18.5703125" style="30" bestFit="1" customWidth="1"/>
    <col min="13578" max="13580" width="15.7109375" style="30" customWidth="1"/>
    <col min="13581" max="13581" width="20" style="30" customWidth="1"/>
    <col min="13582" max="13582" width="18.5703125" style="30" bestFit="1" customWidth="1"/>
    <col min="13583" max="13583" width="13.7109375" style="30" customWidth="1"/>
    <col min="13584" max="13584" width="54.5703125" style="30" bestFit="1" customWidth="1"/>
    <col min="13585" max="13823" width="9.140625" style="30"/>
    <col min="13824" max="13824" width="2.85546875" style="30" customWidth="1"/>
    <col min="13825" max="13825" width="5" style="30" customWidth="1"/>
    <col min="13826" max="13826" width="62" style="30" customWidth="1"/>
    <col min="13827" max="13827" width="12.7109375" style="30" bestFit="1" customWidth="1"/>
    <col min="13828" max="13828" width="1.7109375" style="30" customWidth="1"/>
    <col min="13829" max="13831" width="15.7109375" style="30" customWidth="1"/>
    <col min="13832" max="13832" width="17.85546875" style="30" bestFit="1" customWidth="1"/>
    <col min="13833" max="13833" width="18.5703125" style="30" bestFit="1" customWidth="1"/>
    <col min="13834" max="13836" width="15.7109375" style="30" customWidth="1"/>
    <col min="13837" max="13837" width="20" style="30" customWidth="1"/>
    <col min="13838" max="13838" width="18.5703125" style="30" bestFit="1" customWidth="1"/>
    <col min="13839" max="13839" width="13.7109375" style="30" customWidth="1"/>
    <col min="13840" max="13840" width="54.5703125" style="30" bestFit="1" customWidth="1"/>
    <col min="13841" max="14079" width="9.140625" style="30"/>
    <col min="14080" max="14080" width="2.85546875" style="30" customWidth="1"/>
    <col min="14081" max="14081" width="5" style="30" customWidth="1"/>
    <col min="14082" max="14082" width="62" style="30" customWidth="1"/>
    <col min="14083" max="14083" width="12.7109375" style="30" bestFit="1" customWidth="1"/>
    <col min="14084" max="14084" width="1.7109375" style="30" customWidth="1"/>
    <col min="14085" max="14087" width="15.7109375" style="30" customWidth="1"/>
    <col min="14088" max="14088" width="17.85546875" style="30" bestFit="1" customWidth="1"/>
    <col min="14089" max="14089" width="18.5703125" style="30" bestFit="1" customWidth="1"/>
    <col min="14090" max="14092" width="15.7109375" style="30" customWidth="1"/>
    <col min="14093" max="14093" width="20" style="30" customWidth="1"/>
    <col min="14094" max="14094" width="18.5703125" style="30" bestFit="1" customWidth="1"/>
    <col min="14095" max="14095" width="13.7109375" style="30" customWidth="1"/>
    <col min="14096" max="14096" width="54.5703125" style="30" bestFit="1" customWidth="1"/>
    <col min="14097" max="14335" width="9.140625" style="30"/>
    <col min="14336" max="14336" width="2.85546875" style="30" customWidth="1"/>
    <col min="14337" max="14337" width="5" style="30" customWidth="1"/>
    <col min="14338" max="14338" width="62" style="30" customWidth="1"/>
    <col min="14339" max="14339" width="12.7109375" style="30" bestFit="1" customWidth="1"/>
    <col min="14340" max="14340" width="1.7109375" style="30" customWidth="1"/>
    <col min="14341" max="14343" width="15.7109375" style="30" customWidth="1"/>
    <col min="14344" max="14344" width="17.85546875" style="30" bestFit="1" customWidth="1"/>
    <col min="14345" max="14345" width="18.5703125" style="30" bestFit="1" customWidth="1"/>
    <col min="14346" max="14348" width="15.7109375" style="30" customWidth="1"/>
    <col min="14349" max="14349" width="20" style="30" customWidth="1"/>
    <col min="14350" max="14350" width="18.5703125" style="30" bestFit="1" customWidth="1"/>
    <col min="14351" max="14351" width="13.7109375" style="30" customWidth="1"/>
    <col min="14352" max="14352" width="54.5703125" style="30" bestFit="1" customWidth="1"/>
    <col min="14353" max="14591" width="9.140625" style="30"/>
    <col min="14592" max="14592" width="2.85546875" style="30" customWidth="1"/>
    <col min="14593" max="14593" width="5" style="30" customWidth="1"/>
    <col min="14594" max="14594" width="62" style="30" customWidth="1"/>
    <col min="14595" max="14595" width="12.7109375" style="30" bestFit="1" customWidth="1"/>
    <col min="14596" max="14596" width="1.7109375" style="30" customWidth="1"/>
    <col min="14597" max="14599" width="15.7109375" style="30" customWidth="1"/>
    <col min="14600" max="14600" width="17.85546875" style="30" bestFit="1" customWidth="1"/>
    <col min="14601" max="14601" width="18.5703125" style="30" bestFit="1" customWidth="1"/>
    <col min="14602" max="14604" width="15.7109375" style="30" customWidth="1"/>
    <col min="14605" max="14605" width="20" style="30" customWidth="1"/>
    <col min="14606" max="14606" width="18.5703125" style="30" bestFit="1" customWidth="1"/>
    <col min="14607" max="14607" width="13.7109375" style="30" customWidth="1"/>
    <col min="14608" max="14608" width="54.5703125" style="30" bestFit="1" customWidth="1"/>
    <col min="14609" max="14847" width="9.140625" style="30"/>
    <col min="14848" max="14848" width="2.85546875" style="30" customWidth="1"/>
    <col min="14849" max="14849" width="5" style="30" customWidth="1"/>
    <col min="14850" max="14850" width="62" style="30" customWidth="1"/>
    <col min="14851" max="14851" width="12.7109375" style="30" bestFit="1" customWidth="1"/>
    <col min="14852" max="14852" width="1.7109375" style="30" customWidth="1"/>
    <col min="14853" max="14855" width="15.7109375" style="30" customWidth="1"/>
    <col min="14856" max="14856" width="17.85546875" style="30" bestFit="1" customWidth="1"/>
    <col min="14857" max="14857" width="18.5703125" style="30" bestFit="1" customWidth="1"/>
    <col min="14858" max="14860" width="15.7109375" style="30" customWidth="1"/>
    <col min="14861" max="14861" width="20" style="30" customWidth="1"/>
    <col min="14862" max="14862" width="18.5703125" style="30" bestFit="1" customWidth="1"/>
    <col min="14863" max="14863" width="13.7109375" style="30" customWidth="1"/>
    <col min="14864" max="14864" width="54.5703125" style="30" bestFit="1" customWidth="1"/>
    <col min="14865" max="15103" width="9.140625" style="30"/>
    <col min="15104" max="15104" width="2.85546875" style="30" customWidth="1"/>
    <col min="15105" max="15105" width="5" style="30" customWidth="1"/>
    <col min="15106" max="15106" width="62" style="30" customWidth="1"/>
    <col min="15107" max="15107" width="12.7109375" style="30" bestFit="1" customWidth="1"/>
    <col min="15108" max="15108" width="1.7109375" style="30" customWidth="1"/>
    <col min="15109" max="15111" width="15.7109375" style="30" customWidth="1"/>
    <col min="15112" max="15112" width="17.85546875" style="30" bestFit="1" customWidth="1"/>
    <col min="15113" max="15113" width="18.5703125" style="30" bestFit="1" customWidth="1"/>
    <col min="15114" max="15116" width="15.7109375" style="30" customWidth="1"/>
    <col min="15117" max="15117" width="20" style="30" customWidth="1"/>
    <col min="15118" max="15118" width="18.5703125" style="30" bestFit="1" customWidth="1"/>
    <col min="15119" max="15119" width="13.7109375" style="30" customWidth="1"/>
    <col min="15120" max="15120" width="54.5703125" style="30" bestFit="1" customWidth="1"/>
    <col min="15121" max="15359" width="9.140625" style="30"/>
    <col min="15360" max="15360" width="2.85546875" style="30" customWidth="1"/>
    <col min="15361" max="15361" width="5" style="30" customWidth="1"/>
    <col min="15362" max="15362" width="62" style="30" customWidth="1"/>
    <col min="15363" max="15363" width="12.7109375" style="30" bestFit="1" customWidth="1"/>
    <col min="15364" max="15364" width="1.7109375" style="30" customWidth="1"/>
    <col min="15365" max="15367" width="15.7109375" style="30" customWidth="1"/>
    <col min="15368" max="15368" width="17.85546875" style="30" bestFit="1" customWidth="1"/>
    <col min="15369" max="15369" width="18.5703125" style="30" bestFit="1" customWidth="1"/>
    <col min="15370" max="15372" width="15.7109375" style="30" customWidth="1"/>
    <col min="15373" max="15373" width="20" style="30" customWidth="1"/>
    <col min="15374" max="15374" width="18.5703125" style="30" bestFit="1" customWidth="1"/>
    <col min="15375" max="15375" width="13.7109375" style="30" customWidth="1"/>
    <col min="15376" max="15376" width="54.5703125" style="30" bestFit="1" customWidth="1"/>
    <col min="15377" max="15615" width="9.140625" style="30"/>
    <col min="15616" max="15616" width="2.85546875" style="30" customWidth="1"/>
    <col min="15617" max="15617" width="5" style="30" customWidth="1"/>
    <col min="15618" max="15618" width="62" style="30" customWidth="1"/>
    <col min="15619" max="15619" width="12.7109375" style="30" bestFit="1" customWidth="1"/>
    <col min="15620" max="15620" width="1.7109375" style="30" customWidth="1"/>
    <col min="15621" max="15623" width="15.7109375" style="30" customWidth="1"/>
    <col min="15624" max="15624" width="17.85546875" style="30" bestFit="1" customWidth="1"/>
    <col min="15625" max="15625" width="18.5703125" style="30" bestFit="1" customWidth="1"/>
    <col min="15626" max="15628" width="15.7109375" style="30" customWidth="1"/>
    <col min="15629" max="15629" width="20" style="30" customWidth="1"/>
    <col min="15630" max="15630" width="18.5703125" style="30" bestFit="1" customWidth="1"/>
    <col min="15631" max="15631" width="13.7109375" style="30" customWidth="1"/>
    <col min="15632" max="15632" width="54.5703125" style="30" bestFit="1" customWidth="1"/>
    <col min="15633" max="15871" width="9.140625" style="30"/>
    <col min="15872" max="15872" width="2.85546875" style="30" customWidth="1"/>
    <col min="15873" max="15873" width="5" style="30" customWidth="1"/>
    <col min="15874" max="15874" width="62" style="30" customWidth="1"/>
    <col min="15875" max="15875" width="12.7109375" style="30" bestFit="1" customWidth="1"/>
    <col min="15876" max="15876" width="1.7109375" style="30" customWidth="1"/>
    <col min="15877" max="15879" width="15.7109375" style="30" customWidth="1"/>
    <col min="15880" max="15880" width="17.85546875" style="30" bestFit="1" customWidth="1"/>
    <col min="15881" max="15881" width="18.5703125" style="30" bestFit="1" customWidth="1"/>
    <col min="15882" max="15884" width="15.7109375" style="30" customWidth="1"/>
    <col min="15885" max="15885" width="20" style="30" customWidth="1"/>
    <col min="15886" max="15886" width="18.5703125" style="30" bestFit="1" customWidth="1"/>
    <col min="15887" max="15887" width="13.7109375" style="30" customWidth="1"/>
    <col min="15888" max="15888" width="54.5703125" style="30" bestFit="1" customWidth="1"/>
    <col min="15889" max="16127" width="9.140625" style="30"/>
    <col min="16128" max="16128" width="2.85546875" style="30" customWidth="1"/>
    <col min="16129" max="16129" width="5" style="30" customWidth="1"/>
    <col min="16130" max="16130" width="62" style="30" customWidth="1"/>
    <col min="16131" max="16131" width="12.7109375" style="30" bestFit="1" customWidth="1"/>
    <col min="16132" max="16132" width="1.7109375" style="30" customWidth="1"/>
    <col min="16133" max="16135" width="15.7109375" style="30" customWidth="1"/>
    <col min="16136" max="16136" width="17.85546875" style="30" bestFit="1" customWidth="1"/>
    <col min="16137" max="16137" width="18.5703125" style="30" bestFit="1" customWidth="1"/>
    <col min="16138" max="16140" width="15.7109375" style="30" customWidth="1"/>
    <col min="16141" max="16141" width="20" style="30" customWidth="1"/>
    <col min="16142" max="16142" width="18.5703125" style="30" bestFit="1" customWidth="1"/>
    <col min="16143" max="16143" width="13.7109375" style="30" customWidth="1"/>
    <col min="16144" max="16144" width="54.5703125" style="30" bestFit="1" customWidth="1"/>
    <col min="16145" max="16384" width="9.140625" style="30"/>
  </cols>
  <sheetData>
    <row r="1" spans="1:16">
      <c r="F1" s="61"/>
      <c r="K1" s="31"/>
      <c r="L1" s="21" t="s">
        <v>131</v>
      </c>
      <c r="M1" s="236" t="str">
        <f>'LDC Info'!$E$18</f>
        <v>EB-2012-0126</v>
      </c>
    </row>
    <row r="2" spans="1:16">
      <c r="F2" s="61"/>
      <c r="K2" s="31"/>
      <c r="L2" s="21" t="s">
        <v>132</v>
      </c>
      <c r="M2" s="237"/>
    </row>
    <row r="3" spans="1:16">
      <c r="F3" s="61"/>
      <c r="K3" s="31"/>
      <c r="L3" s="21" t="s">
        <v>133</v>
      </c>
      <c r="M3" s="237"/>
    </row>
    <row r="4" spans="1:16">
      <c r="F4" s="61"/>
      <c r="K4" s="31"/>
      <c r="L4" s="21" t="s">
        <v>134</v>
      </c>
      <c r="M4" s="237"/>
    </row>
    <row r="5" spans="1:16">
      <c r="F5" s="61"/>
      <c r="K5" s="31"/>
      <c r="L5" s="21" t="s">
        <v>135</v>
      </c>
      <c r="M5" s="238"/>
    </row>
    <row r="6" spans="1:16">
      <c r="F6" s="61"/>
      <c r="K6" s="31"/>
      <c r="L6" s="21"/>
      <c r="M6" s="236"/>
    </row>
    <row r="7" spans="1:16">
      <c r="F7" s="61"/>
      <c r="K7" s="31"/>
      <c r="L7" s="21" t="s">
        <v>136</v>
      </c>
      <c r="M7" s="238" t="s">
        <v>1171</v>
      </c>
    </row>
    <row r="8" spans="1:16" ht="8.25" customHeight="1"/>
    <row r="9" spans="1:16" ht="21" customHeight="1">
      <c r="A9" s="1132" t="s">
        <v>396</v>
      </c>
      <c r="B9" s="1132"/>
      <c r="C9" s="1132"/>
      <c r="D9" s="1132"/>
      <c r="E9" s="1132"/>
      <c r="F9" s="1132"/>
      <c r="G9" s="1132"/>
      <c r="H9" s="1132"/>
      <c r="I9" s="1132"/>
      <c r="J9" s="1132"/>
      <c r="K9" s="1132"/>
      <c r="L9" s="1132"/>
      <c r="M9" s="1132"/>
      <c r="N9" s="72"/>
      <c r="O9" s="72"/>
      <c r="P9" s="72"/>
    </row>
    <row r="10" spans="1:16" ht="19.5" customHeight="1">
      <c r="A10" s="1132" t="s">
        <v>397</v>
      </c>
      <c r="B10" s="1132"/>
      <c r="C10" s="1132"/>
      <c r="D10" s="1132"/>
      <c r="E10" s="1132"/>
      <c r="F10" s="1132"/>
      <c r="G10" s="1132"/>
      <c r="H10" s="1132"/>
      <c r="I10" s="1132"/>
      <c r="J10" s="1132"/>
      <c r="K10" s="1132"/>
      <c r="L10" s="1132"/>
      <c r="M10" s="1132"/>
      <c r="N10" s="108"/>
      <c r="O10" s="108"/>
      <c r="P10" s="108"/>
    </row>
    <row r="12" spans="1:16" ht="13.5" customHeight="1">
      <c r="A12" s="1150" t="s">
        <v>398</v>
      </c>
      <c r="B12" s="1150"/>
      <c r="C12" s="1150"/>
      <c r="D12" s="1150"/>
      <c r="E12" s="1150"/>
      <c r="F12" s="1150"/>
      <c r="G12" s="1150"/>
      <c r="H12" s="1150"/>
      <c r="I12" s="1150"/>
      <c r="J12" s="1150"/>
      <c r="K12" s="1150"/>
      <c r="L12" s="1150"/>
      <c r="M12" s="1150"/>
      <c r="N12" s="108"/>
      <c r="O12" s="108"/>
      <c r="P12" s="108"/>
    </row>
    <row r="13" spans="1:16" ht="15" thickBot="1">
      <c r="E13" s="239" t="s">
        <v>399</v>
      </c>
      <c r="F13" s="239" t="s">
        <v>400</v>
      </c>
      <c r="G13" s="239" t="s">
        <v>401</v>
      </c>
      <c r="H13" s="239" t="s">
        <v>402</v>
      </c>
      <c r="I13" s="239" t="s">
        <v>403</v>
      </c>
      <c r="J13" s="239" t="s">
        <v>404</v>
      </c>
      <c r="K13" s="239" t="s">
        <v>405</v>
      </c>
    </row>
    <row r="14" spans="1:16">
      <c r="A14" s="1151" t="s">
        <v>406</v>
      </c>
      <c r="B14" s="1152"/>
      <c r="C14" s="1153"/>
      <c r="D14" s="240"/>
      <c r="E14" s="241" t="s">
        <v>407</v>
      </c>
      <c r="F14" s="241" t="s">
        <v>407</v>
      </c>
      <c r="G14" s="241" t="s">
        <v>407</v>
      </c>
      <c r="H14" s="242" t="s">
        <v>408</v>
      </c>
      <c r="I14" s="242" t="s">
        <v>408</v>
      </c>
      <c r="J14" s="242" t="s">
        <v>409</v>
      </c>
      <c r="K14" s="1160" t="s">
        <v>410</v>
      </c>
      <c r="L14" s="1161"/>
      <c r="M14" s="1162"/>
    </row>
    <row r="15" spans="1:16">
      <c r="A15" s="1154"/>
      <c r="B15" s="1155"/>
      <c r="C15" s="1156"/>
      <c r="D15" s="243"/>
      <c r="E15" s="244" t="s">
        <v>411</v>
      </c>
      <c r="F15" s="244" t="s">
        <v>411</v>
      </c>
      <c r="G15" s="244" t="s">
        <v>411</v>
      </c>
      <c r="H15" s="245" t="s">
        <v>412</v>
      </c>
      <c r="I15" s="245" t="s">
        <v>412</v>
      </c>
      <c r="J15" s="245" t="s">
        <v>413</v>
      </c>
      <c r="K15" s="1163" t="s">
        <v>414</v>
      </c>
      <c r="L15" s="1164"/>
      <c r="M15" s="1165"/>
    </row>
    <row r="16" spans="1:16" ht="13.5" thickBot="1">
      <c r="A16" s="1157"/>
      <c r="B16" s="1158"/>
      <c r="C16" s="1159"/>
      <c r="D16" s="243"/>
      <c r="E16" s="246" t="s">
        <v>415</v>
      </c>
      <c r="F16" s="246" t="s">
        <v>35</v>
      </c>
      <c r="G16" s="246" t="s">
        <v>37</v>
      </c>
      <c r="H16" s="247" t="s">
        <v>416</v>
      </c>
      <c r="I16" s="247" t="s">
        <v>417</v>
      </c>
      <c r="J16" s="247" t="s">
        <v>418</v>
      </c>
      <c r="K16" s="1166" t="s">
        <v>419</v>
      </c>
      <c r="L16" s="1167"/>
      <c r="M16" s="1168"/>
    </row>
    <row r="17" spans="1:13">
      <c r="A17" s="1169" t="s">
        <v>420</v>
      </c>
      <c r="B17" s="1170"/>
      <c r="C17" s="1171"/>
      <c r="D17" s="243"/>
      <c r="E17" s="248"/>
      <c r="F17" s="249"/>
      <c r="G17" s="249">
        <v>423500.49</v>
      </c>
      <c r="H17" s="250">
        <f t="shared" ref="H17:H30" si="0">+G17-F17</f>
        <v>423500.49</v>
      </c>
      <c r="I17" s="250">
        <f t="shared" ref="I17:I30" si="1">+G17-E17</f>
        <v>423500.49</v>
      </c>
      <c r="J17" s="251" t="s">
        <v>421</v>
      </c>
      <c r="K17" s="1175" t="s">
        <v>422</v>
      </c>
      <c r="L17" s="1176"/>
      <c r="M17" s="1177"/>
    </row>
    <row r="18" spans="1:13">
      <c r="A18" s="1178" t="s">
        <v>423</v>
      </c>
      <c r="B18" s="1179"/>
      <c r="C18" s="1180"/>
      <c r="D18" s="243"/>
      <c r="E18" s="249"/>
      <c r="F18" s="249"/>
      <c r="G18" s="249"/>
      <c r="H18" s="250">
        <f t="shared" si="0"/>
        <v>0</v>
      </c>
      <c r="I18" s="250">
        <f t="shared" si="1"/>
        <v>0</v>
      </c>
      <c r="J18" s="251"/>
      <c r="K18" s="1172"/>
      <c r="L18" s="1173"/>
      <c r="M18" s="1174"/>
    </row>
    <row r="19" spans="1:13">
      <c r="A19" s="1169" t="s">
        <v>424</v>
      </c>
      <c r="B19" s="1170"/>
      <c r="C19" s="1171"/>
      <c r="D19" s="243"/>
      <c r="E19" s="249"/>
      <c r="F19" s="249"/>
      <c r="G19" s="249"/>
      <c r="H19" s="250">
        <f t="shared" si="0"/>
        <v>0</v>
      </c>
      <c r="I19" s="250">
        <f t="shared" si="1"/>
        <v>0</v>
      </c>
      <c r="J19" s="251"/>
      <c r="K19" s="1172"/>
      <c r="L19" s="1173"/>
      <c r="M19" s="1174"/>
    </row>
    <row r="20" spans="1:13">
      <c r="A20" s="1181" t="s">
        <v>425</v>
      </c>
      <c r="B20" s="1182"/>
      <c r="C20" s="1183"/>
      <c r="D20" s="243"/>
      <c r="E20" s="249"/>
      <c r="F20" s="249"/>
      <c r="G20" s="249"/>
      <c r="H20" s="250">
        <f t="shared" si="0"/>
        <v>0</v>
      </c>
      <c r="I20" s="250">
        <f t="shared" si="1"/>
        <v>0</v>
      </c>
      <c r="J20" s="251"/>
      <c r="K20" s="1172"/>
      <c r="L20" s="1173"/>
      <c r="M20" s="1174"/>
    </row>
    <row r="21" spans="1:13">
      <c r="A21" s="1178" t="s">
        <v>426</v>
      </c>
      <c r="B21" s="1179"/>
      <c r="C21" s="1180"/>
      <c r="D21" s="243"/>
      <c r="E21" s="249"/>
      <c r="F21" s="249"/>
      <c r="G21" s="249"/>
      <c r="H21" s="250">
        <f t="shared" si="0"/>
        <v>0</v>
      </c>
      <c r="I21" s="250">
        <f t="shared" si="1"/>
        <v>0</v>
      </c>
      <c r="J21" s="251"/>
      <c r="K21" s="1172"/>
      <c r="L21" s="1173"/>
      <c r="M21" s="1174"/>
    </row>
    <row r="22" spans="1:13">
      <c r="A22" s="252"/>
      <c r="B22" s="253"/>
      <c r="C22" s="254"/>
      <c r="D22" s="243"/>
      <c r="E22" s="249"/>
      <c r="F22" s="249"/>
      <c r="G22" s="249"/>
      <c r="H22" s="250">
        <f t="shared" si="0"/>
        <v>0</v>
      </c>
      <c r="I22" s="250">
        <f t="shared" si="1"/>
        <v>0</v>
      </c>
      <c r="J22" s="251"/>
      <c r="K22" s="1172"/>
      <c r="L22" s="1173"/>
      <c r="M22" s="1174"/>
    </row>
    <row r="23" spans="1:13">
      <c r="A23" s="1169" t="s">
        <v>427</v>
      </c>
      <c r="B23" s="1170"/>
      <c r="C23" s="1171"/>
      <c r="D23" s="243"/>
      <c r="E23" s="249"/>
      <c r="F23" s="249"/>
      <c r="G23" s="249"/>
      <c r="H23" s="250">
        <f t="shared" si="0"/>
        <v>0</v>
      </c>
      <c r="I23" s="250">
        <f t="shared" si="1"/>
        <v>0</v>
      </c>
      <c r="J23" s="251"/>
      <c r="K23" s="1172"/>
      <c r="L23" s="1173"/>
      <c r="M23" s="1174"/>
    </row>
    <row r="24" spans="1:13" ht="24.95" customHeight="1">
      <c r="A24" s="1181" t="s">
        <v>428</v>
      </c>
      <c r="B24" s="1182"/>
      <c r="C24" s="1183"/>
      <c r="D24" s="243"/>
      <c r="E24" s="249"/>
      <c r="F24" s="249"/>
      <c r="G24" s="249"/>
      <c r="H24" s="250">
        <f t="shared" si="0"/>
        <v>0</v>
      </c>
      <c r="I24" s="250">
        <f t="shared" si="1"/>
        <v>0</v>
      </c>
      <c r="J24" s="251"/>
      <c r="K24" s="1172"/>
      <c r="L24" s="1173"/>
      <c r="M24" s="1174"/>
    </row>
    <row r="25" spans="1:13" ht="24.95" customHeight="1">
      <c r="A25" s="1181" t="s">
        <v>429</v>
      </c>
      <c r="B25" s="1182"/>
      <c r="C25" s="1183"/>
      <c r="D25" s="243"/>
      <c r="E25" s="249"/>
      <c r="F25" s="249"/>
      <c r="G25" s="249"/>
      <c r="H25" s="250">
        <f t="shared" si="0"/>
        <v>0</v>
      </c>
      <c r="I25" s="250">
        <f t="shared" si="1"/>
        <v>0</v>
      </c>
      <c r="J25" s="251"/>
      <c r="K25" s="1172"/>
      <c r="L25" s="1173"/>
      <c r="M25" s="1174"/>
    </row>
    <row r="26" spans="1:13">
      <c r="A26" s="1178" t="s">
        <v>430</v>
      </c>
      <c r="B26" s="1179"/>
      <c r="C26" s="1180"/>
      <c r="D26" s="243"/>
      <c r="E26" s="249"/>
      <c r="F26" s="249"/>
      <c r="G26" s="249">
        <v>1213924.5900000001</v>
      </c>
      <c r="H26" s="250">
        <f t="shared" si="0"/>
        <v>1213924.5900000001</v>
      </c>
      <c r="I26" s="250">
        <f t="shared" si="1"/>
        <v>1213924.5900000001</v>
      </c>
      <c r="J26" s="251" t="s">
        <v>421</v>
      </c>
      <c r="K26" s="1172" t="s">
        <v>422</v>
      </c>
      <c r="L26" s="1173"/>
      <c r="M26" s="1174"/>
    </row>
    <row r="27" spans="1:13" ht="13.5" customHeight="1">
      <c r="A27" s="1169"/>
      <c r="B27" s="1170"/>
      <c r="C27" s="1171"/>
      <c r="D27" s="243"/>
      <c r="E27" s="249"/>
      <c r="F27" s="249"/>
      <c r="G27" s="249"/>
      <c r="H27" s="250">
        <f t="shared" si="0"/>
        <v>0</v>
      </c>
      <c r="I27" s="250">
        <f t="shared" si="1"/>
        <v>0</v>
      </c>
      <c r="J27" s="251"/>
      <c r="K27" s="1172"/>
      <c r="L27" s="1173"/>
      <c r="M27" s="1174"/>
    </row>
    <row r="28" spans="1:13" ht="13.5" customHeight="1">
      <c r="A28" s="1178"/>
      <c r="B28" s="1179"/>
      <c r="C28" s="1180"/>
      <c r="D28" s="243"/>
      <c r="E28" s="249"/>
      <c r="F28" s="249"/>
      <c r="G28" s="249"/>
      <c r="H28" s="250">
        <f t="shared" si="0"/>
        <v>0</v>
      </c>
      <c r="I28" s="250">
        <f t="shared" si="1"/>
        <v>0</v>
      </c>
      <c r="J28" s="251"/>
      <c r="K28" s="1172"/>
      <c r="L28" s="1173"/>
      <c r="M28" s="1174"/>
    </row>
    <row r="29" spans="1:13" ht="27" customHeight="1">
      <c r="A29" s="1178"/>
      <c r="B29" s="1179"/>
      <c r="C29" s="1180"/>
      <c r="D29" s="243"/>
      <c r="E29" s="249"/>
      <c r="F29" s="249"/>
      <c r="G29" s="249"/>
      <c r="H29" s="250">
        <f t="shared" si="0"/>
        <v>0</v>
      </c>
      <c r="I29" s="250">
        <f t="shared" si="1"/>
        <v>0</v>
      </c>
      <c r="J29" s="251"/>
      <c r="K29" s="1172"/>
      <c r="L29" s="1173"/>
      <c r="M29" s="1174"/>
    </row>
    <row r="30" spans="1:13" ht="13.5" thickBot="1">
      <c r="A30" s="1190" t="s">
        <v>431</v>
      </c>
      <c r="B30" s="1191"/>
      <c r="C30" s="1192"/>
      <c r="D30" s="255"/>
      <c r="E30" s="256"/>
      <c r="F30" s="256"/>
      <c r="G30" s="256"/>
      <c r="H30" s="257">
        <f t="shared" si="0"/>
        <v>0</v>
      </c>
      <c r="I30" s="257">
        <f t="shared" si="1"/>
        <v>0</v>
      </c>
      <c r="J30" s="258"/>
      <c r="K30" s="1193"/>
      <c r="L30" s="1194"/>
      <c r="M30" s="1195"/>
    </row>
    <row r="31" spans="1:13" ht="14.25" thickTop="1" thickBot="1">
      <c r="A31" s="1196" t="s">
        <v>267</v>
      </c>
      <c r="B31" s="1197"/>
      <c r="C31" s="1198"/>
      <c r="D31" s="259"/>
      <c r="E31" s="260">
        <f>SUM(E17:E30)</f>
        <v>0</v>
      </c>
      <c r="F31" s="260">
        <f>SUM(F17:F30)</f>
        <v>0</v>
      </c>
      <c r="G31" s="260">
        <f>SUM(G17:G30)</f>
        <v>1637425.08</v>
      </c>
      <c r="H31" s="260">
        <f>SUM(H17:H30)</f>
        <v>1637425.08</v>
      </c>
      <c r="I31" s="260">
        <f>SUM(I17:I30)</f>
        <v>1637425.08</v>
      </c>
      <c r="J31" s="261"/>
      <c r="K31" s="1199"/>
      <c r="L31" s="1200"/>
      <c r="M31" s="1201"/>
    </row>
    <row r="32" spans="1:13">
      <c r="A32" s="262"/>
      <c r="B32" s="262"/>
      <c r="C32" s="262"/>
      <c r="D32" s="73"/>
      <c r="E32" s="263"/>
      <c r="F32" s="263"/>
      <c r="G32" s="263"/>
      <c r="H32" s="263"/>
      <c r="I32" s="263"/>
      <c r="J32" s="263"/>
      <c r="K32" s="263"/>
      <c r="L32" s="263"/>
    </row>
    <row r="33" spans="1:16">
      <c r="A33" s="262"/>
      <c r="B33" s="262"/>
      <c r="C33" s="262"/>
      <c r="D33" s="73"/>
      <c r="E33" s="263"/>
      <c r="F33" s="263"/>
      <c r="G33" s="263"/>
      <c r="H33" s="263"/>
      <c r="I33" s="263"/>
      <c r="J33" s="263"/>
      <c r="K33" s="263"/>
      <c r="L33" s="263"/>
    </row>
    <row r="34" spans="1:16" ht="27" customHeight="1">
      <c r="A34" s="1150" t="s">
        <v>432</v>
      </c>
      <c r="B34" s="1150"/>
      <c r="C34" s="1150"/>
      <c r="D34" s="1150"/>
      <c r="E34" s="1150"/>
      <c r="F34" s="1150"/>
      <c r="G34" s="1150"/>
      <c r="H34" s="1150"/>
      <c r="I34" s="1150"/>
      <c r="J34" s="1150"/>
      <c r="K34" s="1150"/>
      <c r="L34" s="1150"/>
      <c r="M34" s="1150"/>
      <c r="N34" s="233"/>
      <c r="O34" s="233"/>
      <c r="P34" s="233"/>
    </row>
    <row r="35" spans="1:16" ht="15" thickBot="1">
      <c r="E35" s="239" t="s">
        <v>399</v>
      </c>
      <c r="F35" s="239" t="s">
        <v>400</v>
      </c>
      <c r="G35" s="239" t="s">
        <v>401</v>
      </c>
      <c r="H35" s="239" t="s">
        <v>402</v>
      </c>
      <c r="I35" s="239" t="s">
        <v>403</v>
      </c>
      <c r="J35" s="239" t="s">
        <v>404</v>
      </c>
      <c r="K35" s="239" t="s">
        <v>405</v>
      </c>
    </row>
    <row r="36" spans="1:16" ht="12.75" customHeight="1">
      <c r="A36" s="1151" t="s">
        <v>406</v>
      </c>
      <c r="B36" s="1152"/>
      <c r="C36" s="1153"/>
      <c r="D36" s="240"/>
      <c r="E36" s="241" t="s">
        <v>407</v>
      </c>
      <c r="F36" s="241" t="s">
        <v>407</v>
      </c>
      <c r="G36" s="241" t="s">
        <v>407</v>
      </c>
      <c r="H36" s="242" t="s">
        <v>408</v>
      </c>
      <c r="I36" s="242" t="s">
        <v>408</v>
      </c>
      <c r="J36" s="242" t="s">
        <v>409</v>
      </c>
      <c r="K36" s="1160" t="s">
        <v>433</v>
      </c>
      <c r="L36" s="1184"/>
      <c r="M36" s="1185"/>
    </row>
    <row r="37" spans="1:16">
      <c r="A37" s="1154"/>
      <c r="B37" s="1155"/>
      <c r="C37" s="1156"/>
      <c r="D37" s="243"/>
      <c r="E37" s="244" t="s">
        <v>434</v>
      </c>
      <c r="F37" s="244" t="s">
        <v>434</v>
      </c>
      <c r="G37" s="244" t="s">
        <v>434</v>
      </c>
      <c r="H37" s="245" t="s">
        <v>435</v>
      </c>
      <c r="I37" s="245" t="s">
        <v>435</v>
      </c>
      <c r="J37" s="245" t="s">
        <v>413</v>
      </c>
      <c r="K37" s="1163" t="s">
        <v>414</v>
      </c>
      <c r="L37" s="1186"/>
      <c r="M37" s="1187"/>
    </row>
    <row r="38" spans="1:16" ht="13.5" thickBot="1">
      <c r="A38" s="1157"/>
      <c r="B38" s="1158"/>
      <c r="C38" s="1159"/>
      <c r="D38" s="243"/>
      <c r="E38" s="246" t="s">
        <v>415</v>
      </c>
      <c r="F38" s="246" t="s">
        <v>35</v>
      </c>
      <c r="G38" s="246" t="s">
        <v>37</v>
      </c>
      <c r="H38" s="247" t="s">
        <v>416</v>
      </c>
      <c r="I38" s="247" t="s">
        <v>417</v>
      </c>
      <c r="J38" s="247" t="s">
        <v>418</v>
      </c>
      <c r="K38" s="1166" t="s">
        <v>419</v>
      </c>
      <c r="L38" s="1188"/>
      <c r="M38" s="1189"/>
    </row>
    <row r="39" spans="1:16" ht="12.75" customHeight="1">
      <c r="A39" s="1169" t="s">
        <v>420</v>
      </c>
      <c r="B39" s="1170"/>
      <c r="C39" s="1171"/>
      <c r="D39" s="243"/>
      <c r="E39" s="249"/>
      <c r="F39" s="249"/>
      <c r="G39" s="249">
        <v>88786.22</v>
      </c>
      <c r="H39" s="250">
        <f>+G39-F39</f>
        <v>88786.22</v>
      </c>
      <c r="I39" s="250">
        <f>+G39-E39</f>
        <v>88786.22</v>
      </c>
      <c r="J39" s="251" t="s">
        <v>436</v>
      </c>
      <c r="K39" s="1172" t="s">
        <v>437</v>
      </c>
      <c r="L39" s="1173"/>
      <c r="M39" s="1174"/>
    </row>
    <row r="40" spans="1:16" ht="12.75" customHeight="1">
      <c r="A40" s="1178" t="s">
        <v>423</v>
      </c>
      <c r="B40" s="1179"/>
      <c r="C40" s="1180"/>
      <c r="D40" s="243"/>
      <c r="E40" s="249"/>
      <c r="F40" s="249"/>
      <c r="G40" s="249"/>
      <c r="H40" s="250">
        <f>+G40-F40</f>
        <v>0</v>
      </c>
      <c r="I40" s="250">
        <f>+G40-E40</f>
        <v>0</v>
      </c>
      <c r="J40" s="251"/>
      <c r="K40" s="1172"/>
      <c r="L40" s="1173"/>
      <c r="M40" s="1174"/>
    </row>
    <row r="41" spans="1:16" ht="12.75" customHeight="1">
      <c r="A41" s="1169" t="s">
        <v>424</v>
      </c>
      <c r="B41" s="1170"/>
      <c r="C41" s="1171"/>
      <c r="D41" s="243"/>
      <c r="E41" s="249"/>
      <c r="F41" s="249"/>
      <c r="G41" s="249"/>
      <c r="H41" s="250">
        <f>+G41-F41</f>
        <v>0</v>
      </c>
      <c r="I41" s="250">
        <f>+G41-E41</f>
        <v>0</v>
      </c>
      <c r="J41" s="251"/>
      <c r="K41" s="1172"/>
      <c r="L41" s="1173"/>
      <c r="M41" s="1174"/>
    </row>
    <row r="42" spans="1:16" ht="12.75" customHeight="1">
      <c r="A42" s="1181" t="s">
        <v>425</v>
      </c>
      <c r="B42" s="1182"/>
      <c r="C42" s="1183"/>
      <c r="D42" s="243"/>
      <c r="E42" s="249"/>
      <c r="F42" s="249"/>
      <c r="G42" s="249"/>
      <c r="H42" s="250">
        <f>+G42-F42</f>
        <v>0</v>
      </c>
      <c r="I42" s="250">
        <f>+G42-E42</f>
        <v>0</v>
      </c>
      <c r="J42" s="251"/>
      <c r="K42" s="1172"/>
      <c r="L42" s="1173"/>
      <c r="M42" s="1174"/>
    </row>
    <row r="43" spans="1:16" ht="12.75" customHeight="1">
      <c r="A43" s="1178" t="s">
        <v>426</v>
      </c>
      <c r="B43" s="1179"/>
      <c r="C43" s="1180"/>
      <c r="D43" s="243"/>
      <c r="E43" s="249"/>
      <c r="F43" s="249"/>
      <c r="G43" s="249"/>
      <c r="H43" s="250">
        <f>+G43-F43</f>
        <v>0</v>
      </c>
      <c r="I43" s="250">
        <f>+G43-E43</f>
        <v>0</v>
      </c>
      <c r="J43" s="251"/>
      <c r="K43" s="1172"/>
      <c r="L43" s="1173"/>
      <c r="M43" s="1174"/>
    </row>
    <row r="44" spans="1:16">
      <c r="A44" s="252"/>
      <c r="B44" s="253"/>
      <c r="C44" s="254"/>
      <c r="D44" s="243"/>
      <c r="E44" s="249"/>
      <c r="F44" s="249"/>
      <c r="G44" s="249"/>
      <c r="H44" s="250"/>
      <c r="I44" s="250"/>
      <c r="J44" s="251"/>
      <c r="K44" s="1172"/>
      <c r="L44" s="1173"/>
      <c r="M44" s="1174"/>
    </row>
    <row r="45" spans="1:16" ht="12.75" customHeight="1">
      <c r="A45" s="1169" t="s">
        <v>427</v>
      </c>
      <c r="B45" s="1170"/>
      <c r="C45" s="1171"/>
      <c r="D45" s="243"/>
      <c r="E45" s="249"/>
      <c r="F45" s="249"/>
      <c r="G45" s="249"/>
      <c r="H45" s="250">
        <f t="shared" ref="H45:H52" si="2">+G45-F45</f>
        <v>0</v>
      </c>
      <c r="I45" s="250">
        <f t="shared" ref="I45:I52" si="3">+G45-E45</f>
        <v>0</v>
      </c>
      <c r="J45" s="251"/>
      <c r="K45" s="1172"/>
      <c r="L45" s="1173"/>
      <c r="M45" s="1174"/>
    </row>
    <row r="46" spans="1:16" ht="12.75" customHeight="1">
      <c r="A46" s="1181" t="s">
        <v>428</v>
      </c>
      <c r="B46" s="1182"/>
      <c r="C46" s="1183"/>
      <c r="D46" s="243"/>
      <c r="E46" s="249"/>
      <c r="F46" s="249"/>
      <c r="G46" s="249"/>
      <c r="H46" s="250">
        <f t="shared" si="2"/>
        <v>0</v>
      </c>
      <c r="I46" s="250">
        <f t="shared" si="3"/>
        <v>0</v>
      </c>
      <c r="J46" s="251"/>
      <c r="K46" s="1172"/>
      <c r="L46" s="1173"/>
      <c r="M46" s="1174"/>
    </row>
    <row r="47" spans="1:16" ht="12.75" customHeight="1">
      <c r="A47" s="1181" t="s">
        <v>429</v>
      </c>
      <c r="B47" s="1182"/>
      <c r="C47" s="1183"/>
      <c r="D47" s="243"/>
      <c r="E47" s="249"/>
      <c r="F47" s="249"/>
      <c r="G47" s="249"/>
      <c r="H47" s="250">
        <f t="shared" si="2"/>
        <v>0</v>
      </c>
      <c r="I47" s="250">
        <f t="shared" si="3"/>
        <v>0</v>
      </c>
      <c r="J47" s="251"/>
      <c r="K47" s="1172"/>
      <c r="L47" s="1173"/>
      <c r="M47" s="1174"/>
    </row>
    <row r="48" spans="1:16" ht="12.75" customHeight="1">
      <c r="A48" s="1178" t="s">
        <v>430</v>
      </c>
      <c r="B48" s="1179"/>
      <c r="C48" s="1180"/>
      <c r="D48" s="243"/>
      <c r="E48" s="249"/>
      <c r="F48" s="249"/>
      <c r="G48" s="249">
        <v>895026.71</v>
      </c>
      <c r="H48" s="250">
        <f t="shared" si="2"/>
        <v>895026.71</v>
      </c>
      <c r="I48" s="250">
        <f t="shared" si="3"/>
        <v>895026.71</v>
      </c>
      <c r="J48" s="251" t="s">
        <v>436</v>
      </c>
      <c r="K48" s="1172" t="s">
        <v>437</v>
      </c>
      <c r="L48" s="1173"/>
      <c r="M48" s="1174"/>
    </row>
    <row r="49" spans="1:13">
      <c r="A49" s="1169"/>
      <c r="B49" s="1170"/>
      <c r="C49" s="1171"/>
      <c r="D49" s="243"/>
      <c r="E49" s="249"/>
      <c r="F49" s="249"/>
      <c r="G49" s="249"/>
      <c r="H49" s="250">
        <f t="shared" si="2"/>
        <v>0</v>
      </c>
      <c r="I49" s="250">
        <f t="shared" si="3"/>
        <v>0</v>
      </c>
      <c r="J49" s="251"/>
      <c r="K49" s="1172"/>
      <c r="L49" s="1173"/>
      <c r="M49" s="1174"/>
    </row>
    <row r="50" spans="1:13">
      <c r="A50" s="1178"/>
      <c r="B50" s="1179"/>
      <c r="C50" s="1180"/>
      <c r="D50" s="243"/>
      <c r="E50" s="249"/>
      <c r="F50" s="249"/>
      <c r="G50" s="249"/>
      <c r="H50" s="250">
        <f t="shared" si="2"/>
        <v>0</v>
      </c>
      <c r="I50" s="250">
        <f t="shared" si="3"/>
        <v>0</v>
      </c>
      <c r="J50" s="251"/>
      <c r="K50" s="1172"/>
      <c r="L50" s="1173"/>
      <c r="M50" s="1174"/>
    </row>
    <row r="51" spans="1:13">
      <c r="A51" s="1178"/>
      <c r="B51" s="1179"/>
      <c r="C51" s="1180"/>
      <c r="D51" s="243"/>
      <c r="E51" s="249"/>
      <c r="F51" s="249"/>
      <c r="G51" s="249"/>
      <c r="H51" s="250">
        <f t="shared" si="2"/>
        <v>0</v>
      </c>
      <c r="I51" s="250">
        <f t="shared" si="3"/>
        <v>0</v>
      </c>
      <c r="J51" s="251"/>
      <c r="K51" s="1172"/>
      <c r="L51" s="1173"/>
      <c r="M51" s="1174"/>
    </row>
    <row r="52" spans="1:13" ht="13.5" customHeight="1" thickBot="1">
      <c r="A52" s="1203" t="s">
        <v>431</v>
      </c>
      <c r="B52" s="1204"/>
      <c r="C52" s="1205"/>
      <c r="D52" s="243"/>
      <c r="E52" s="256"/>
      <c r="F52" s="256"/>
      <c r="G52" s="256"/>
      <c r="H52" s="250">
        <f t="shared" si="2"/>
        <v>0</v>
      </c>
      <c r="I52" s="250">
        <f t="shared" si="3"/>
        <v>0</v>
      </c>
      <c r="J52" s="258"/>
      <c r="K52" s="1172"/>
      <c r="L52" s="1173"/>
      <c r="M52" s="1174"/>
    </row>
    <row r="53" spans="1:13" ht="14.25" customHeight="1" thickTop="1" thickBot="1">
      <c r="A53" s="1206" t="s">
        <v>267</v>
      </c>
      <c r="B53" s="1207"/>
      <c r="C53" s="1208"/>
      <c r="D53" s="259"/>
      <c r="E53" s="260">
        <f>SUM(E39:E52)</f>
        <v>0</v>
      </c>
      <c r="F53" s="260">
        <f>SUM(F39:F52)</f>
        <v>0</v>
      </c>
      <c r="G53" s="260">
        <f>SUM(G39:G52)</f>
        <v>983812.92999999993</v>
      </c>
      <c r="H53" s="260">
        <f>SUM(H39:H52)</f>
        <v>983812.92999999993</v>
      </c>
      <c r="I53" s="260">
        <f>SUM(I39:I52)</f>
        <v>983812.92999999993</v>
      </c>
      <c r="J53" s="264"/>
      <c r="K53" s="1209"/>
      <c r="L53" s="1210"/>
      <c r="M53" s="1211"/>
    </row>
    <row r="54" spans="1:13">
      <c r="A54" s="262"/>
      <c r="B54" s="262"/>
      <c r="C54" s="262"/>
      <c r="D54" s="73"/>
      <c r="E54" s="263"/>
      <c r="F54" s="263"/>
      <c r="G54" s="263"/>
      <c r="H54" s="263"/>
      <c r="I54" s="263"/>
      <c r="J54" s="263"/>
      <c r="K54" s="263"/>
      <c r="L54" s="263"/>
      <c r="M54" s="263"/>
    </row>
    <row r="55" spans="1:13">
      <c r="A55" s="265" t="s">
        <v>270</v>
      </c>
      <c r="B55" s="262"/>
      <c r="C55" s="262"/>
      <c r="D55" s="73"/>
      <c r="E55" s="263"/>
      <c r="F55" s="263"/>
      <c r="G55" s="263"/>
      <c r="H55" s="263"/>
      <c r="I55" s="263"/>
      <c r="J55" s="263"/>
      <c r="K55" s="263"/>
      <c r="L55" s="263"/>
      <c r="M55" s="263"/>
    </row>
    <row r="56" spans="1:13">
      <c r="A56" s="172">
        <v>1</v>
      </c>
      <c r="B56" s="1142" t="s">
        <v>438</v>
      </c>
      <c r="C56" s="1142"/>
      <c r="D56" s="1142"/>
      <c r="E56" s="1142"/>
      <c r="F56" s="1142"/>
      <c r="G56" s="1142"/>
      <c r="H56" s="1142"/>
      <c r="I56" s="1142"/>
      <c r="J56" s="1142"/>
      <c r="K56" s="1142"/>
      <c r="L56" s="1142"/>
      <c r="M56" s="1142"/>
    </row>
    <row r="57" spans="1:13">
      <c r="B57" s="1142"/>
      <c r="C57" s="1142"/>
      <c r="D57" s="1142"/>
      <c r="E57" s="1142"/>
      <c r="F57" s="1142"/>
      <c r="G57" s="1142"/>
      <c r="H57" s="1142"/>
      <c r="I57" s="1142"/>
      <c r="J57" s="1142"/>
      <c r="K57" s="1142"/>
      <c r="L57" s="1142"/>
      <c r="M57" s="1142"/>
    </row>
    <row r="58" spans="1:13" ht="13.5" customHeight="1">
      <c r="A58" s="1202"/>
      <c r="B58" s="1212"/>
      <c r="C58" s="1213"/>
      <c r="D58" s="1213"/>
      <c r="E58" s="1213"/>
      <c r="F58" s="37"/>
    </row>
    <row r="59" spans="1:13">
      <c r="A59" s="1202"/>
      <c r="B59" s="1213"/>
      <c r="C59" s="1213"/>
      <c r="D59" s="1213"/>
      <c r="E59" s="1213"/>
      <c r="F59" s="233"/>
    </row>
    <row r="60" spans="1:13">
      <c r="A60" s="239"/>
      <c r="B60" s="74"/>
      <c r="C60" s="74"/>
      <c r="D60" s="74"/>
      <c r="E60" s="74"/>
    </row>
    <row r="61" spans="1:13">
      <c r="A61" s="1202"/>
      <c r="B61" s="1212"/>
      <c r="C61" s="1212"/>
      <c r="D61" s="1212"/>
      <c r="E61" s="1212"/>
      <c r="F61" s="266"/>
    </row>
    <row r="62" spans="1:13">
      <c r="A62" s="1202"/>
      <c r="B62" s="107"/>
      <c r="C62" s="107"/>
      <c r="D62" s="107"/>
      <c r="E62" s="107"/>
    </row>
    <row r="63" spans="1:13" ht="12.75" customHeight="1">
      <c r="A63" s="1202"/>
      <c r="B63" s="107"/>
      <c r="C63" s="107"/>
      <c r="D63" s="107"/>
      <c r="E63" s="107"/>
      <c r="F63" s="233"/>
    </row>
    <row r="64" spans="1:13">
      <c r="A64" s="1202"/>
      <c r="B64" s="107"/>
      <c r="C64" s="107"/>
      <c r="D64" s="107"/>
      <c r="E64" s="107"/>
      <c r="F64" s="233"/>
    </row>
    <row r="65" spans="1:14">
      <c r="A65" s="239"/>
      <c r="B65" s="107"/>
      <c r="C65" s="107"/>
      <c r="D65" s="107"/>
      <c r="E65" s="107"/>
    </row>
    <row r="66" spans="1:14" ht="12.75" customHeight="1">
      <c r="A66" s="1202"/>
      <c r="B66" s="107"/>
      <c r="C66" s="107"/>
      <c r="D66" s="107"/>
      <c r="E66" s="107"/>
      <c r="F66" s="233"/>
      <c r="G66" s="233"/>
      <c r="H66" s="233"/>
      <c r="I66" s="233"/>
      <c r="J66" s="233"/>
      <c r="K66" s="233"/>
      <c r="L66" s="233"/>
      <c r="M66" s="233"/>
      <c r="N66" s="233"/>
    </row>
    <row r="67" spans="1:14">
      <c r="A67" s="1202"/>
      <c r="C67" s="107"/>
      <c r="D67" s="107"/>
      <c r="E67" s="107"/>
      <c r="F67" s="233"/>
      <c r="G67" s="233"/>
      <c r="H67" s="233"/>
      <c r="I67" s="233"/>
      <c r="J67" s="233"/>
      <c r="K67" s="233"/>
      <c r="L67" s="233"/>
      <c r="M67" s="233"/>
      <c r="N67" s="233"/>
    </row>
    <row r="68" spans="1:14" ht="12.75" customHeight="1">
      <c r="A68" s="239"/>
      <c r="C68" s="107"/>
      <c r="D68" s="107"/>
      <c r="E68" s="107"/>
      <c r="F68" s="233"/>
      <c r="G68" s="233"/>
      <c r="H68" s="233"/>
      <c r="I68" s="233"/>
      <c r="J68" s="233"/>
      <c r="K68" s="233"/>
      <c r="L68" s="233"/>
      <c r="M68" s="233"/>
      <c r="N68" s="233"/>
    </row>
    <row r="69" spans="1:14">
      <c r="A69" s="1214"/>
      <c r="B69" s="107"/>
      <c r="C69" s="107"/>
      <c r="D69" s="107"/>
      <c r="E69" s="107"/>
      <c r="F69" s="233"/>
      <c r="G69" s="233"/>
      <c r="H69" s="233"/>
      <c r="I69" s="233"/>
      <c r="J69" s="233"/>
      <c r="K69" s="233"/>
      <c r="L69" s="233"/>
      <c r="M69" s="233"/>
      <c r="N69" s="233"/>
    </row>
    <row r="70" spans="1:14">
      <c r="A70" s="1214"/>
      <c r="B70" s="107"/>
      <c r="C70" s="107"/>
      <c r="D70" s="107"/>
      <c r="E70" s="107"/>
      <c r="F70" s="233"/>
      <c r="G70" s="233"/>
      <c r="H70" s="233"/>
      <c r="I70" s="233"/>
      <c r="J70" s="233"/>
      <c r="K70" s="233"/>
      <c r="L70" s="233"/>
      <c r="M70" s="233"/>
      <c r="N70" s="233"/>
    </row>
    <row r="71" spans="1:14">
      <c r="A71" s="1214"/>
      <c r="B71" s="107"/>
      <c r="C71" s="107"/>
      <c r="D71" s="107"/>
      <c r="E71" s="107"/>
      <c r="F71" s="233"/>
      <c r="G71" s="233"/>
      <c r="H71" s="233"/>
      <c r="I71" s="233"/>
      <c r="J71" s="233"/>
      <c r="K71" s="233"/>
      <c r="L71" s="233"/>
      <c r="M71" s="233"/>
      <c r="N71" s="233"/>
    </row>
    <row r="72" spans="1:14">
      <c r="A72" s="1214"/>
      <c r="B72" s="107"/>
      <c r="C72" s="107"/>
      <c r="D72" s="107"/>
      <c r="E72" s="107"/>
      <c r="F72" s="233"/>
      <c r="G72" s="233"/>
      <c r="H72" s="233"/>
      <c r="I72" s="233"/>
      <c r="J72" s="233"/>
      <c r="K72" s="233"/>
      <c r="L72" s="233"/>
      <c r="M72" s="233"/>
      <c r="N72" s="233"/>
    </row>
    <row r="73" spans="1:14">
      <c r="A73" s="239"/>
      <c r="B73" s="107"/>
      <c r="C73" s="107"/>
      <c r="D73" s="107"/>
      <c r="E73" s="107"/>
    </row>
    <row r="74" spans="1:14" ht="12.75" customHeight="1">
      <c r="A74" s="1202"/>
      <c r="B74" s="107"/>
      <c r="C74" s="107"/>
      <c r="D74" s="107"/>
      <c r="E74" s="107"/>
      <c r="F74" s="233"/>
      <c r="G74" s="233"/>
      <c r="H74" s="233"/>
      <c r="I74" s="233"/>
      <c r="J74" s="233"/>
      <c r="K74" s="233"/>
      <c r="L74" s="233"/>
      <c r="M74" s="233"/>
      <c r="N74" s="233"/>
    </row>
    <row r="75" spans="1:14">
      <c r="A75" s="1202"/>
      <c r="B75" s="107"/>
      <c r="C75" s="107"/>
      <c r="D75" s="107"/>
      <c r="E75" s="107"/>
      <c r="F75" s="233"/>
      <c r="G75" s="233"/>
      <c r="H75" s="233"/>
      <c r="I75" s="233"/>
      <c r="J75" s="233"/>
      <c r="K75" s="233"/>
      <c r="L75" s="233"/>
      <c r="M75" s="233"/>
      <c r="N75" s="233"/>
    </row>
    <row r="76" spans="1:14">
      <c r="B76" s="107"/>
      <c r="C76" s="107"/>
      <c r="D76" s="107"/>
      <c r="E76" s="107"/>
    </row>
    <row r="77" spans="1:14" ht="12.75" customHeight="1">
      <c r="B77" s="107"/>
      <c r="C77" s="107"/>
      <c r="D77" s="107"/>
      <c r="E77" s="107"/>
    </row>
  </sheetData>
  <mergeCells count="79">
    <mergeCell ref="A74:A75"/>
    <mergeCell ref="A52:C52"/>
    <mergeCell ref="K52:M52"/>
    <mergeCell ref="A53:C53"/>
    <mergeCell ref="K53:M53"/>
    <mergeCell ref="B56:M57"/>
    <mergeCell ref="A58:A59"/>
    <mergeCell ref="B58:E59"/>
    <mergeCell ref="A61:A62"/>
    <mergeCell ref="B61:E61"/>
    <mergeCell ref="A63:A64"/>
    <mergeCell ref="A66:A67"/>
    <mergeCell ref="A69:A72"/>
    <mergeCell ref="A49:C49"/>
    <mergeCell ref="K49:M49"/>
    <mergeCell ref="A50:C50"/>
    <mergeCell ref="K50:M50"/>
    <mergeCell ref="A51:C51"/>
    <mergeCell ref="K51:M51"/>
    <mergeCell ref="A46:C46"/>
    <mergeCell ref="K46:M46"/>
    <mergeCell ref="A47:C47"/>
    <mergeCell ref="K47:M47"/>
    <mergeCell ref="A48:C48"/>
    <mergeCell ref="K48:M48"/>
    <mergeCell ref="A45:C45"/>
    <mergeCell ref="K45:M45"/>
    <mergeCell ref="A39:C39"/>
    <mergeCell ref="K39:M39"/>
    <mergeCell ref="A40:C40"/>
    <mergeCell ref="K40:M40"/>
    <mergeCell ref="A41:C41"/>
    <mergeCell ref="K41:M41"/>
    <mergeCell ref="A42:C42"/>
    <mergeCell ref="K42:M42"/>
    <mergeCell ref="A43:C43"/>
    <mergeCell ref="K43:M43"/>
    <mergeCell ref="K44:M44"/>
    <mergeCell ref="A36:C38"/>
    <mergeCell ref="K36:M36"/>
    <mergeCell ref="K37:M37"/>
    <mergeCell ref="K38:M38"/>
    <mergeCell ref="A27:C27"/>
    <mergeCell ref="K27:M27"/>
    <mergeCell ref="A28:C28"/>
    <mergeCell ref="K28:M28"/>
    <mergeCell ref="A29:C29"/>
    <mergeCell ref="K29:M29"/>
    <mergeCell ref="A30:C30"/>
    <mergeCell ref="K30:M30"/>
    <mergeCell ref="A31:C31"/>
    <mergeCell ref="K31:M31"/>
    <mergeCell ref="A34:M34"/>
    <mergeCell ref="A24:C24"/>
    <mergeCell ref="K24:M24"/>
    <mergeCell ref="A25:C25"/>
    <mergeCell ref="K25:M25"/>
    <mergeCell ref="A26:C26"/>
    <mergeCell ref="K26:M26"/>
    <mergeCell ref="A23:C23"/>
    <mergeCell ref="K23:M23"/>
    <mergeCell ref="A17:C17"/>
    <mergeCell ref="K17:M17"/>
    <mergeCell ref="A18:C18"/>
    <mergeCell ref="K18:M18"/>
    <mergeCell ref="A19:C19"/>
    <mergeCell ref="K19:M19"/>
    <mergeCell ref="A20:C20"/>
    <mergeCell ref="K20:M20"/>
    <mergeCell ref="A21:C21"/>
    <mergeCell ref="K21:M21"/>
    <mergeCell ref="K22:M22"/>
    <mergeCell ref="A9:M9"/>
    <mergeCell ref="A10:M10"/>
    <mergeCell ref="A12:M12"/>
    <mergeCell ref="A14:C16"/>
    <mergeCell ref="K14:M14"/>
    <mergeCell ref="K15:M15"/>
    <mergeCell ref="K16:M16"/>
  </mergeCells>
  <dataValidations count="2">
    <dataValidation type="list" allowBlank="1" showInputMessage="1" showErrorMessage="1" sqref="J39:J52 J17:J30">
      <formula1>"Y, N"</formula1>
    </dataValidation>
    <dataValidation allowBlank="1" showInputMessage="1" showErrorMessage="1" promptTitle="Date Format" prompt="E.g:  &quot;August 1, 2011&quot;" sqref="WVU98304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43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M131079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M196615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M262151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M327687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M393223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M458759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M524295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M589831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M655367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M720903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M786439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M851975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M917511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M983047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dataValidations>
  <pageMargins left="0.74803149606299213" right="0.74803149606299213" top="0.98425196850393704" bottom="0.98425196850393704" header="0.51181102362204722" footer="0.51181102362204722"/>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sheetPr>
    <pageSetUpPr fitToPage="1"/>
  </sheetPr>
  <dimension ref="A1:I137"/>
  <sheetViews>
    <sheetView showGridLines="0" zoomScale="85" zoomScaleNormal="85" workbookViewId="0">
      <selection activeCell="J24" sqref="J24"/>
    </sheetView>
  </sheetViews>
  <sheetFormatPr defaultRowHeight="12.75"/>
  <cols>
    <col min="1" max="1" width="11.28515625" customWidth="1"/>
    <col min="2" max="2" width="43.85546875" customWidth="1"/>
    <col min="3" max="5" width="13.7109375" customWidth="1"/>
    <col min="6" max="6" width="13.7109375" hidden="1" customWidth="1"/>
    <col min="7" max="7" width="13.7109375" customWidth="1"/>
    <col min="8" max="8" width="16.7109375" customWidth="1"/>
    <col min="9" max="9" width="13.7109375" customWidth="1"/>
  </cols>
  <sheetData>
    <row r="1" spans="1:9" ht="18">
      <c r="A1" s="267"/>
      <c r="G1" s="268"/>
      <c r="H1" s="268" t="s">
        <v>131</v>
      </c>
      <c r="I1" s="236" t="str">
        <f>'LDC Info'!$E$18</f>
        <v>EB-2012-0126</v>
      </c>
    </row>
    <row r="2" spans="1:9">
      <c r="G2" s="268"/>
      <c r="H2" s="268" t="s">
        <v>132</v>
      </c>
      <c r="I2" s="237"/>
    </row>
    <row r="3" spans="1:9">
      <c r="G3" s="268"/>
      <c r="H3" s="268" t="s">
        <v>133</v>
      </c>
      <c r="I3" s="237"/>
    </row>
    <row r="4" spans="1:9">
      <c r="G4" s="268"/>
      <c r="H4" s="268" t="s">
        <v>134</v>
      </c>
      <c r="I4" s="237"/>
    </row>
    <row r="5" spans="1:9">
      <c r="G5" s="268"/>
      <c r="H5" s="268" t="s">
        <v>439</v>
      </c>
      <c r="I5" s="238"/>
    </row>
    <row r="6" spans="1:9">
      <c r="G6" s="268"/>
      <c r="H6" s="268"/>
      <c r="I6" s="236"/>
    </row>
    <row r="7" spans="1:9">
      <c r="G7" s="268"/>
      <c r="H7" s="268" t="s">
        <v>136</v>
      </c>
      <c r="I7" s="238" t="s">
        <v>1171</v>
      </c>
    </row>
    <row r="8" spans="1:9">
      <c r="H8" s="269"/>
    </row>
    <row r="9" spans="1:9" ht="18">
      <c r="A9" s="1215" t="s">
        <v>1173</v>
      </c>
      <c r="B9" s="1215"/>
      <c r="C9" s="1215"/>
      <c r="D9" s="1215"/>
      <c r="E9" s="1215"/>
      <c r="F9" s="1215"/>
      <c r="G9" s="1215"/>
      <c r="H9" s="1215"/>
      <c r="I9" s="1215"/>
    </row>
    <row r="10" spans="1:9" ht="18">
      <c r="A10" s="1215" t="s">
        <v>440</v>
      </c>
      <c r="B10" s="1215"/>
      <c r="C10" s="1215"/>
      <c r="D10" s="1215"/>
      <c r="E10" s="1215"/>
      <c r="F10" s="1215"/>
      <c r="G10" s="1215"/>
      <c r="H10" s="1215"/>
      <c r="I10" s="1215"/>
    </row>
    <row r="11" spans="1:9" ht="13.5" thickBot="1">
      <c r="H11" s="18" t="s">
        <v>441</v>
      </c>
    </row>
    <row r="12" spans="1:9">
      <c r="A12" s="270" t="s">
        <v>442</v>
      </c>
      <c r="B12" s="271" t="s">
        <v>443</v>
      </c>
      <c r="C12" s="272" t="str">
        <f>G13-3 &amp; " Actual"</f>
        <v>2009 Actual</v>
      </c>
      <c r="D12" s="272" t="str">
        <f>G13-2 &amp; " Actual"</f>
        <v>2010 Actual</v>
      </c>
      <c r="E12" s="272" t="str">
        <f>G13-1 &amp; " Actual"&amp; CHAR(178)</f>
        <v>2011 Actual²</v>
      </c>
      <c r="F12" s="272" t="str">
        <f>G13-1 &amp; " Actual"&amp; CHAR(178)</f>
        <v>2011 Actual²</v>
      </c>
      <c r="G12" s="273" t="str">
        <f>"Bridge Year" &amp; CHAR(179)</f>
        <v>Bridge Year³</v>
      </c>
      <c r="H12" s="273" t="str">
        <f>"Bridge Year" &amp; CHAR(179)</f>
        <v>Bridge Year³</v>
      </c>
      <c r="I12" s="274" t="s">
        <v>37</v>
      </c>
    </row>
    <row r="13" spans="1:9">
      <c r="A13" s="275"/>
      <c r="B13" s="276"/>
      <c r="C13" s="277"/>
      <c r="D13" s="277"/>
      <c r="E13" s="277"/>
      <c r="F13" s="278"/>
      <c r="G13" s="278">
        <f>'LDC Info'!E26</f>
        <v>2012</v>
      </c>
      <c r="H13" s="278">
        <f>'LDC Info'!E26</f>
        <v>2012</v>
      </c>
      <c r="I13" s="279">
        <f>'LDC Info'!E28</f>
        <v>2013</v>
      </c>
    </row>
    <row r="14" spans="1:9">
      <c r="A14" s="275"/>
      <c r="B14" s="280" t="s">
        <v>142</v>
      </c>
      <c r="C14" s="281" t="s">
        <v>143</v>
      </c>
      <c r="D14" s="281" t="s">
        <v>143</v>
      </c>
      <c r="E14" s="281" t="s">
        <v>143</v>
      </c>
      <c r="F14" s="281" t="s">
        <v>143</v>
      </c>
      <c r="G14" s="281" t="s">
        <v>143</v>
      </c>
      <c r="H14" s="282" t="s">
        <v>143</v>
      </c>
      <c r="I14" s="283" t="s">
        <v>143</v>
      </c>
    </row>
    <row r="15" spans="1:9" ht="14.25">
      <c r="A15" s="284">
        <v>4235</v>
      </c>
      <c r="B15" s="285" t="s">
        <v>444</v>
      </c>
      <c r="C15" s="47">
        <f>-1016386.23+128534.87-13311.62</f>
        <v>-901162.98</v>
      </c>
      <c r="D15" s="47">
        <v>-985662</v>
      </c>
      <c r="E15" s="56">
        <f>-1013851.16-E25</f>
        <v>-817949.29</v>
      </c>
      <c r="F15" s="47"/>
      <c r="G15" s="47">
        <v>-731825</v>
      </c>
      <c r="H15" s="286">
        <v>-724754.81584744831</v>
      </c>
      <c r="I15" s="287">
        <v>-846237.9</v>
      </c>
    </row>
    <row r="16" spans="1:9" ht="14.25">
      <c r="A16" s="284">
        <v>4225</v>
      </c>
      <c r="B16" s="285" t="s">
        <v>445</v>
      </c>
      <c r="C16" s="47">
        <v>-128534.87</v>
      </c>
      <c r="D16" s="47">
        <v>-132947</v>
      </c>
      <c r="E16" s="47">
        <v>-270016.87</v>
      </c>
      <c r="F16" s="47"/>
      <c r="G16" s="47">
        <v>-200000</v>
      </c>
      <c r="H16" s="286">
        <v>-173626.45</v>
      </c>
      <c r="I16" s="287">
        <v>-200000</v>
      </c>
    </row>
    <row r="17" spans="1:9">
      <c r="A17" s="288">
        <v>4080</v>
      </c>
      <c r="B17" s="289" t="s">
        <v>446</v>
      </c>
      <c r="C17" s="47">
        <v>-120492</v>
      </c>
      <c r="D17" s="47">
        <f>-109992.96</f>
        <v>-109992.96000000001</v>
      </c>
      <c r="E17" s="47">
        <v>-130703.16</v>
      </c>
      <c r="F17" s="47"/>
      <c r="G17" s="47">
        <v>-129711</v>
      </c>
      <c r="H17" s="286">
        <v>-131940</v>
      </c>
      <c r="I17" s="287">
        <v>-130503</v>
      </c>
    </row>
    <row r="18" spans="1:9">
      <c r="A18" s="284">
        <v>4082</v>
      </c>
      <c r="B18" s="285" t="s">
        <v>447</v>
      </c>
      <c r="C18" s="47">
        <v>-76578.100000000006</v>
      </c>
      <c r="D18" s="47">
        <v>-68194</v>
      </c>
      <c r="E18" s="47">
        <v>-62657.9</v>
      </c>
      <c r="F18" s="47"/>
      <c r="G18" s="47">
        <v>-49100</v>
      </c>
      <c r="H18" s="286">
        <f>-16548.8-4100-27479</f>
        <v>-48127.8</v>
      </c>
      <c r="I18" s="287">
        <v>-39520</v>
      </c>
    </row>
    <row r="19" spans="1:9">
      <c r="A19" s="288">
        <v>4084</v>
      </c>
      <c r="B19" s="289" t="s">
        <v>448</v>
      </c>
      <c r="C19" s="47">
        <v>-1423.75</v>
      </c>
      <c r="D19" s="47">
        <v>-3073</v>
      </c>
      <c r="E19" s="47">
        <v>-1757.25</v>
      </c>
      <c r="F19" s="47"/>
      <c r="G19" s="47">
        <v>-1550</v>
      </c>
      <c r="H19" s="286">
        <v>-1452.5</v>
      </c>
      <c r="I19" s="287">
        <v>-1228</v>
      </c>
    </row>
    <row r="20" spans="1:9">
      <c r="A20" s="288">
        <v>4210</v>
      </c>
      <c r="B20" s="289" t="s">
        <v>449</v>
      </c>
      <c r="C20" s="47"/>
      <c r="D20" s="47"/>
      <c r="E20" s="47"/>
      <c r="F20" s="47"/>
      <c r="G20" s="47">
        <v>-65121</v>
      </c>
      <c r="H20" s="286">
        <v>-90627</v>
      </c>
      <c r="I20" s="287">
        <v>-90627</v>
      </c>
    </row>
    <row r="21" spans="1:9" ht="14.25">
      <c r="A21" s="288">
        <v>4355</v>
      </c>
      <c r="B21" s="289" t="s">
        <v>450</v>
      </c>
      <c r="C21" s="47">
        <v>-2370</v>
      </c>
      <c r="D21" s="47"/>
      <c r="E21" s="47">
        <f>-29116.58-11990.65</f>
        <v>-41107.230000000003</v>
      </c>
      <c r="F21" s="47"/>
      <c r="G21" s="47"/>
      <c r="H21" s="286">
        <v>-19431.849999999999</v>
      </c>
      <c r="I21" s="290">
        <f>I94</f>
        <v>-43658.275000000001</v>
      </c>
    </row>
    <row r="22" spans="1:9" ht="14.25">
      <c r="A22" s="288">
        <v>4360</v>
      </c>
      <c r="B22" s="289" t="s">
        <v>451</v>
      </c>
      <c r="C22" s="47">
        <v>1337332.68</v>
      </c>
      <c r="D22" s="47">
        <v>230197</v>
      </c>
      <c r="E22" s="47">
        <v>232146.09</v>
      </c>
      <c r="F22" s="47"/>
      <c r="G22" s="47"/>
      <c r="H22" s="286">
        <v>482.84</v>
      </c>
      <c r="I22" s="287"/>
    </row>
    <row r="23" spans="1:9">
      <c r="A23" s="288">
        <v>4375</v>
      </c>
      <c r="B23" s="289" t="s">
        <v>452</v>
      </c>
      <c r="C23" s="47">
        <v>-819778.93</v>
      </c>
      <c r="D23" s="47">
        <f>-1185318.06</f>
        <v>-1185318.06</v>
      </c>
      <c r="E23" s="47">
        <v>-470740.71</v>
      </c>
      <c r="F23" s="47"/>
      <c r="G23" s="47"/>
      <c r="H23" s="286">
        <v>-906895.22</v>
      </c>
      <c r="I23" s="287"/>
    </row>
    <row r="24" spans="1:9">
      <c r="A24" s="288">
        <v>4380</v>
      </c>
      <c r="B24" s="289" t="s">
        <v>453</v>
      </c>
      <c r="C24" s="47">
        <v>797370.26</v>
      </c>
      <c r="D24" s="47">
        <v>699808.06</v>
      </c>
      <c r="E24" s="47">
        <v>483425.08</v>
      </c>
      <c r="F24" s="47"/>
      <c r="G24" s="47"/>
      <c r="H24" s="286">
        <v>906895.22</v>
      </c>
      <c r="I24" s="287"/>
    </row>
    <row r="25" spans="1:9" ht="14.25">
      <c r="A25" s="288">
        <v>4390</v>
      </c>
      <c r="B25" s="289" t="s">
        <v>454</v>
      </c>
      <c r="C25" s="47"/>
      <c r="D25" s="47"/>
      <c r="E25" s="56">
        <v>-195901.87</v>
      </c>
      <c r="F25" s="47"/>
      <c r="G25" s="47"/>
      <c r="H25" s="291">
        <v>-133255.92000000001</v>
      </c>
      <c r="I25" s="290">
        <f>I124</f>
        <v>-100000</v>
      </c>
    </row>
    <row r="26" spans="1:9" ht="14.25">
      <c r="A26" s="288">
        <v>4405</v>
      </c>
      <c r="B26" s="289" t="s">
        <v>455</v>
      </c>
      <c r="C26" s="47">
        <f>-145734.16+13311.62</f>
        <v>-132422.54</v>
      </c>
      <c r="D26" s="47">
        <v>-125934</v>
      </c>
      <c r="E26" s="47">
        <v>-447286.35</v>
      </c>
      <c r="F26" s="47"/>
      <c r="G26" s="47">
        <v>-318200</v>
      </c>
      <c r="H26" s="291">
        <f>H132</f>
        <v>-253440.35437499997</v>
      </c>
      <c r="I26" s="290">
        <f>I132</f>
        <v>-245000.47064999997</v>
      </c>
    </row>
    <row r="27" spans="1:9">
      <c r="A27" s="288"/>
      <c r="B27" s="292"/>
      <c r="C27" s="47"/>
      <c r="D27" s="47"/>
      <c r="E27" s="47"/>
      <c r="F27" s="47"/>
      <c r="G27" s="47"/>
      <c r="H27" s="286"/>
      <c r="I27" s="287"/>
    </row>
    <row r="28" spans="1:9" ht="7.5" customHeight="1">
      <c r="A28" s="1216"/>
      <c r="B28" s="1217"/>
      <c r="C28" s="1217"/>
      <c r="D28" s="1217"/>
      <c r="E28" s="1217"/>
      <c r="F28" s="1217"/>
      <c r="G28" s="1217"/>
      <c r="H28" s="1218"/>
      <c r="I28" s="1219"/>
    </row>
    <row r="29" spans="1:9">
      <c r="A29" s="1220" t="s">
        <v>456</v>
      </c>
      <c r="B29" s="1221"/>
      <c r="C29" s="293">
        <f>C15</f>
        <v>-901162.98</v>
      </c>
      <c r="D29" s="293">
        <f t="shared" ref="D29:H30" si="0">D15</f>
        <v>-985662</v>
      </c>
      <c r="E29" s="293">
        <f t="shared" si="0"/>
        <v>-817949.29</v>
      </c>
      <c r="F29" s="293">
        <f t="shared" si="0"/>
        <v>0</v>
      </c>
      <c r="G29" s="293">
        <f t="shared" si="0"/>
        <v>-731825</v>
      </c>
      <c r="H29" s="293">
        <f t="shared" si="0"/>
        <v>-724754.81584744831</v>
      </c>
      <c r="I29" s="293">
        <f>I15</f>
        <v>-846237.9</v>
      </c>
    </row>
    <row r="30" spans="1:9">
      <c r="A30" s="1220" t="s">
        <v>457</v>
      </c>
      <c r="B30" s="1221"/>
      <c r="C30" s="294">
        <f>C16</f>
        <v>-128534.87</v>
      </c>
      <c r="D30" s="294">
        <f t="shared" si="0"/>
        <v>-132947</v>
      </c>
      <c r="E30" s="294">
        <f t="shared" si="0"/>
        <v>-270016.87</v>
      </c>
      <c r="F30" s="294">
        <f t="shared" si="0"/>
        <v>0</v>
      </c>
      <c r="G30" s="294">
        <f t="shared" si="0"/>
        <v>-200000</v>
      </c>
      <c r="H30" s="294">
        <f t="shared" si="0"/>
        <v>-173626.45</v>
      </c>
      <c r="I30" s="295">
        <f>I16</f>
        <v>-200000</v>
      </c>
    </row>
    <row r="31" spans="1:9">
      <c r="A31" s="1220" t="s">
        <v>458</v>
      </c>
      <c r="B31" s="1221"/>
      <c r="C31" s="296">
        <f>C17+C18+C19+C20</f>
        <v>-198493.85</v>
      </c>
      <c r="D31" s="296">
        <f t="shared" ref="D31:F31" si="1">D17+D18+D19+D20</f>
        <v>-181259.96000000002</v>
      </c>
      <c r="E31" s="296">
        <f t="shared" si="1"/>
        <v>-195118.31</v>
      </c>
      <c r="F31" s="296">
        <f t="shared" si="1"/>
        <v>0</v>
      </c>
      <c r="G31" s="296">
        <f>G17+G18+G19+G20</f>
        <v>-245482</v>
      </c>
      <c r="H31" s="296">
        <f t="shared" ref="H31:I31" si="2">H17+H18+H19+H20</f>
        <v>-272147.3</v>
      </c>
      <c r="I31" s="296">
        <f t="shared" si="2"/>
        <v>-261878</v>
      </c>
    </row>
    <row r="32" spans="1:9" ht="13.5" thickBot="1">
      <c r="A32" s="1224" t="s">
        <v>459</v>
      </c>
      <c r="B32" s="1225"/>
      <c r="C32" s="297">
        <f t="shared" ref="C32:F32" si="3">C21+C22+C23+C24+C26+C25</f>
        <v>1180131.4699999997</v>
      </c>
      <c r="D32" s="297">
        <f t="shared" si="3"/>
        <v>-381247</v>
      </c>
      <c r="E32" s="297">
        <f t="shared" si="3"/>
        <v>-439464.99</v>
      </c>
      <c r="F32" s="297">
        <f t="shared" si="3"/>
        <v>0</v>
      </c>
      <c r="G32" s="297">
        <f>G21+G22+G23+G24+G26+G25</f>
        <v>-318200</v>
      </c>
      <c r="H32" s="297">
        <f t="shared" ref="H32:I32" si="4">H21+H22+H23+H24+H26+H25</f>
        <v>-405645.28437500005</v>
      </c>
      <c r="I32" s="297">
        <f t="shared" si="4"/>
        <v>-388658.74565</v>
      </c>
    </row>
    <row r="33" spans="1:9" ht="14.25" thickTop="1" thickBot="1">
      <c r="A33" s="1226" t="s">
        <v>267</v>
      </c>
      <c r="B33" s="1227"/>
      <c r="C33" s="298">
        <f>SUM(C29:C32)</f>
        <v>-48060.230000000214</v>
      </c>
      <c r="D33" s="298">
        <f t="shared" ref="D33:I33" si="5">SUM(D29:D32)</f>
        <v>-1681115.96</v>
      </c>
      <c r="E33" s="298">
        <f t="shared" si="5"/>
        <v>-1722549.4600000002</v>
      </c>
      <c r="F33" s="298">
        <f t="shared" si="5"/>
        <v>0</v>
      </c>
      <c r="G33" s="298">
        <f t="shared" si="5"/>
        <v>-1495507</v>
      </c>
      <c r="H33" s="298">
        <f t="shared" si="5"/>
        <v>-1576173.8502224484</v>
      </c>
      <c r="I33" s="299">
        <f t="shared" si="5"/>
        <v>-1696774.6456499998</v>
      </c>
    </row>
    <row r="34" spans="1:9" ht="9" customHeight="1">
      <c r="A34" s="300"/>
      <c r="B34" s="300"/>
      <c r="C34" s="120"/>
      <c r="D34" s="120"/>
      <c r="E34" s="120"/>
      <c r="F34" s="120"/>
      <c r="G34" s="120"/>
      <c r="H34" s="120"/>
      <c r="I34" s="120"/>
    </row>
    <row r="35" spans="1:9" ht="14.25">
      <c r="A35" s="10" t="s">
        <v>460</v>
      </c>
    </row>
    <row r="36" spans="1:9" ht="14.25">
      <c r="A36" s="10" t="s">
        <v>461</v>
      </c>
    </row>
    <row r="37" spans="1:9" ht="14.25">
      <c r="A37" s="10" t="s">
        <v>462</v>
      </c>
    </row>
    <row r="38" spans="1:9" ht="14.25">
      <c r="A38" s="10" t="s">
        <v>463</v>
      </c>
    </row>
    <row r="39" spans="1:9" ht="14.25">
      <c r="A39" s="301" t="s">
        <v>464</v>
      </c>
      <c r="B39" s="302"/>
      <c r="C39" s="302"/>
      <c r="D39" s="302"/>
      <c r="E39" s="302"/>
      <c r="F39" s="302"/>
      <c r="G39" s="302"/>
      <c r="H39" s="302"/>
      <c r="I39" s="302"/>
    </row>
    <row r="40" spans="1:9">
      <c r="A40" s="301" t="s">
        <v>465</v>
      </c>
      <c r="B40" s="302"/>
      <c r="C40" s="302"/>
      <c r="D40" s="302"/>
      <c r="E40" s="302"/>
      <c r="F40" s="302"/>
      <c r="G40" s="302"/>
      <c r="H40" s="302"/>
      <c r="I40" s="302"/>
    </row>
    <row r="41" spans="1:9">
      <c r="A41" s="10"/>
    </row>
    <row r="42" spans="1:9">
      <c r="A42" s="12" t="s">
        <v>279</v>
      </c>
      <c r="B42" s="21"/>
      <c r="C42" s="12" t="s">
        <v>466</v>
      </c>
    </row>
    <row r="43" spans="1:9">
      <c r="A43" s="1119" t="s">
        <v>467</v>
      </c>
      <c r="B43" s="1119"/>
      <c r="C43" s="269">
        <v>4235</v>
      </c>
    </row>
    <row r="44" spans="1:9">
      <c r="A44" s="1119" t="s">
        <v>468</v>
      </c>
      <c r="B44" s="1119"/>
      <c r="C44" s="269">
        <v>4225</v>
      </c>
    </row>
    <row r="45" spans="1:9">
      <c r="A45" s="1119" t="s">
        <v>469</v>
      </c>
      <c r="B45" s="1119"/>
      <c r="C45" s="1119" t="s">
        <v>470</v>
      </c>
      <c r="D45" s="1119"/>
      <c r="E45" s="1119"/>
      <c r="F45" s="1119"/>
      <c r="G45" s="1119"/>
      <c r="H45" s="1119"/>
      <c r="I45" s="1119"/>
    </row>
    <row r="46" spans="1:9">
      <c r="A46" s="1119" t="s">
        <v>471</v>
      </c>
      <c r="B46" s="1119"/>
      <c r="C46" s="1228" t="s">
        <v>472</v>
      </c>
      <c r="D46" s="1228"/>
      <c r="E46" s="1228"/>
      <c r="F46" s="1228"/>
      <c r="G46" s="1228"/>
      <c r="H46" s="1228"/>
      <c r="I46" s="1228"/>
    </row>
    <row r="47" spans="1:9">
      <c r="C47" s="1228"/>
      <c r="D47" s="1228"/>
      <c r="E47" s="1228"/>
      <c r="F47" s="1228"/>
      <c r="G47" s="1228"/>
      <c r="H47" s="1228"/>
      <c r="I47" s="1228"/>
    </row>
    <row r="48" spans="1:9">
      <c r="A48" s="21" t="s">
        <v>473</v>
      </c>
      <c r="B48" s="10"/>
      <c r="C48" s="303"/>
      <c r="D48" s="303"/>
      <c r="E48" s="303"/>
      <c r="F48" s="303"/>
      <c r="G48" s="303"/>
      <c r="H48" s="303"/>
      <c r="I48" s="303"/>
    </row>
    <row r="49" spans="1:9">
      <c r="A49" s="1229" t="s">
        <v>474</v>
      </c>
      <c r="B49" s="1229"/>
      <c r="C49" s="1229"/>
      <c r="D49" s="1229"/>
      <c r="E49" s="1229"/>
      <c r="F49" s="1229"/>
      <c r="G49" s="1229"/>
      <c r="H49" s="1229"/>
      <c r="I49" s="1229"/>
    </row>
    <row r="50" spans="1:9">
      <c r="A50" s="21"/>
      <c r="B50" s="10"/>
      <c r="C50" s="10"/>
      <c r="D50" s="10"/>
      <c r="E50" s="10"/>
      <c r="F50" s="10"/>
      <c r="G50" s="10"/>
      <c r="H50" s="10"/>
      <c r="I50" s="10"/>
    </row>
    <row r="51" spans="1:9" ht="12.75" customHeight="1">
      <c r="A51" s="21" t="s">
        <v>475</v>
      </c>
      <c r="B51" s="10"/>
      <c r="C51" s="10"/>
      <c r="D51" s="10"/>
      <c r="E51" s="10"/>
      <c r="F51" s="10"/>
      <c r="G51" s="10"/>
      <c r="H51" s="10"/>
      <c r="I51" s="10"/>
    </row>
    <row r="52" spans="1:9">
      <c r="A52" s="10"/>
      <c r="B52" s="10"/>
      <c r="C52" s="10"/>
      <c r="D52" s="10"/>
      <c r="E52" s="10"/>
      <c r="F52" s="10"/>
      <c r="G52" s="10"/>
      <c r="H52" s="10"/>
      <c r="I52" s="10"/>
    </row>
    <row r="53" spans="1:9">
      <c r="A53" s="1230" t="s">
        <v>476</v>
      </c>
      <c r="B53" s="1230"/>
      <c r="C53" s="1230"/>
      <c r="D53" s="1230"/>
      <c r="E53" s="1230"/>
      <c r="F53" s="1230"/>
      <c r="G53" s="1230"/>
      <c r="H53" s="1230"/>
      <c r="I53" s="1230"/>
    </row>
    <row r="54" spans="1:9">
      <c r="A54" s="1230"/>
      <c r="B54" s="1230"/>
      <c r="C54" s="1230"/>
      <c r="D54" s="1230"/>
      <c r="E54" s="1230"/>
      <c r="F54" s="1230"/>
      <c r="G54" s="1230"/>
      <c r="H54" s="1230"/>
      <c r="I54" s="1230"/>
    </row>
    <row r="55" spans="1:9">
      <c r="A55" s="303"/>
      <c r="B55" s="303"/>
      <c r="C55" s="303"/>
      <c r="D55" s="303"/>
      <c r="E55" s="303"/>
      <c r="F55" s="303"/>
      <c r="G55" s="303"/>
      <c r="H55" s="303"/>
      <c r="I55" s="303"/>
    </row>
    <row r="56" spans="1:9" ht="13.5" thickBot="1">
      <c r="A56" s="21" t="s">
        <v>477</v>
      </c>
    </row>
    <row r="57" spans="1:9">
      <c r="A57" s="304"/>
      <c r="B57" s="305"/>
      <c r="C57" s="272" t="str">
        <f>$C$12</f>
        <v>2009 Actual</v>
      </c>
      <c r="D57" s="272" t="str">
        <f>$D$12</f>
        <v>2010 Actual</v>
      </c>
      <c r="E57" s="272" t="str">
        <f>$E$12</f>
        <v>2011 Actual²</v>
      </c>
      <c r="F57" s="272" t="str">
        <f>$F$12</f>
        <v>2011 Actual²</v>
      </c>
      <c r="G57" s="272" t="s">
        <v>35</v>
      </c>
      <c r="H57" s="272" t="s">
        <v>35</v>
      </c>
      <c r="I57" s="306" t="s">
        <v>37</v>
      </c>
    </row>
    <row r="58" spans="1:9">
      <c r="A58" s="1231" t="s">
        <v>142</v>
      </c>
      <c r="B58" s="1232"/>
      <c r="C58" s="307" t="str">
        <f>IF(ISBLANK($C$14), "", $C$14)</f>
        <v>CGAAP</v>
      </c>
      <c r="D58" s="307" t="str">
        <f>IF(ISBLANK($D$14), "", $D$14)</f>
        <v>CGAAP</v>
      </c>
      <c r="E58" s="307" t="str">
        <f>IF(ISBLANK($E$14), "", $E$14)</f>
        <v>CGAAP</v>
      </c>
      <c r="F58" s="307"/>
      <c r="G58" s="307" t="str">
        <f>IF(ISBLANK($G$14), "", $G$14)</f>
        <v>CGAAP</v>
      </c>
      <c r="H58" s="307" t="str">
        <f>IF(ISBLANK($H$14), "", $H$14)</f>
        <v>CGAAP</v>
      </c>
      <c r="I58" s="308" t="str">
        <f>IF(ISBLANK($I$14), "", $I$14)</f>
        <v>CGAAP</v>
      </c>
    </row>
    <row r="59" spans="1:9">
      <c r="A59" s="1222" t="s">
        <v>478</v>
      </c>
      <c r="B59" s="1223"/>
      <c r="C59" s="47">
        <v>-107506.48</v>
      </c>
      <c r="D59" s="47">
        <v>-98303.95</v>
      </c>
      <c r="E59" s="47">
        <v>-116678.19</v>
      </c>
      <c r="F59" s="47"/>
      <c r="G59" s="47">
        <v>-116340</v>
      </c>
      <c r="H59" s="47">
        <v>-118116.71</v>
      </c>
      <c r="I59" s="287">
        <v>-115581</v>
      </c>
    </row>
    <row r="60" spans="1:9">
      <c r="A60" s="1235" t="s">
        <v>479</v>
      </c>
      <c r="B60" s="1236"/>
      <c r="C60" s="47">
        <v>-10688.09</v>
      </c>
      <c r="D60" s="47">
        <v>-9597.66</v>
      </c>
      <c r="E60" s="47">
        <v>-11378.32</v>
      </c>
      <c r="F60" s="47"/>
      <c r="G60" s="47">
        <v>-10911</v>
      </c>
      <c r="H60" s="309">
        <v>-11190.94</v>
      </c>
      <c r="I60" s="287">
        <v>-12183</v>
      </c>
    </row>
    <row r="61" spans="1:9">
      <c r="A61" s="1237" t="s">
        <v>480</v>
      </c>
      <c r="B61" s="1238"/>
      <c r="C61" s="53">
        <v>-1208.01</v>
      </c>
      <c r="D61" s="53">
        <v>-1132.8699999999999</v>
      </c>
      <c r="E61" s="53">
        <v>-1392.49</v>
      </c>
      <c r="F61" s="53"/>
      <c r="G61" s="53">
        <v>-1314</v>
      </c>
      <c r="H61" s="310">
        <v>-1369.11</v>
      </c>
      <c r="I61" s="311">
        <v>-1593</v>
      </c>
    </row>
    <row r="62" spans="1:9">
      <c r="A62" s="1237" t="s">
        <v>481</v>
      </c>
      <c r="B62" s="1238"/>
      <c r="C62" s="47">
        <v>-578.66999999999996</v>
      </c>
      <c r="D62" s="47">
        <v>-536.53</v>
      </c>
      <c r="E62" s="47">
        <v>-599.12</v>
      </c>
      <c r="F62" s="47"/>
      <c r="G62" s="47">
        <v>-597</v>
      </c>
      <c r="H62" s="309">
        <v>-609.74</v>
      </c>
      <c r="I62" s="287">
        <v>-597</v>
      </c>
    </row>
    <row r="63" spans="1:9">
      <c r="A63" s="1237" t="s">
        <v>482</v>
      </c>
      <c r="B63" s="1238"/>
      <c r="C63" s="49">
        <v>-505.06</v>
      </c>
      <c r="D63" s="49">
        <v>-416.45</v>
      </c>
      <c r="E63" s="49">
        <v>-648.41999999999996</v>
      </c>
      <c r="F63" s="49"/>
      <c r="G63" s="49">
        <v>-543</v>
      </c>
      <c r="H63" s="312">
        <v>-647.38</v>
      </c>
      <c r="I63" s="313">
        <v>-543</v>
      </c>
    </row>
    <row r="64" spans="1:9" ht="13.5" thickBot="1">
      <c r="A64" s="1239" t="s">
        <v>483</v>
      </c>
      <c r="B64" s="1240"/>
      <c r="C64" s="314">
        <v>-5.51</v>
      </c>
      <c r="D64" s="314">
        <v>-5.5</v>
      </c>
      <c r="E64" s="314">
        <v>-6.62</v>
      </c>
      <c r="F64" s="314"/>
      <c r="G64" s="314">
        <v>-6</v>
      </c>
      <c r="H64" s="315">
        <v>-6.12</v>
      </c>
      <c r="I64" s="316">
        <v>-6</v>
      </c>
    </row>
    <row r="65" spans="1:9" ht="14.25" thickTop="1" thickBot="1">
      <c r="A65" s="1233" t="s">
        <v>267</v>
      </c>
      <c r="B65" s="1234"/>
      <c r="C65" s="298">
        <f>SUM(C59:C64)</f>
        <v>-120491.81999999998</v>
      </c>
      <c r="D65" s="298">
        <f t="shared" ref="D65:I65" si="6">SUM(D59:D64)</f>
        <v>-109992.95999999999</v>
      </c>
      <c r="E65" s="298">
        <f t="shared" si="6"/>
        <v>-130703.16</v>
      </c>
      <c r="F65" s="298">
        <f t="shared" si="6"/>
        <v>0</v>
      </c>
      <c r="G65" s="298">
        <f t="shared" si="6"/>
        <v>-129711</v>
      </c>
      <c r="H65" s="298">
        <f t="shared" si="6"/>
        <v>-131940</v>
      </c>
      <c r="I65" s="317">
        <f t="shared" si="6"/>
        <v>-130503</v>
      </c>
    </row>
    <row r="67" spans="1:9" ht="13.5" thickBot="1">
      <c r="A67" s="21" t="s">
        <v>484</v>
      </c>
    </row>
    <row r="68" spans="1:9">
      <c r="A68" s="304"/>
      <c r="B68" s="305"/>
      <c r="C68" s="272" t="str">
        <f>$C$12</f>
        <v>2009 Actual</v>
      </c>
      <c r="D68" s="272" t="str">
        <f>$D$12</f>
        <v>2010 Actual</v>
      </c>
      <c r="E68" s="272" t="str">
        <f>$E$12</f>
        <v>2011 Actual²</v>
      </c>
      <c r="F68" s="272" t="str">
        <f>$F$12</f>
        <v>2011 Actual²</v>
      </c>
      <c r="G68" s="272" t="s">
        <v>35</v>
      </c>
      <c r="H68" s="272" t="s">
        <v>35</v>
      </c>
      <c r="I68" s="306" t="s">
        <v>37</v>
      </c>
    </row>
    <row r="69" spans="1:9">
      <c r="A69" s="1231" t="s">
        <v>142</v>
      </c>
      <c r="B69" s="1232"/>
      <c r="C69" s="307" t="str">
        <f>IF(ISBLANK($C$14), "", $C$14)</f>
        <v>CGAAP</v>
      </c>
      <c r="D69" s="307" t="str">
        <f>IF(ISBLANK($D$14), "", $D$14)</f>
        <v>CGAAP</v>
      </c>
      <c r="E69" s="307" t="str">
        <f>IF(ISBLANK($E$14), "", $E$14)</f>
        <v>CGAAP</v>
      </c>
      <c r="F69" s="307"/>
      <c r="G69" s="307" t="str">
        <f>IF(ISBLANK($G$14), "", $G$14)</f>
        <v>CGAAP</v>
      </c>
      <c r="H69" s="307" t="str">
        <f>IF(ISBLANK($H$14), "", $H$14)</f>
        <v>CGAAP</v>
      </c>
      <c r="I69" s="308" t="str">
        <f>IF(ISBLANK($I$14), "", $I$14)</f>
        <v>CGAAP</v>
      </c>
    </row>
    <row r="70" spans="1:9">
      <c r="A70" s="1222" t="s">
        <v>485</v>
      </c>
      <c r="B70" s="1223"/>
      <c r="C70" s="47">
        <v>-300</v>
      </c>
      <c r="D70" s="47">
        <v>-100</v>
      </c>
      <c r="E70" s="47"/>
      <c r="F70" s="47"/>
      <c r="G70" s="47">
        <v>-300</v>
      </c>
      <c r="H70" s="47">
        <v>0</v>
      </c>
      <c r="I70" s="287">
        <v>0</v>
      </c>
    </row>
    <row r="71" spans="1:9">
      <c r="A71" s="1235" t="s">
        <v>486</v>
      </c>
      <c r="B71" s="1236"/>
      <c r="C71" s="47">
        <v>-3440</v>
      </c>
      <c r="D71" s="47">
        <v>-3080</v>
      </c>
      <c r="E71" s="47">
        <v>-3740</v>
      </c>
      <c r="F71" s="47"/>
      <c r="G71" s="47">
        <v>-4000</v>
      </c>
      <c r="H71" s="309">
        <v>-4100</v>
      </c>
      <c r="I71" s="287">
        <v>-4000</v>
      </c>
    </row>
    <row r="72" spans="1:9">
      <c r="A72" s="1241" t="s">
        <v>487</v>
      </c>
      <c r="B72" s="1238"/>
      <c r="C72" s="53">
        <v>-45873</v>
      </c>
      <c r="D72" s="53">
        <v>-41977</v>
      </c>
      <c r="E72" s="53">
        <v>-36806.5</v>
      </c>
      <c r="F72" s="53"/>
      <c r="G72" s="53">
        <v>-28000</v>
      </c>
      <c r="H72" s="310">
        <v>-27479</v>
      </c>
      <c r="I72" s="311">
        <v>-22200</v>
      </c>
    </row>
    <row r="73" spans="1:9" ht="13.5" thickBot="1">
      <c r="A73" s="1242" t="s">
        <v>488</v>
      </c>
      <c r="B73" s="1243"/>
      <c r="C73" s="314">
        <v>-26965</v>
      </c>
      <c r="D73" s="314">
        <v>-23037</v>
      </c>
      <c r="E73" s="314">
        <v>-22111.4</v>
      </c>
      <c r="F73" s="314"/>
      <c r="G73" s="314">
        <v>-16800</v>
      </c>
      <c r="H73" s="315">
        <v>-16548.8</v>
      </c>
      <c r="I73" s="316">
        <v>-13320</v>
      </c>
    </row>
    <row r="74" spans="1:9" ht="14.25" thickTop="1" thickBot="1">
      <c r="A74" s="1233" t="s">
        <v>267</v>
      </c>
      <c r="B74" s="1234"/>
      <c r="C74" s="298">
        <f t="shared" ref="C74:I74" si="7">SUM(C70:C73)</f>
        <v>-76578</v>
      </c>
      <c r="D74" s="298">
        <f t="shared" si="7"/>
        <v>-68194</v>
      </c>
      <c r="E74" s="298">
        <f t="shared" si="7"/>
        <v>-62657.9</v>
      </c>
      <c r="F74" s="298">
        <f t="shared" si="7"/>
        <v>0</v>
      </c>
      <c r="G74" s="298">
        <f t="shared" si="7"/>
        <v>-49100</v>
      </c>
      <c r="H74" s="298">
        <f t="shared" si="7"/>
        <v>-48127.8</v>
      </c>
      <c r="I74" s="317">
        <f t="shared" si="7"/>
        <v>-39520</v>
      </c>
    </row>
    <row r="76" spans="1:9" ht="13.5" thickBot="1">
      <c r="A76" s="21" t="s">
        <v>489</v>
      </c>
    </row>
    <row r="77" spans="1:9">
      <c r="A77" s="304"/>
      <c r="B77" s="305"/>
      <c r="C77" s="272" t="str">
        <f>$C$12</f>
        <v>2009 Actual</v>
      </c>
      <c r="D77" s="272" t="str">
        <f>$D$12</f>
        <v>2010 Actual</v>
      </c>
      <c r="E77" s="272" t="str">
        <f>$E$12</f>
        <v>2011 Actual²</v>
      </c>
      <c r="F77" s="272" t="str">
        <f>$F$12</f>
        <v>2011 Actual²</v>
      </c>
      <c r="G77" s="272" t="s">
        <v>35</v>
      </c>
      <c r="H77" s="272" t="s">
        <v>35</v>
      </c>
      <c r="I77" s="306" t="s">
        <v>37</v>
      </c>
    </row>
    <row r="78" spans="1:9">
      <c r="A78" s="1231" t="s">
        <v>142</v>
      </c>
      <c r="B78" s="1232"/>
      <c r="C78" s="307" t="str">
        <f>IF(ISBLANK($C$14), "", $C$14)</f>
        <v>CGAAP</v>
      </c>
      <c r="D78" s="307" t="str">
        <f>IF(ISBLANK($D$14), "", $D$14)</f>
        <v>CGAAP</v>
      </c>
      <c r="E78" s="307" t="str">
        <f>IF(ISBLANK($E$14), "", $E$14)</f>
        <v>CGAAP</v>
      </c>
      <c r="F78" s="307"/>
      <c r="G78" s="307" t="str">
        <f>IF(ISBLANK($G$14), "", $G$14)</f>
        <v>CGAAP</v>
      </c>
      <c r="H78" s="307" t="str">
        <f>IF(ISBLANK($H$14), "", $H$14)</f>
        <v>CGAAP</v>
      </c>
      <c r="I78" s="308" t="str">
        <f>IF(ISBLANK($I$14), "", $I$14)</f>
        <v>CGAAP</v>
      </c>
    </row>
    <row r="79" spans="1:9">
      <c r="A79" s="1222" t="s">
        <v>490</v>
      </c>
      <c r="B79" s="1223"/>
      <c r="C79" s="47">
        <v>-513</v>
      </c>
      <c r="D79" s="47">
        <v>-1132</v>
      </c>
      <c r="E79" s="47">
        <v>-689.25</v>
      </c>
      <c r="F79" s="47"/>
      <c r="G79" s="47">
        <v>-635</v>
      </c>
      <c r="H79" s="47">
        <f>(G79/G81)*-1453</f>
        <v>-595.26129032258063</v>
      </c>
      <c r="I79" s="287">
        <f>-503-725</f>
        <v>-1228</v>
      </c>
    </row>
    <row r="80" spans="1:9" ht="13.5" thickBot="1">
      <c r="A80" s="1244" t="s">
        <v>491</v>
      </c>
      <c r="B80" s="1245"/>
      <c r="C80" s="314">
        <v>-911</v>
      </c>
      <c r="D80" s="314">
        <v>-1941</v>
      </c>
      <c r="E80" s="314">
        <v>-1068</v>
      </c>
      <c r="F80" s="314"/>
      <c r="G80" s="314">
        <v>-915</v>
      </c>
      <c r="H80" s="315">
        <f>(G80/G81)*-1453</f>
        <v>-857.73870967741937</v>
      </c>
      <c r="I80" s="316">
        <v>-800</v>
      </c>
    </row>
    <row r="81" spans="1:9" ht="14.25" thickTop="1" thickBot="1">
      <c r="A81" s="1233" t="s">
        <v>267</v>
      </c>
      <c r="B81" s="1234"/>
      <c r="C81" s="298">
        <f t="shared" ref="C81:I81" si="8">SUM(C79:C80)</f>
        <v>-1424</v>
      </c>
      <c r="D81" s="298">
        <f t="shared" si="8"/>
        <v>-3073</v>
      </c>
      <c r="E81" s="298">
        <f t="shared" si="8"/>
        <v>-1757.25</v>
      </c>
      <c r="F81" s="298">
        <f t="shared" si="8"/>
        <v>0</v>
      </c>
      <c r="G81" s="298">
        <f t="shared" si="8"/>
        <v>-1550</v>
      </c>
      <c r="H81" s="298">
        <f t="shared" si="8"/>
        <v>-1453</v>
      </c>
      <c r="I81" s="317">
        <f t="shared" si="8"/>
        <v>-2028</v>
      </c>
    </row>
    <row r="83" spans="1:9" ht="13.5" thickBot="1">
      <c r="A83" s="21" t="s">
        <v>492</v>
      </c>
    </row>
    <row r="84" spans="1:9">
      <c r="A84" s="304"/>
      <c r="B84" s="305"/>
      <c r="C84" s="272" t="str">
        <f>$C$12</f>
        <v>2009 Actual</v>
      </c>
      <c r="D84" s="272" t="str">
        <f>$D$12</f>
        <v>2010 Actual</v>
      </c>
      <c r="E84" s="272" t="str">
        <f>$E$12</f>
        <v>2011 Actual²</v>
      </c>
      <c r="F84" s="272" t="str">
        <f>$F$12</f>
        <v>2011 Actual²</v>
      </c>
      <c r="G84" s="272" t="s">
        <v>35</v>
      </c>
      <c r="H84" s="272" t="s">
        <v>35</v>
      </c>
      <c r="I84" s="306" t="s">
        <v>37</v>
      </c>
    </row>
    <row r="85" spans="1:9">
      <c r="A85" s="1231" t="s">
        <v>142</v>
      </c>
      <c r="B85" s="1232"/>
      <c r="C85" s="307" t="str">
        <f>IF(ISBLANK($C$14), "", $C$14)</f>
        <v>CGAAP</v>
      </c>
      <c r="D85" s="307" t="str">
        <f>IF(ISBLANK($D$14), "", $D$14)</f>
        <v>CGAAP</v>
      </c>
      <c r="E85" s="307" t="str">
        <f>IF(ISBLANK($E$14), "", $E$14)</f>
        <v>CGAAP</v>
      </c>
      <c r="F85" s="307"/>
      <c r="G85" s="307" t="str">
        <f>IF(ISBLANK($G$14), "", $G$14)</f>
        <v>CGAAP</v>
      </c>
      <c r="H85" s="307" t="str">
        <f>IF(ISBLANK($H$14), "", $H$14)</f>
        <v>CGAAP</v>
      </c>
      <c r="I85" s="308" t="str">
        <f>IF(ISBLANK($I$14), "", $I$14)</f>
        <v>CGAAP</v>
      </c>
    </row>
    <row r="86" spans="1:9" ht="13.5" thickBot="1">
      <c r="A86" s="1244" t="s">
        <v>493</v>
      </c>
      <c r="B86" s="1245"/>
      <c r="C86" s="314"/>
      <c r="D86" s="314"/>
      <c r="E86" s="314"/>
      <c r="F86" s="314"/>
      <c r="G86" s="314">
        <f>G20</f>
        <v>-65121</v>
      </c>
      <c r="H86" s="315">
        <v>-90627</v>
      </c>
      <c r="I86" s="316">
        <f>I20</f>
        <v>-90627</v>
      </c>
    </row>
    <row r="87" spans="1:9" ht="14.25" thickTop="1" thickBot="1">
      <c r="A87" s="1233" t="s">
        <v>267</v>
      </c>
      <c r="B87" s="1234"/>
      <c r="C87" s="298">
        <f t="shared" ref="C87:I87" si="9">SUM(C86:C86)</f>
        <v>0</v>
      </c>
      <c r="D87" s="298">
        <f t="shared" si="9"/>
        <v>0</v>
      </c>
      <c r="E87" s="298">
        <f t="shared" si="9"/>
        <v>0</v>
      </c>
      <c r="F87" s="298">
        <f t="shared" si="9"/>
        <v>0</v>
      </c>
      <c r="G87" s="298">
        <f t="shared" si="9"/>
        <v>-65121</v>
      </c>
      <c r="H87" s="298">
        <f t="shared" si="9"/>
        <v>-90627</v>
      </c>
      <c r="I87" s="317">
        <f t="shared" si="9"/>
        <v>-90627</v>
      </c>
    </row>
    <row r="88" spans="1:9">
      <c r="A88" s="300"/>
      <c r="B88" s="300"/>
      <c r="C88" s="120"/>
      <c r="D88" s="120"/>
      <c r="E88" s="120"/>
      <c r="F88" s="120"/>
      <c r="G88" s="120"/>
      <c r="H88" s="120"/>
      <c r="I88" s="120"/>
    </row>
    <row r="89" spans="1:9" ht="13.5" thickBot="1">
      <c r="A89" s="21" t="s">
        <v>494</v>
      </c>
    </row>
    <row r="90" spans="1:9">
      <c r="A90" s="304"/>
      <c r="B90" s="305"/>
      <c r="C90" s="272" t="str">
        <f>$C$12</f>
        <v>2009 Actual</v>
      </c>
      <c r="D90" s="272" t="str">
        <f>$D$12</f>
        <v>2010 Actual</v>
      </c>
      <c r="E90" s="272" t="str">
        <f>$E$12</f>
        <v>2011 Actual²</v>
      </c>
      <c r="F90" s="272" t="str">
        <f>$F$12</f>
        <v>2011 Actual²</v>
      </c>
      <c r="G90" s="272" t="s">
        <v>35</v>
      </c>
      <c r="H90" s="272" t="s">
        <v>35</v>
      </c>
      <c r="I90" s="306" t="s">
        <v>37</v>
      </c>
    </row>
    <row r="91" spans="1:9">
      <c r="A91" s="1231" t="s">
        <v>142</v>
      </c>
      <c r="B91" s="1232"/>
      <c r="C91" s="307" t="str">
        <f>IF(ISBLANK($C$14), "", $C$14)</f>
        <v>CGAAP</v>
      </c>
      <c r="D91" s="307" t="str">
        <f>IF(ISBLANK($D$14), "", $D$14)</f>
        <v>CGAAP</v>
      </c>
      <c r="E91" s="307" t="str">
        <f>IF(ISBLANK($E$14), "", $E$14)</f>
        <v>CGAAP</v>
      </c>
      <c r="F91" s="307"/>
      <c r="G91" s="307" t="str">
        <f>IF(ISBLANK($G$14), "", $G$14)</f>
        <v>CGAAP</v>
      </c>
      <c r="H91" s="307" t="str">
        <f>IF(ISBLANK($H$14), "", $H$14)</f>
        <v>CGAAP</v>
      </c>
      <c r="I91" s="308" t="str">
        <f>IF(ISBLANK($I$14), "", $I$14)</f>
        <v>CGAAP</v>
      </c>
    </row>
    <row r="92" spans="1:9">
      <c r="A92" s="1235" t="s">
        <v>495</v>
      </c>
      <c r="B92" s="1236"/>
      <c r="C92" s="47">
        <v>-2370</v>
      </c>
      <c r="D92" s="47"/>
      <c r="E92" s="47">
        <v>-29116.58</v>
      </c>
      <c r="F92" s="47"/>
      <c r="G92" s="47"/>
      <c r="H92" s="309">
        <v>-19431.849999999999</v>
      </c>
      <c r="I92" s="290">
        <v>-43658.275000000001</v>
      </c>
    </row>
    <row r="93" spans="1:9" ht="13.5" thickBot="1">
      <c r="A93" s="1246" t="s">
        <v>496</v>
      </c>
      <c r="B93" s="1247"/>
      <c r="C93" s="318">
        <v>0</v>
      </c>
      <c r="D93" s="318"/>
      <c r="E93" s="318">
        <v>-11990.65</v>
      </c>
      <c r="F93" s="318"/>
      <c r="G93" s="318"/>
      <c r="H93" s="319"/>
      <c r="I93" s="320"/>
    </row>
    <row r="94" spans="1:9" ht="14.25" thickTop="1" thickBot="1">
      <c r="A94" s="1233" t="s">
        <v>267</v>
      </c>
      <c r="B94" s="1234"/>
      <c r="C94" s="298">
        <f t="shared" ref="C94:D94" si="10">SUM(C92:C93)</f>
        <v>-2370</v>
      </c>
      <c r="D94" s="298">
        <f t="shared" si="10"/>
        <v>0</v>
      </c>
      <c r="E94" s="298">
        <f>SUM(E92:E93)</f>
        <v>-41107.230000000003</v>
      </c>
      <c r="F94" s="298">
        <f t="shared" ref="F94:I94" si="11">SUM(F92:F93)</f>
        <v>0</v>
      </c>
      <c r="G94" s="298">
        <f t="shared" si="11"/>
        <v>0</v>
      </c>
      <c r="H94" s="298">
        <f t="shared" si="11"/>
        <v>-19431.849999999999</v>
      </c>
      <c r="I94" s="298">
        <f t="shared" si="11"/>
        <v>-43658.275000000001</v>
      </c>
    </row>
    <row r="96" spans="1:9" ht="13.5" thickBot="1">
      <c r="A96" s="21" t="s">
        <v>497</v>
      </c>
    </row>
    <row r="97" spans="1:9">
      <c r="A97" s="304"/>
      <c r="B97" s="305"/>
      <c r="C97" s="272" t="str">
        <f>$C$12</f>
        <v>2009 Actual</v>
      </c>
      <c r="D97" s="272" t="str">
        <f>$D$12</f>
        <v>2010 Actual</v>
      </c>
      <c r="E97" s="272" t="str">
        <f>$E$12</f>
        <v>2011 Actual²</v>
      </c>
      <c r="F97" s="272" t="str">
        <f>$F$12</f>
        <v>2011 Actual²</v>
      </c>
      <c r="G97" s="272" t="s">
        <v>35</v>
      </c>
      <c r="H97" s="272" t="s">
        <v>35</v>
      </c>
      <c r="I97" s="306" t="s">
        <v>37</v>
      </c>
    </row>
    <row r="98" spans="1:9">
      <c r="A98" s="1231" t="s">
        <v>142</v>
      </c>
      <c r="B98" s="1232"/>
      <c r="C98" s="307" t="str">
        <f>IF(ISBLANK($C$14), "", $C$14)</f>
        <v>CGAAP</v>
      </c>
      <c r="D98" s="307" t="str">
        <f>IF(ISBLANK($D$14), "", $D$14)</f>
        <v>CGAAP</v>
      </c>
      <c r="E98" s="307" t="str">
        <f>IF(ISBLANK($E$14), "", $E$14)</f>
        <v>CGAAP</v>
      </c>
      <c r="F98" s="307"/>
      <c r="G98" s="307" t="str">
        <f>IF(ISBLANK($G$14), "", $G$14)</f>
        <v>CGAAP</v>
      </c>
      <c r="H98" s="307" t="str">
        <f>IF(ISBLANK($H$14), "", $H$14)</f>
        <v>CGAAP</v>
      </c>
      <c r="I98" s="308" t="str">
        <f>IF(ISBLANK($I$14), "", $I$14)</f>
        <v>CGAAP</v>
      </c>
    </row>
    <row r="99" spans="1:9">
      <c r="A99" s="1235" t="s">
        <v>498</v>
      </c>
      <c r="B99" s="1236"/>
      <c r="C99" s="47">
        <v>1337333</v>
      </c>
      <c r="D99" s="47"/>
      <c r="E99" s="47"/>
      <c r="F99" s="47"/>
      <c r="G99" s="47"/>
      <c r="H99" s="47"/>
      <c r="I99" s="287"/>
    </row>
    <row r="100" spans="1:9">
      <c r="A100" s="1235" t="s">
        <v>499</v>
      </c>
      <c r="B100" s="1236"/>
      <c r="C100" s="53"/>
      <c r="D100" s="53">
        <v>221986.25</v>
      </c>
      <c r="E100" s="47"/>
      <c r="F100" s="47"/>
      <c r="G100" s="47"/>
      <c r="H100" s="47"/>
      <c r="I100" s="287"/>
    </row>
    <row r="101" spans="1:9">
      <c r="A101" s="1235" t="s">
        <v>500</v>
      </c>
      <c r="B101" s="1236"/>
      <c r="C101" s="47"/>
      <c r="D101" s="47">
        <v>8210.85</v>
      </c>
      <c r="E101" s="47"/>
      <c r="F101" s="47"/>
      <c r="G101" s="47"/>
      <c r="H101" s="47"/>
      <c r="I101" s="287"/>
    </row>
    <row r="102" spans="1:9">
      <c r="A102" s="321" t="s">
        <v>501</v>
      </c>
      <c r="B102" s="322"/>
      <c r="C102" s="47"/>
      <c r="D102" s="47"/>
      <c r="E102" s="49"/>
      <c r="F102" s="49"/>
      <c r="G102" s="49"/>
      <c r="H102" s="312">
        <v>482.84</v>
      </c>
      <c r="I102" s="313"/>
    </row>
    <row r="103" spans="1:9" ht="13.5" thickBot="1">
      <c r="A103" s="1248" t="s">
        <v>502</v>
      </c>
      <c r="B103" s="1249"/>
      <c r="C103" s="318"/>
      <c r="D103" s="318"/>
      <c r="E103" s="314">
        <v>232146.09</v>
      </c>
      <c r="F103" s="314"/>
      <c r="G103" s="314"/>
      <c r="H103" s="315"/>
      <c r="I103" s="316"/>
    </row>
    <row r="104" spans="1:9" ht="14.25" thickTop="1" thickBot="1">
      <c r="A104" s="1233" t="s">
        <v>267</v>
      </c>
      <c r="B104" s="1234"/>
      <c r="C104" s="298">
        <f>SUM(C99:C103)</f>
        <v>1337333</v>
      </c>
      <c r="D104" s="298">
        <f t="shared" ref="D104:I104" si="12">SUM(D99:D103)</f>
        <v>230197.1</v>
      </c>
      <c r="E104" s="298">
        <f t="shared" si="12"/>
        <v>232146.09</v>
      </c>
      <c r="F104" s="298">
        <f t="shared" si="12"/>
        <v>0</v>
      </c>
      <c r="G104" s="298">
        <f t="shared" si="12"/>
        <v>0</v>
      </c>
      <c r="H104" s="298">
        <f t="shared" si="12"/>
        <v>482.84</v>
      </c>
      <c r="I104" s="299">
        <f t="shared" si="12"/>
        <v>0</v>
      </c>
    </row>
    <row r="106" spans="1:9" ht="13.5" thickBot="1">
      <c r="A106" s="21" t="s">
        <v>503</v>
      </c>
    </row>
    <row r="107" spans="1:9">
      <c r="A107" s="304"/>
      <c r="B107" s="305"/>
      <c r="C107" s="272" t="str">
        <f>$C$12</f>
        <v>2009 Actual</v>
      </c>
      <c r="D107" s="272" t="str">
        <f>$D$12</f>
        <v>2010 Actual</v>
      </c>
      <c r="E107" s="272" t="str">
        <f>$E$12</f>
        <v>2011 Actual²</v>
      </c>
      <c r="F107" s="272" t="str">
        <f>$F$12</f>
        <v>2011 Actual²</v>
      </c>
      <c r="G107" s="272" t="s">
        <v>35</v>
      </c>
      <c r="H107" s="272" t="s">
        <v>35</v>
      </c>
      <c r="I107" s="306" t="s">
        <v>37</v>
      </c>
    </row>
    <row r="108" spans="1:9">
      <c r="A108" s="1231" t="s">
        <v>142</v>
      </c>
      <c r="B108" s="1232"/>
      <c r="C108" s="307" t="str">
        <f>IF(ISBLANK($C$14), "", $C$14)</f>
        <v>CGAAP</v>
      </c>
      <c r="D108" s="307" t="str">
        <f>IF(ISBLANK($D$14), "", $D$14)</f>
        <v>CGAAP</v>
      </c>
      <c r="E108" s="307" t="str">
        <f>IF(ISBLANK($E$14), "", $E$14)</f>
        <v>CGAAP</v>
      </c>
      <c r="F108" s="307"/>
      <c r="G108" s="307" t="str">
        <f>IF(ISBLANK($G$14), "", $G$14)</f>
        <v>CGAAP</v>
      </c>
      <c r="H108" s="307" t="str">
        <f>IF(ISBLANK($H$14), "", $H$14)</f>
        <v>CGAAP</v>
      </c>
      <c r="I108" s="308" t="str">
        <f>IF(ISBLANK($I$14), "", $I$14)</f>
        <v>CGAAP</v>
      </c>
    </row>
    <row r="109" spans="1:9">
      <c r="A109" s="1235" t="s">
        <v>504</v>
      </c>
      <c r="B109" s="1236"/>
      <c r="C109" s="47">
        <f>-22933.67+525</f>
        <v>-22408.67</v>
      </c>
      <c r="D109" s="47"/>
      <c r="E109" s="47">
        <v>297.39</v>
      </c>
      <c r="F109" s="47"/>
      <c r="G109" s="47"/>
      <c r="H109" s="309"/>
      <c r="I109" s="287"/>
    </row>
    <row r="110" spans="1:9">
      <c r="A110" s="1235" t="s">
        <v>505</v>
      </c>
      <c r="B110" s="1236"/>
      <c r="C110" s="53">
        <v>-797370.26</v>
      </c>
      <c r="D110" s="53">
        <v>-1185318.03</v>
      </c>
      <c r="E110" s="53">
        <v>-457219.38</v>
      </c>
      <c r="F110" s="53"/>
      <c r="G110" s="53"/>
      <c r="H110" s="310">
        <f>H23</f>
        <v>-906895.22</v>
      </c>
      <c r="I110" s="311"/>
    </row>
    <row r="111" spans="1:9" ht="13.5" thickBot="1">
      <c r="A111" s="1244" t="s">
        <v>506</v>
      </c>
      <c r="B111" s="1243"/>
      <c r="C111" s="314"/>
      <c r="D111" s="314"/>
      <c r="E111" s="314">
        <f>-14214.51+395.79</f>
        <v>-13818.72</v>
      </c>
      <c r="F111" s="314"/>
      <c r="G111" s="314"/>
      <c r="H111" s="314"/>
      <c r="I111" s="316"/>
    </row>
    <row r="112" spans="1:9" ht="14.25" thickTop="1" thickBot="1">
      <c r="A112" s="1233" t="s">
        <v>267</v>
      </c>
      <c r="B112" s="1234"/>
      <c r="C112" s="298">
        <f>SUM(C109:C111)</f>
        <v>-819778.93</v>
      </c>
      <c r="D112" s="298">
        <f>SUM(D109:D111)</f>
        <v>-1185318.03</v>
      </c>
      <c r="E112" s="298">
        <f>SUM(E109:F111)</f>
        <v>-470740.70999999996</v>
      </c>
      <c r="F112" s="298">
        <f t="shared" ref="F112:I112" si="13">SUM(F109:G111)</f>
        <v>0</v>
      </c>
      <c r="G112" s="298">
        <f t="shared" si="13"/>
        <v>-906895.22</v>
      </c>
      <c r="H112" s="298">
        <f t="shared" si="13"/>
        <v>-906895.22</v>
      </c>
      <c r="I112" s="298">
        <f t="shared" si="13"/>
        <v>0</v>
      </c>
    </row>
    <row r="114" spans="1:9" ht="13.5" thickBot="1">
      <c r="A114" s="21" t="s">
        <v>507</v>
      </c>
    </row>
    <row r="115" spans="1:9">
      <c r="A115" s="304"/>
      <c r="B115" s="305"/>
      <c r="C115" s="272" t="str">
        <f>$C$12</f>
        <v>2009 Actual</v>
      </c>
      <c r="D115" s="272" t="str">
        <f>$D$12</f>
        <v>2010 Actual</v>
      </c>
      <c r="E115" s="272" t="str">
        <f>$E$12</f>
        <v>2011 Actual²</v>
      </c>
      <c r="F115" s="272" t="str">
        <f>$F$12</f>
        <v>2011 Actual²</v>
      </c>
      <c r="G115" s="272" t="s">
        <v>35</v>
      </c>
      <c r="H115" s="272" t="s">
        <v>35</v>
      </c>
      <c r="I115" s="306" t="s">
        <v>37</v>
      </c>
    </row>
    <row r="116" spans="1:9">
      <c r="A116" s="1231" t="s">
        <v>142</v>
      </c>
      <c r="B116" s="1232"/>
      <c r="C116" s="307" t="str">
        <f>IF(ISBLANK($C$14), "", $C$14)</f>
        <v>CGAAP</v>
      </c>
      <c r="D116" s="307" t="str">
        <f>IF(ISBLANK($D$14), "", $D$14)</f>
        <v>CGAAP</v>
      </c>
      <c r="E116" s="307" t="str">
        <f>IF(ISBLANK($E$14), "", $E$14)</f>
        <v>CGAAP</v>
      </c>
      <c r="F116" s="307"/>
      <c r="G116" s="307" t="str">
        <f>IF(ISBLANK($G$14), "", $G$14)</f>
        <v>CGAAP</v>
      </c>
      <c r="H116" s="307" t="str">
        <f>IF(ISBLANK($H$14), "", $H$14)</f>
        <v>CGAAP</v>
      </c>
      <c r="I116" s="308" t="str">
        <f>IF(ISBLANK($I$14), "", $I$14)</f>
        <v>CGAAP</v>
      </c>
    </row>
    <row r="117" spans="1:9" ht="13.5" thickBot="1">
      <c r="A117" s="1244" t="s">
        <v>508</v>
      </c>
      <c r="B117" s="1245"/>
      <c r="C117" s="314">
        <v>797370.26</v>
      </c>
      <c r="D117" s="314">
        <v>699808.06</v>
      </c>
      <c r="E117" s="314">
        <v>483425.08</v>
      </c>
      <c r="F117" s="314"/>
      <c r="G117" s="314"/>
      <c r="H117" s="315">
        <f>H24</f>
        <v>906895.22</v>
      </c>
      <c r="I117" s="316"/>
    </row>
    <row r="118" spans="1:9" ht="14.25" thickTop="1" thickBot="1">
      <c r="A118" s="1233" t="s">
        <v>267</v>
      </c>
      <c r="B118" s="1234"/>
      <c r="C118" s="298">
        <f t="shared" ref="C118:I118" si="14">SUM(C117:C117)</f>
        <v>797370.26</v>
      </c>
      <c r="D118" s="298">
        <f t="shared" si="14"/>
        <v>699808.06</v>
      </c>
      <c r="E118" s="298">
        <f t="shared" si="14"/>
        <v>483425.08</v>
      </c>
      <c r="F118" s="298">
        <f t="shared" si="14"/>
        <v>0</v>
      </c>
      <c r="G118" s="298">
        <f t="shared" si="14"/>
        <v>0</v>
      </c>
      <c r="H118" s="298">
        <f t="shared" si="14"/>
        <v>906895.22</v>
      </c>
      <c r="I118" s="317">
        <f t="shared" si="14"/>
        <v>0</v>
      </c>
    </row>
    <row r="120" spans="1:9" ht="13.5" thickBot="1">
      <c r="A120" s="21" t="s">
        <v>509</v>
      </c>
    </row>
    <row r="121" spans="1:9">
      <c r="A121" s="304"/>
      <c r="B121" s="305"/>
      <c r="C121" s="272" t="str">
        <f>$C$12</f>
        <v>2009 Actual</v>
      </c>
      <c r="D121" s="272" t="str">
        <f>$D$12</f>
        <v>2010 Actual</v>
      </c>
      <c r="E121" s="272" t="str">
        <f>$E$12</f>
        <v>2011 Actual²</v>
      </c>
      <c r="F121" s="272" t="str">
        <f>$F$12</f>
        <v>2011 Actual²</v>
      </c>
      <c r="G121" s="272" t="s">
        <v>35</v>
      </c>
      <c r="H121" s="272" t="s">
        <v>35</v>
      </c>
      <c r="I121" s="306" t="s">
        <v>37</v>
      </c>
    </row>
    <row r="122" spans="1:9">
      <c r="A122" s="1231" t="s">
        <v>142</v>
      </c>
      <c r="B122" s="1232"/>
      <c r="C122" s="307" t="str">
        <f>IF(ISBLANK($C$14), "", $C$14)</f>
        <v>CGAAP</v>
      </c>
      <c r="D122" s="307" t="str">
        <f>IF(ISBLANK($D$14), "", $D$14)</f>
        <v>CGAAP</v>
      </c>
      <c r="E122" s="307" t="str">
        <f>IF(ISBLANK($E$14), "", $E$14)</f>
        <v>CGAAP</v>
      </c>
      <c r="F122" s="307"/>
      <c r="G122" s="307" t="str">
        <f>IF(ISBLANK($G$14), "", $G$14)</f>
        <v>CGAAP</v>
      </c>
      <c r="H122" s="307" t="str">
        <f>IF(ISBLANK($H$14), "", $H$14)</f>
        <v>CGAAP</v>
      </c>
      <c r="I122" s="308" t="str">
        <f>IF(ISBLANK($I$14), "", $I$14)</f>
        <v>CGAAP</v>
      </c>
    </row>
    <row r="123" spans="1:9" ht="13.5" thickBot="1">
      <c r="A123" s="1253" t="s">
        <v>510</v>
      </c>
      <c r="B123" s="1254"/>
      <c r="C123" s="314"/>
      <c r="D123" s="314"/>
      <c r="E123" s="314">
        <v>-195901.87</v>
      </c>
      <c r="F123" s="314"/>
      <c r="G123" s="314"/>
      <c r="H123" s="314">
        <v>-133255.92000000001</v>
      </c>
      <c r="I123" s="323">
        <f>-67000-33000</f>
        <v>-100000</v>
      </c>
    </row>
    <row r="124" spans="1:9" ht="14.25" thickTop="1" thickBot="1">
      <c r="A124" s="1233" t="s">
        <v>267</v>
      </c>
      <c r="B124" s="1234"/>
      <c r="C124" s="298">
        <f t="shared" ref="C124:I124" si="15">SUM(C123:C123)</f>
        <v>0</v>
      </c>
      <c r="D124" s="298">
        <f t="shared" si="15"/>
        <v>0</v>
      </c>
      <c r="E124" s="298">
        <f t="shared" si="15"/>
        <v>-195901.87</v>
      </c>
      <c r="F124" s="298">
        <f t="shared" si="15"/>
        <v>0</v>
      </c>
      <c r="G124" s="298">
        <f t="shared" si="15"/>
        <v>0</v>
      </c>
      <c r="H124" s="298">
        <f t="shared" si="15"/>
        <v>-133255.92000000001</v>
      </c>
      <c r="I124" s="317">
        <f t="shared" si="15"/>
        <v>-100000</v>
      </c>
    </row>
    <row r="126" spans="1:9" ht="13.5" thickBot="1">
      <c r="A126" s="21" t="s">
        <v>511</v>
      </c>
    </row>
    <row r="127" spans="1:9">
      <c r="A127" s="304"/>
      <c r="B127" s="305"/>
      <c r="C127" s="272" t="str">
        <f>$C$12</f>
        <v>2009 Actual</v>
      </c>
      <c r="D127" s="272" t="str">
        <f>$D$12</f>
        <v>2010 Actual</v>
      </c>
      <c r="E127" s="272" t="str">
        <f>$E$12</f>
        <v>2011 Actual²</v>
      </c>
      <c r="F127" s="272" t="str">
        <f>$F$12</f>
        <v>2011 Actual²</v>
      </c>
      <c r="G127" s="272" t="s">
        <v>35</v>
      </c>
      <c r="H127" s="272" t="s">
        <v>35</v>
      </c>
      <c r="I127" s="306" t="s">
        <v>37</v>
      </c>
    </row>
    <row r="128" spans="1:9">
      <c r="A128" s="1231" t="s">
        <v>142</v>
      </c>
      <c r="B128" s="1232"/>
      <c r="C128" s="307" t="str">
        <f>IF(ISBLANK($C$14), "", $C$14)</f>
        <v>CGAAP</v>
      </c>
      <c r="D128" s="307" t="str">
        <f>IF(ISBLANK($D$14), "", $D$14)</f>
        <v>CGAAP</v>
      </c>
      <c r="E128" s="307" t="str">
        <f>IF(ISBLANK($E$14), "", $E$14)</f>
        <v>CGAAP</v>
      </c>
      <c r="F128" s="307"/>
      <c r="G128" s="307" t="str">
        <f>IF(ISBLANK($G$14), "", $G$14)</f>
        <v>CGAAP</v>
      </c>
      <c r="H128" s="307" t="str">
        <f>IF(ISBLANK($H$14), "", $H$14)</f>
        <v>CGAAP</v>
      </c>
      <c r="I128" s="308" t="str">
        <f>IF(ISBLANK($I$14), "", $I$14)</f>
        <v>CGAAP</v>
      </c>
    </row>
    <row r="129" spans="1:9">
      <c r="A129" s="1222" t="s">
        <v>512</v>
      </c>
      <c r="B129" s="1223"/>
      <c r="C129" s="47">
        <v>-28362.06</v>
      </c>
      <c r="D129" s="47">
        <v>-54921.67</v>
      </c>
      <c r="E129" s="47">
        <v>-210500.39</v>
      </c>
      <c r="F129" s="47"/>
      <c r="G129" s="47"/>
      <c r="H129" s="47"/>
      <c r="I129" s="287"/>
    </row>
    <row r="130" spans="1:9">
      <c r="A130" s="324" t="s">
        <v>513</v>
      </c>
      <c r="B130" s="325"/>
      <c r="C130" s="49"/>
      <c r="D130" s="49"/>
      <c r="E130" s="49">
        <v>-161782.87</v>
      </c>
      <c r="F130" s="49"/>
      <c r="G130" s="49">
        <v>-233200</v>
      </c>
      <c r="H130" s="312">
        <v>-152976.95437499997</v>
      </c>
      <c r="I130" s="290">
        <v>-167568.47064999997</v>
      </c>
    </row>
    <row r="131" spans="1:9" ht="13.5" thickBot="1">
      <c r="A131" s="1250" t="s">
        <v>514</v>
      </c>
      <c r="B131" s="1245"/>
      <c r="C131" s="314">
        <v>-104060.48</v>
      </c>
      <c r="D131" s="314">
        <v>-71012.03</v>
      </c>
      <c r="E131" s="314">
        <v>-75003.09</v>
      </c>
      <c r="F131" s="314"/>
      <c r="G131" s="314">
        <v>-85000</v>
      </c>
      <c r="H131" s="315">
        <v>-100463.4</v>
      </c>
      <c r="I131" s="323">
        <f>-40000-37432</f>
        <v>-77432</v>
      </c>
    </row>
    <row r="132" spans="1:9" ht="14.25" thickTop="1" thickBot="1">
      <c r="A132" s="1233" t="s">
        <v>267</v>
      </c>
      <c r="B132" s="1234"/>
      <c r="C132" s="298">
        <f t="shared" ref="C132:I132" si="16">SUM(C129:C131)</f>
        <v>-132422.54</v>
      </c>
      <c r="D132" s="298">
        <f t="shared" si="16"/>
        <v>-125933.7</v>
      </c>
      <c r="E132" s="298">
        <f t="shared" si="16"/>
        <v>-447286.35</v>
      </c>
      <c r="F132" s="298">
        <f t="shared" si="16"/>
        <v>0</v>
      </c>
      <c r="G132" s="298">
        <f t="shared" si="16"/>
        <v>-318200</v>
      </c>
      <c r="H132" s="298">
        <f t="shared" si="16"/>
        <v>-253440.35437499997</v>
      </c>
      <c r="I132" s="317">
        <f t="shared" si="16"/>
        <v>-245000.47064999997</v>
      </c>
    </row>
    <row r="134" spans="1:9">
      <c r="A134" s="18" t="s">
        <v>270</v>
      </c>
    </row>
    <row r="135" spans="1:9">
      <c r="A135" s="326">
        <v>1</v>
      </c>
      <c r="B135" t="s">
        <v>515</v>
      </c>
    </row>
    <row r="136" spans="1:9" ht="30.75" customHeight="1">
      <c r="A136" s="326">
        <v>2</v>
      </c>
      <c r="B136" s="1251" t="s">
        <v>516</v>
      </c>
      <c r="C136" s="1252"/>
      <c r="D136" s="1252"/>
      <c r="E136" s="1252"/>
      <c r="F136" s="1252"/>
      <c r="G136" s="1252"/>
      <c r="H136" s="1252"/>
      <c r="I136" s="1252"/>
    </row>
    <row r="137" spans="1:9" ht="30.75" customHeight="1">
      <c r="A137" s="326">
        <v>3</v>
      </c>
      <c r="B137" s="1251" t="s">
        <v>517</v>
      </c>
      <c r="C137" s="1252"/>
      <c r="D137" s="1252"/>
      <c r="E137" s="1252"/>
      <c r="F137" s="1252"/>
      <c r="G137" s="1252"/>
      <c r="H137" s="1252"/>
      <c r="I137" s="1252"/>
    </row>
  </sheetData>
  <mergeCells count="64">
    <mergeCell ref="A131:B131"/>
    <mergeCell ref="A132:B132"/>
    <mergeCell ref="B136:I136"/>
    <mergeCell ref="B137:I137"/>
    <mergeCell ref="A118:B118"/>
    <mergeCell ref="A122:B122"/>
    <mergeCell ref="A123:B123"/>
    <mergeCell ref="A124:B124"/>
    <mergeCell ref="A128:B128"/>
    <mergeCell ref="A129:B129"/>
    <mergeCell ref="A117:B117"/>
    <mergeCell ref="A99:B99"/>
    <mergeCell ref="A100:B100"/>
    <mergeCell ref="A101:B101"/>
    <mergeCell ref="A103:B103"/>
    <mergeCell ref="A104:B104"/>
    <mergeCell ref="A108:B108"/>
    <mergeCell ref="A109:B109"/>
    <mergeCell ref="A110:B110"/>
    <mergeCell ref="A111:B111"/>
    <mergeCell ref="A112:B112"/>
    <mergeCell ref="A116:B116"/>
    <mergeCell ref="A98:B98"/>
    <mergeCell ref="A78:B78"/>
    <mergeCell ref="A79:B79"/>
    <mergeCell ref="A80:B80"/>
    <mergeCell ref="A81:B81"/>
    <mergeCell ref="A85:B85"/>
    <mergeCell ref="A86:B86"/>
    <mergeCell ref="A87:B87"/>
    <mergeCell ref="A91:B91"/>
    <mergeCell ref="A92:B92"/>
    <mergeCell ref="A93:B93"/>
    <mergeCell ref="A94:B94"/>
    <mergeCell ref="C46:I47"/>
    <mergeCell ref="A49:I49"/>
    <mergeCell ref="A53:I54"/>
    <mergeCell ref="A58:B58"/>
    <mergeCell ref="A74:B74"/>
    <mergeCell ref="A60:B60"/>
    <mergeCell ref="A61:B61"/>
    <mergeCell ref="A62:B62"/>
    <mergeCell ref="A63:B63"/>
    <mergeCell ref="A64:B64"/>
    <mergeCell ref="A65:B65"/>
    <mergeCell ref="A69:B69"/>
    <mergeCell ref="A70:B70"/>
    <mergeCell ref="A71:B71"/>
    <mergeCell ref="A72:B72"/>
    <mergeCell ref="A73:B73"/>
    <mergeCell ref="A59:B59"/>
    <mergeCell ref="A32:B32"/>
    <mergeCell ref="A33:B33"/>
    <mergeCell ref="A43:B43"/>
    <mergeCell ref="A44:B44"/>
    <mergeCell ref="A45:B45"/>
    <mergeCell ref="A46:B46"/>
    <mergeCell ref="C45:I45"/>
    <mergeCell ref="A9:I9"/>
    <mergeCell ref="A10:I10"/>
    <mergeCell ref="A28:I28"/>
    <mergeCell ref="A29:B29"/>
    <mergeCell ref="A30:B30"/>
    <mergeCell ref="A31:B31"/>
  </mergeCells>
  <dataValidations count="1">
    <dataValidation type="list" allowBlank="1" showInputMessage="1" showErrorMessage="1" sqref="C14:I14">
      <formula1>"CGAAP, MIFRS, USGAAP, ASPE"</formula1>
    </dataValidation>
  </dataValidations>
  <printOptions horizontalCentered="1"/>
  <pageMargins left="0.74803149606299213" right="0.74803149606299213" top="0.98425196850393704" bottom="0.98425196850393704" header="0.51181102362204722" footer="0.51181102362204722"/>
  <pageSetup scale="64" fitToHeight="3" orientation="portrait" r:id="rId1"/>
  <headerFooter alignWithMargins="0"/>
</worksheet>
</file>

<file path=xl/worksheets/sheet16.xml><?xml version="1.0" encoding="utf-8"?>
<worksheet xmlns="http://schemas.openxmlformats.org/spreadsheetml/2006/main" xmlns:r="http://schemas.openxmlformats.org/officeDocument/2006/relationships">
  <sheetPr>
    <pageSetUpPr fitToPage="1"/>
  </sheetPr>
  <dimension ref="A1:K126"/>
  <sheetViews>
    <sheetView showGridLines="0" zoomScaleNormal="100" workbookViewId="0">
      <selection activeCell="J24" sqref="J24"/>
    </sheetView>
  </sheetViews>
  <sheetFormatPr defaultRowHeight="12.75"/>
  <cols>
    <col min="2" max="2" width="67.140625" customWidth="1"/>
    <col min="3" max="5" width="12.7109375" customWidth="1"/>
    <col min="6" max="6" width="12.7109375" hidden="1" customWidth="1"/>
    <col min="7" max="7" width="15" bestFit="1" customWidth="1"/>
    <col min="8" max="8" width="15" customWidth="1"/>
    <col min="9" max="9" width="12.5703125" customWidth="1"/>
    <col min="11" max="11" width="9.7109375" style="302" bestFit="1" customWidth="1"/>
  </cols>
  <sheetData>
    <row r="1" spans="1:9">
      <c r="G1" s="31"/>
      <c r="H1" s="268" t="s">
        <v>131</v>
      </c>
      <c r="I1" s="32" t="str">
        <f>'LDC Info'!$E$18</f>
        <v>EB-2012-0126</v>
      </c>
    </row>
    <row r="2" spans="1:9">
      <c r="G2" s="31"/>
      <c r="H2" s="268" t="s">
        <v>132</v>
      </c>
      <c r="I2" s="33"/>
    </row>
    <row r="3" spans="1:9">
      <c r="G3" s="31"/>
      <c r="H3" s="268" t="s">
        <v>133</v>
      </c>
      <c r="I3" s="33"/>
    </row>
    <row r="4" spans="1:9">
      <c r="G4" s="31"/>
      <c r="H4" s="268" t="s">
        <v>134</v>
      </c>
      <c r="I4" s="33"/>
    </row>
    <row r="5" spans="1:9">
      <c r="G5" s="31"/>
      <c r="H5" s="268" t="s">
        <v>439</v>
      </c>
      <c r="I5" s="34"/>
    </row>
    <row r="6" spans="1:9">
      <c r="G6" s="31"/>
      <c r="H6" s="268"/>
      <c r="I6" s="32"/>
    </row>
    <row r="7" spans="1:9">
      <c r="G7" s="31"/>
      <c r="H7" s="268" t="s">
        <v>136</v>
      </c>
      <c r="I7" s="34" t="s">
        <v>1171</v>
      </c>
    </row>
    <row r="9" spans="1:9" ht="18">
      <c r="A9" s="1215" t="s">
        <v>518</v>
      </c>
      <c r="B9" s="1215"/>
      <c r="C9" s="1215"/>
      <c r="D9" s="1215"/>
      <c r="E9" s="1215"/>
      <c r="F9" s="1215"/>
      <c r="G9" s="1215"/>
      <c r="H9" s="1215"/>
      <c r="I9" s="1215"/>
    </row>
    <row r="10" spans="1:9" ht="18">
      <c r="A10" s="1215" t="s">
        <v>519</v>
      </c>
      <c r="B10" s="1215"/>
      <c r="C10" s="1215"/>
      <c r="D10" s="1215"/>
      <c r="E10" s="1215"/>
      <c r="F10" s="1215"/>
      <c r="G10" s="1215"/>
      <c r="H10" s="1215"/>
      <c r="I10" s="1215"/>
    </row>
    <row r="11" spans="1:9" ht="15.75">
      <c r="A11" s="1258" t="s">
        <v>520</v>
      </c>
      <c r="B11" s="1258"/>
      <c r="C11" s="1258"/>
      <c r="D11" s="1258"/>
      <c r="E11" s="1258"/>
      <c r="F11" s="1258"/>
      <c r="G11" s="1258"/>
      <c r="H11" s="1258"/>
      <c r="I11" s="1258"/>
    </row>
    <row r="13" spans="1:9" ht="57" customHeight="1" thickBot="1">
      <c r="E13" s="1259"/>
      <c r="F13" s="1259"/>
      <c r="G13" s="1259"/>
      <c r="H13" s="1259"/>
    </row>
    <row r="14" spans="1:9" ht="51.75" thickBot="1">
      <c r="A14" s="327" t="s">
        <v>334</v>
      </c>
      <c r="B14" s="328" t="s">
        <v>279</v>
      </c>
      <c r="C14" s="329" t="str">
        <f>"Last Rebasing Year (" &amp; 'LDC Info'!E30 &amp; " Actuals)"</f>
        <v>Last Rebasing Year (2009 Actuals)</v>
      </c>
      <c r="D14" s="329" t="str">
        <f>'LDC Info'!E26-2 &amp; " Actual"</f>
        <v>2010 Actual</v>
      </c>
      <c r="E14" s="329" t="str">
        <f>'LDC Info'!E26-1 &amp; " Actual" &amp; CHAR(178)</f>
        <v>2011 Actual²</v>
      </c>
      <c r="F14" s="329" t="str">
        <f>'LDC Info'!E26-1 &amp; " Actual"&amp; CHAR(178)</f>
        <v>2011 Actual²</v>
      </c>
      <c r="G14" s="329" t="str">
        <f>"Bridge Year " &amp; 'LDC Info'!E26&amp; CHAR(179)</f>
        <v>Bridge Year 2012³</v>
      </c>
      <c r="H14" s="330" t="s">
        <v>521</v>
      </c>
      <c r="I14" s="331" t="str">
        <f>"Test Year " &amp; 'LDC Info'!E28</f>
        <v>Test Year 2013</v>
      </c>
    </row>
    <row r="15" spans="1:9">
      <c r="A15" s="332" t="s">
        <v>142</v>
      </c>
      <c r="B15" s="333"/>
      <c r="C15" s="334" t="s">
        <v>143</v>
      </c>
      <c r="D15" s="334" t="s">
        <v>143</v>
      </c>
      <c r="E15" s="334" t="s">
        <v>143</v>
      </c>
      <c r="F15" s="334"/>
      <c r="G15" s="334" t="s">
        <v>143</v>
      </c>
      <c r="H15" s="335" t="s">
        <v>143</v>
      </c>
      <c r="I15" s="336" t="s">
        <v>143</v>
      </c>
    </row>
    <row r="16" spans="1:9">
      <c r="A16" s="1255" t="s">
        <v>522</v>
      </c>
      <c r="B16" s="1256"/>
      <c r="C16" s="1256"/>
      <c r="D16" s="1256"/>
      <c r="E16" s="1256"/>
      <c r="F16" s="1256"/>
      <c r="G16" s="1256"/>
      <c r="H16" s="1256"/>
      <c r="I16" s="1257"/>
    </row>
    <row r="17" spans="1:11">
      <c r="A17" s="337">
        <v>5005</v>
      </c>
      <c r="B17" s="338" t="s">
        <v>523</v>
      </c>
      <c r="C17" s="339">
        <v>727708.88</v>
      </c>
      <c r="D17" s="339">
        <v>772290</v>
      </c>
      <c r="E17" s="339">
        <v>903975.76</v>
      </c>
      <c r="F17" s="339"/>
      <c r="G17" s="339">
        <v>1310072.1201570337</v>
      </c>
      <c r="H17" s="339">
        <v>1005373.86</v>
      </c>
      <c r="I17" s="340">
        <v>1374757.6252650237</v>
      </c>
      <c r="K17" s="341"/>
    </row>
    <row r="18" spans="1:11">
      <c r="A18" s="342">
        <v>5010</v>
      </c>
      <c r="B18" s="343" t="s">
        <v>524</v>
      </c>
      <c r="C18" s="344">
        <v>594072.09</v>
      </c>
      <c r="D18" s="344">
        <v>541203</v>
      </c>
      <c r="E18" s="344">
        <v>500314.99</v>
      </c>
      <c r="F18" s="344"/>
      <c r="G18" s="339">
        <v>486214.70647180075</v>
      </c>
      <c r="H18" s="339">
        <v>533822.02</v>
      </c>
      <c r="I18" s="340">
        <v>556849.32888523582</v>
      </c>
      <c r="K18" s="341"/>
    </row>
    <row r="19" spans="1:11">
      <c r="A19" s="345">
        <v>5012</v>
      </c>
      <c r="B19" s="346" t="s">
        <v>525</v>
      </c>
      <c r="C19" s="347">
        <v>219146.8</v>
      </c>
      <c r="D19" s="347">
        <v>230856</v>
      </c>
      <c r="E19" s="347">
        <v>218694.57</v>
      </c>
      <c r="F19" s="347"/>
      <c r="G19" s="339">
        <v>234265.45950276338</v>
      </c>
      <c r="H19" s="339">
        <v>258376.43</v>
      </c>
      <c r="I19" s="340">
        <v>234955.67701163975</v>
      </c>
      <c r="K19" s="341"/>
    </row>
    <row r="20" spans="1:11">
      <c r="A20" s="342">
        <v>5014</v>
      </c>
      <c r="B20" s="343" t="s">
        <v>526</v>
      </c>
      <c r="C20" s="344"/>
      <c r="D20" s="344"/>
      <c r="E20" s="344"/>
      <c r="F20" s="344"/>
      <c r="G20" s="339"/>
      <c r="H20" s="339"/>
      <c r="I20" s="340"/>
      <c r="K20" s="341"/>
    </row>
    <row r="21" spans="1:11">
      <c r="A21" s="342">
        <v>5015</v>
      </c>
      <c r="B21" s="343" t="s">
        <v>527</v>
      </c>
      <c r="C21" s="344"/>
      <c r="D21" s="344"/>
      <c r="E21" s="344"/>
      <c r="F21" s="344"/>
      <c r="G21" s="339"/>
      <c r="H21" s="339"/>
      <c r="I21" s="340"/>
      <c r="K21" s="341"/>
    </row>
    <row r="22" spans="1:11">
      <c r="A22" s="342">
        <v>5016</v>
      </c>
      <c r="B22" s="343" t="s">
        <v>528</v>
      </c>
      <c r="C22" s="344">
        <v>349861.45</v>
      </c>
      <c r="D22" s="344">
        <v>293588</v>
      </c>
      <c r="E22" s="344">
        <v>416175.62</v>
      </c>
      <c r="F22" s="344"/>
      <c r="G22" s="339">
        <v>217971.42719923132</v>
      </c>
      <c r="H22" s="339">
        <v>230590.34999999998</v>
      </c>
      <c r="I22" s="340">
        <v>217095.26103631218</v>
      </c>
      <c r="K22" s="341"/>
    </row>
    <row r="23" spans="1:11">
      <c r="A23" s="342">
        <v>5017</v>
      </c>
      <c r="B23" s="343" t="s">
        <v>529</v>
      </c>
      <c r="C23" s="344">
        <v>120129.66</v>
      </c>
      <c r="D23" s="344">
        <v>101687</v>
      </c>
      <c r="E23" s="344">
        <v>173290.73</v>
      </c>
      <c r="F23" s="344"/>
      <c r="G23" s="339">
        <v>191850.60523160567</v>
      </c>
      <c r="H23" s="339">
        <v>107731.32999999999</v>
      </c>
      <c r="I23" s="340">
        <v>291850.6052316057</v>
      </c>
      <c r="K23" s="341"/>
    </row>
    <row r="24" spans="1:11">
      <c r="A24" s="342">
        <v>5020</v>
      </c>
      <c r="B24" s="343" t="s">
        <v>530</v>
      </c>
      <c r="C24" s="344">
        <v>138981.63</v>
      </c>
      <c r="D24" s="344">
        <v>65367</v>
      </c>
      <c r="E24" s="344">
        <v>150175.88</v>
      </c>
      <c r="F24" s="344"/>
      <c r="G24" s="339">
        <v>128477.83330788233</v>
      </c>
      <c r="H24" s="339">
        <v>151390.65</v>
      </c>
      <c r="I24" s="340">
        <v>103523.796338441</v>
      </c>
      <c r="K24" s="341"/>
    </row>
    <row r="25" spans="1:11">
      <c r="A25" s="342">
        <v>5025</v>
      </c>
      <c r="B25" s="343" t="s">
        <v>531</v>
      </c>
      <c r="C25" s="344">
        <v>352985.82</v>
      </c>
      <c r="D25" s="344">
        <v>260312</v>
      </c>
      <c r="E25" s="344">
        <v>342585.5</v>
      </c>
      <c r="F25" s="344"/>
      <c r="G25" s="339">
        <v>320060.67503867927</v>
      </c>
      <c r="H25" s="339">
        <v>428574.76</v>
      </c>
      <c r="I25" s="340">
        <v>307302.94421730173</v>
      </c>
      <c r="K25" s="341"/>
    </row>
    <row r="26" spans="1:11">
      <c r="A26" s="342">
        <v>5030</v>
      </c>
      <c r="B26" s="343" t="s">
        <v>532</v>
      </c>
      <c r="C26" s="344">
        <v>23512.6</v>
      </c>
      <c r="D26" s="344">
        <v>27488</v>
      </c>
      <c r="E26" s="344">
        <v>15339.55</v>
      </c>
      <c r="F26" s="344"/>
      <c r="G26" s="339">
        <v>18780.659520681271</v>
      </c>
      <c r="H26" s="339">
        <v>18264.62</v>
      </c>
      <c r="I26" s="340">
        <v>15614.080728649311</v>
      </c>
      <c r="K26" s="341"/>
    </row>
    <row r="27" spans="1:11">
      <c r="A27" s="342">
        <v>5035</v>
      </c>
      <c r="B27" s="343" t="s">
        <v>533</v>
      </c>
      <c r="C27" s="344">
        <v>113835.42</v>
      </c>
      <c r="D27" s="344">
        <v>196552</v>
      </c>
      <c r="E27" s="344">
        <v>105607.38</v>
      </c>
      <c r="F27" s="344"/>
      <c r="G27" s="339">
        <v>181137.32413070119</v>
      </c>
      <c r="H27" s="339">
        <v>187198.37</v>
      </c>
      <c r="I27" s="340">
        <v>164805.47664711741</v>
      </c>
      <c r="K27" s="341"/>
    </row>
    <row r="28" spans="1:11">
      <c r="A28" s="342">
        <v>5040</v>
      </c>
      <c r="B28" s="343" t="s">
        <v>534</v>
      </c>
      <c r="C28" s="344">
        <v>3408.62</v>
      </c>
      <c r="D28" s="344">
        <v>14322</v>
      </c>
      <c r="E28" s="344">
        <v>13650.89</v>
      </c>
      <c r="F28" s="344"/>
      <c r="G28" s="339">
        <v>13645.969401545233</v>
      </c>
      <c r="H28" s="339">
        <v>16021.28</v>
      </c>
      <c r="I28" s="340">
        <v>12798.702479772361</v>
      </c>
      <c r="K28" s="341"/>
    </row>
    <row r="29" spans="1:11">
      <c r="A29" s="342">
        <v>5045</v>
      </c>
      <c r="B29" s="343" t="s">
        <v>535</v>
      </c>
      <c r="C29" s="344">
        <v>7408.88</v>
      </c>
      <c r="D29" s="344">
        <v>9333</v>
      </c>
      <c r="E29" s="344">
        <v>4751.49</v>
      </c>
      <c r="F29" s="344"/>
      <c r="G29" s="339">
        <v>6685.9619310055868</v>
      </c>
      <c r="H29" s="339">
        <v>3312.04</v>
      </c>
      <c r="I29" s="340">
        <v>6685.9619310055868</v>
      </c>
      <c r="K29" s="341"/>
    </row>
    <row r="30" spans="1:11">
      <c r="A30" s="342">
        <v>5050</v>
      </c>
      <c r="B30" s="343" t="s">
        <v>536</v>
      </c>
      <c r="C30" s="344">
        <v>970.17</v>
      </c>
      <c r="D30" s="344">
        <v>366</v>
      </c>
      <c r="E30" s="344"/>
      <c r="F30" s="344"/>
      <c r="G30" s="339">
        <v>2125.4164255814976</v>
      </c>
      <c r="H30" s="339">
        <v>413.44</v>
      </c>
      <c r="I30" s="340">
        <v>2049.4120661329275</v>
      </c>
      <c r="K30" s="341"/>
    </row>
    <row r="31" spans="1:11">
      <c r="A31" s="342">
        <v>5055</v>
      </c>
      <c r="B31" s="343" t="s">
        <v>537</v>
      </c>
      <c r="C31" s="344">
        <v>60792.25</v>
      </c>
      <c r="D31" s="344">
        <v>68454</v>
      </c>
      <c r="E31" s="344">
        <v>106630.3</v>
      </c>
      <c r="F31" s="344"/>
      <c r="G31" s="339">
        <v>96239.847995460339</v>
      </c>
      <c r="H31" s="339">
        <v>139170.99</v>
      </c>
      <c r="I31" s="340">
        <v>88655.48338723692</v>
      </c>
      <c r="K31" s="341"/>
    </row>
    <row r="32" spans="1:11">
      <c r="A32" s="342">
        <v>5060</v>
      </c>
      <c r="B32" s="343" t="s">
        <v>538</v>
      </c>
      <c r="C32" s="344"/>
      <c r="D32" s="344"/>
      <c r="E32" s="344"/>
      <c r="F32" s="344"/>
      <c r="G32" s="339"/>
      <c r="H32" s="339"/>
      <c r="I32" s="340"/>
      <c r="K32" s="341"/>
    </row>
    <row r="33" spans="1:11">
      <c r="A33" s="345">
        <v>5065</v>
      </c>
      <c r="B33" s="346" t="s">
        <v>539</v>
      </c>
      <c r="C33" s="347">
        <v>244855.78</v>
      </c>
      <c r="D33" s="347">
        <v>220947</v>
      </c>
      <c r="E33" s="347">
        <v>186074.44</v>
      </c>
      <c r="F33" s="347"/>
      <c r="G33" s="339">
        <v>285285.40447441669</v>
      </c>
      <c r="H33" s="339">
        <v>275447.24</v>
      </c>
      <c r="I33" s="340">
        <v>971683.76105314866</v>
      </c>
      <c r="K33" s="341"/>
    </row>
    <row r="34" spans="1:11">
      <c r="A34" s="342">
        <v>5070</v>
      </c>
      <c r="B34" s="343" t="s">
        <v>540</v>
      </c>
      <c r="C34" s="344">
        <v>637695.62</v>
      </c>
      <c r="D34" s="344">
        <v>562116</v>
      </c>
      <c r="E34" s="344">
        <v>549410.24</v>
      </c>
      <c r="F34" s="344"/>
      <c r="G34" s="339">
        <v>705100.47849572927</v>
      </c>
      <c r="H34" s="339">
        <v>590086.15999999992</v>
      </c>
      <c r="I34" s="340">
        <v>631688.52086251217</v>
      </c>
      <c r="K34" s="341"/>
    </row>
    <row r="35" spans="1:11">
      <c r="A35" s="345">
        <v>5075</v>
      </c>
      <c r="B35" s="346" t="s">
        <v>541</v>
      </c>
      <c r="C35" s="347"/>
      <c r="D35" s="347"/>
      <c r="E35" s="347"/>
      <c r="F35" s="347"/>
      <c r="G35" s="339"/>
      <c r="H35" s="339"/>
      <c r="I35" s="340"/>
      <c r="K35" s="341"/>
    </row>
    <row r="36" spans="1:11">
      <c r="A36" s="342">
        <v>5085</v>
      </c>
      <c r="B36" s="343" t="s">
        <v>542</v>
      </c>
      <c r="C36" s="344"/>
      <c r="D36" s="344"/>
      <c r="E36" s="344"/>
      <c r="F36" s="344"/>
      <c r="G36" s="339">
        <v>876705.25302346959</v>
      </c>
      <c r="H36" s="339">
        <v>846820</v>
      </c>
      <c r="I36" s="340">
        <v>1679424.6205884039</v>
      </c>
      <c r="K36" s="341"/>
    </row>
    <row r="37" spans="1:11">
      <c r="A37" s="345">
        <v>5090</v>
      </c>
      <c r="B37" s="346" t="s">
        <v>543</v>
      </c>
      <c r="C37" s="347"/>
      <c r="D37" s="347"/>
      <c r="E37" s="347"/>
      <c r="F37" s="347"/>
      <c r="G37" s="339"/>
      <c r="H37" s="339"/>
      <c r="I37" s="340"/>
      <c r="K37" s="341"/>
    </row>
    <row r="38" spans="1:11">
      <c r="A38" s="342">
        <v>5095</v>
      </c>
      <c r="B38" s="343" t="s">
        <v>544</v>
      </c>
      <c r="C38" s="344">
        <v>56688.59</v>
      </c>
      <c r="D38" s="344">
        <v>67991</v>
      </c>
      <c r="E38" s="344">
        <v>76624.94</v>
      </c>
      <c r="F38" s="344"/>
      <c r="G38" s="339">
        <v>82000</v>
      </c>
      <c r="H38" s="339">
        <v>63276.94</v>
      </c>
      <c r="I38" s="340">
        <v>82000</v>
      </c>
      <c r="K38" s="341"/>
    </row>
    <row r="39" spans="1:11" ht="13.5" thickBot="1">
      <c r="A39" s="348">
        <v>5096</v>
      </c>
      <c r="B39" s="349" t="s">
        <v>545</v>
      </c>
      <c r="C39" s="350"/>
      <c r="D39" s="350"/>
      <c r="E39" s="350"/>
      <c r="F39" s="350"/>
      <c r="G39" s="350"/>
      <c r="H39" s="350"/>
      <c r="I39" s="350"/>
      <c r="K39" s="341"/>
    </row>
    <row r="40" spans="1:11" ht="14.25" thickTop="1" thickBot="1">
      <c r="A40" s="1260" t="s">
        <v>546</v>
      </c>
      <c r="B40" s="1261"/>
      <c r="C40" s="351">
        <f>SUM(C17:C39)</f>
        <v>3652054.2599999993</v>
      </c>
      <c r="D40" s="352">
        <f>SUM(D17:D39)</f>
        <v>3432872</v>
      </c>
      <c r="E40" s="351">
        <f>SUM(E17:E39)</f>
        <v>3763302.28</v>
      </c>
      <c r="F40" s="351">
        <f t="shared" ref="F40:H40" si="0">SUM(F17:F39)</f>
        <v>0</v>
      </c>
      <c r="G40" s="351">
        <f t="shared" si="0"/>
        <v>5156619.1423075879</v>
      </c>
      <c r="H40" s="351">
        <f t="shared" si="0"/>
        <v>4855870.4800000004</v>
      </c>
      <c r="I40" s="353">
        <f>SUM(I17:I39)</f>
        <v>6741741.2577295387</v>
      </c>
      <c r="K40" s="341"/>
    </row>
    <row r="41" spans="1:11" ht="51">
      <c r="A41" s="354" t="s">
        <v>334</v>
      </c>
      <c r="B41" s="355" t="s">
        <v>279</v>
      </c>
      <c r="C41" s="356" t="str">
        <f t="shared" ref="C41:I41" si="1">C14</f>
        <v>Last Rebasing Year (2009 Actuals)</v>
      </c>
      <c r="D41" s="356" t="str">
        <f t="shared" si="1"/>
        <v>2010 Actual</v>
      </c>
      <c r="E41" s="356" t="str">
        <f t="shared" si="1"/>
        <v>2011 Actual²</v>
      </c>
      <c r="F41" s="356" t="str">
        <f t="shared" si="1"/>
        <v>2011 Actual²</v>
      </c>
      <c r="G41" s="356" t="str">
        <f t="shared" si="1"/>
        <v>Bridge Year 2012³</v>
      </c>
      <c r="H41" s="356" t="str">
        <f t="shared" si="1"/>
        <v>Bridge Year 2012 UPDATED</v>
      </c>
      <c r="I41" s="357" t="str">
        <f t="shared" si="1"/>
        <v>Test Year 2013</v>
      </c>
      <c r="K41" s="341"/>
    </row>
    <row r="42" spans="1:11">
      <c r="A42" s="1255" t="s">
        <v>547</v>
      </c>
      <c r="B42" s="1256"/>
      <c r="C42" s="1256"/>
      <c r="D42" s="1256"/>
      <c r="E42" s="1256"/>
      <c r="F42" s="1256"/>
      <c r="G42" s="1256"/>
      <c r="H42" s="1256"/>
      <c r="I42" s="1257"/>
      <c r="K42" s="341"/>
    </row>
    <row r="43" spans="1:11">
      <c r="A43" s="337">
        <v>5105</v>
      </c>
      <c r="B43" s="338" t="s">
        <v>548</v>
      </c>
      <c r="C43" s="339">
        <v>16.88</v>
      </c>
      <c r="D43" s="339"/>
      <c r="E43" s="339"/>
      <c r="F43" s="339"/>
      <c r="G43" s="339"/>
      <c r="H43" s="339"/>
      <c r="I43" s="340"/>
      <c r="K43" s="341"/>
    </row>
    <row r="44" spans="1:11">
      <c r="A44" s="337">
        <v>5110</v>
      </c>
      <c r="B44" s="338" t="s">
        <v>549</v>
      </c>
      <c r="C44" s="344">
        <v>36772.839999999997</v>
      </c>
      <c r="D44" s="344">
        <v>38253</v>
      </c>
      <c r="E44" s="344">
        <v>30599.53</v>
      </c>
      <c r="F44" s="344"/>
      <c r="G44" s="339">
        <v>18088.739589587629</v>
      </c>
      <c r="H44" s="339">
        <v>48324.49</v>
      </c>
      <c r="I44" s="340">
        <v>17719.800934590941</v>
      </c>
      <c r="K44" s="341"/>
    </row>
    <row r="45" spans="1:11">
      <c r="A45" s="337">
        <v>5112</v>
      </c>
      <c r="B45" s="338" t="s">
        <v>550</v>
      </c>
      <c r="C45" s="347"/>
      <c r="D45" s="347"/>
      <c r="E45" s="347"/>
      <c r="F45" s="347"/>
      <c r="G45" s="339"/>
      <c r="H45" s="339"/>
      <c r="I45" s="340"/>
      <c r="K45" s="341"/>
    </row>
    <row r="46" spans="1:11">
      <c r="A46" s="337">
        <v>5114</v>
      </c>
      <c r="B46" s="338" t="s">
        <v>551</v>
      </c>
      <c r="C46" s="344">
        <v>72347.91</v>
      </c>
      <c r="D46" s="344">
        <v>100719</v>
      </c>
      <c r="E46" s="344">
        <v>180098.05</v>
      </c>
      <c r="F46" s="344"/>
      <c r="G46" s="339">
        <v>160822.72722680948</v>
      </c>
      <c r="H46" s="339">
        <v>172489.3</v>
      </c>
      <c r="I46" s="340">
        <v>157768.18216789822</v>
      </c>
      <c r="K46" s="341"/>
    </row>
    <row r="47" spans="1:11">
      <c r="A47" s="337">
        <v>5120</v>
      </c>
      <c r="B47" s="338" t="s">
        <v>552</v>
      </c>
      <c r="C47" s="344">
        <v>173662.84</v>
      </c>
      <c r="D47" s="344">
        <v>129192</v>
      </c>
      <c r="E47" s="344">
        <v>194222.84</v>
      </c>
      <c r="F47" s="344"/>
      <c r="G47" s="339">
        <v>304657.62303561484</v>
      </c>
      <c r="H47" s="339">
        <v>236405.23</v>
      </c>
      <c r="I47" s="340">
        <v>196139.58335827416</v>
      </c>
      <c r="K47" s="341"/>
    </row>
    <row r="48" spans="1:11">
      <c r="A48" s="337">
        <v>5125</v>
      </c>
      <c r="B48" s="338" t="s">
        <v>553</v>
      </c>
      <c r="C48" s="344">
        <v>268802.21999999997</v>
      </c>
      <c r="D48" s="344">
        <v>292005</v>
      </c>
      <c r="E48" s="344">
        <v>158548.46</v>
      </c>
      <c r="F48" s="344"/>
      <c r="G48" s="339">
        <v>550406.55036692182</v>
      </c>
      <c r="H48" s="339">
        <v>348677.17</v>
      </c>
      <c r="I48" s="340">
        <v>437368.30162664084</v>
      </c>
      <c r="K48" s="341"/>
    </row>
    <row r="49" spans="1:11">
      <c r="A49" s="337">
        <v>5130</v>
      </c>
      <c r="B49" s="338" t="s">
        <v>554</v>
      </c>
      <c r="C49" s="344">
        <v>170764.27</v>
      </c>
      <c r="D49" s="344">
        <v>154032</v>
      </c>
      <c r="E49" s="344">
        <v>184767.65</v>
      </c>
      <c r="F49" s="344"/>
      <c r="G49" s="339">
        <v>201106.80561967753</v>
      </c>
      <c r="H49" s="339">
        <v>190206.62999999998</v>
      </c>
      <c r="I49" s="340">
        <v>183580.19034696341</v>
      </c>
      <c r="K49" s="341"/>
    </row>
    <row r="50" spans="1:11">
      <c r="A50" s="337">
        <v>5135</v>
      </c>
      <c r="B50" s="338" t="s">
        <v>555</v>
      </c>
      <c r="C50" s="344">
        <v>415591.2</v>
      </c>
      <c r="D50" s="344">
        <v>669674</v>
      </c>
      <c r="E50" s="344">
        <v>416624.71</v>
      </c>
      <c r="F50" s="344"/>
      <c r="G50" s="339">
        <v>553623.20909686841</v>
      </c>
      <c r="H50" s="339">
        <v>721530.6</v>
      </c>
      <c r="I50" s="340">
        <v>514475.43575620599</v>
      </c>
      <c r="K50" s="341"/>
    </row>
    <row r="51" spans="1:11">
      <c r="A51" s="337">
        <v>5145</v>
      </c>
      <c r="B51" s="338" t="s">
        <v>556</v>
      </c>
      <c r="C51" s="344">
        <v>53447.26</v>
      </c>
      <c r="D51" s="344">
        <v>58358</v>
      </c>
      <c r="E51" s="344">
        <v>102243.29</v>
      </c>
      <c r="F51" s="344"/>
      <c r="G51" s="339">
        <v>58228.720495280199</v>
      </c>
      <c r="H51" s="339">
        <v>199214.7</v>
      </c>
      <c r="I51" s="340">
        <v>56309.018483583466</v>
      </c>
      <c r="K51" s="341"/>
    </row>
    <row r="52" spans="1:11">
      <c r="A52" s="337">
        <v>5150</v>
      </c>
      <c r="B52" s="338" t="s">
        <v>557</v>
      </c>
      <c r="C52" s="344">
        <v>33764.11</v>
      </c>
      <c r="D52" s="344">
        <v>21123</v>
      </c>
      <c r="E52" s="344">
        <v>68672.06</v>
      </c>
      <c r="F52" s="344"/>
      <c r="G52" s="339">
        <v>52952.832172995841</v>
      </c>
      <c r="H52" s="339">
        <v>33551.06</v>
      </c>
      <c r="I52" s="340">
        <v>48520.492136537447</v>
      </c>
      <c r="K52" s="341"/>
    </row>
    <row r="53" spans="1:11">
      <c r="A53" s="337">
        <v>5155</v>
      </c>
      <c r="B53" s="338" t="s">
        <v>558</v>
      </c>
      <c r="C53" s="344">
        <v>69421.95</v>
      </c>
      <c r="D53" s="344">
        <v>42087</v>
      </c>
      <c r="E53" s="344">
        <v>70439.100000000006</v>
      </c>
      <c r="F53" s="344"/>
      <c r="G53" s="339">
        <v>116304.80921564522</v>
      </c>
      <c r="H53" s="339">
        <v>106988.48</v>
      </c>
      <c r="I53" s="340">
        <v>106503.61160895713</v>
      </c>
      <c r="K53" s="341"/>
    </row>
    <row r="54" spans="1:11">
      <c r="A54" s="337">
        <v>5160</v>
      </c>
      <c r="B54" s="338" t="s">
        <v>559</v>
      </c>
      <c r="C54" s="344">
        <v>204621.43</v>
      </c>
      <c r="D54" s="344">
        <v>174983</v>
      </c>
      <c r="E54" s="344">
        <v>88131.62</v>
      </c>
      <c r="F54" s="344"/>
      <c r="G54" s="339">
        <v>323319.86678841594</v>
      </c>
      <c r="H54" s="339">
        <v>162159.33000000002</v>
      </c>
      <c r="I54" s="340">
        <v>276234.31173201383</v>
      </c>
      <c r="K54" s="341"/>
    </row>
    <row r="55" spans="1:11">
      <c r="A55" s="337">
        <v>5165</v>
      </c>
      <c r="B55" s="338" t="s">
        <v>560</v>
      </c>
      <c r="C55" s="344"/>
      <c r="D55" s="344"/>
      <c r="E55" s="344"/>
      <c r="F55" s="344"/>
      <c r="G55" s="339"/>
      <c r="H55" s="339"/>
      <c r="I55" s="340"/>
      <c r="K55" s="341"/>
    </row>
    <row r="56" spans="1:11">
      <c r="A56" s="337">
        <v>5170</v>
      </c>
      <c r="B56" s="338" t="s">
        <v>561</v>
      </c>
      <c r="C56" s="344"/>
      <c r="D56" s="344"/>
      <c r="E56" s="344"/>
      <c r="F56" s="344"/>
      <c r="G56" s="339"/>
      <c r="H56" s="339"/>
      <c r="I56" s="340"/>
      <c r="K56" s="341"/>
    </row>
    <row r="57" spans="1:11">
      <c r="A57" s="337">
        <v>5172</v>
      </c>
      <c r="B57" s="338" t="s">
        <v>562</v>
      </c>
      <c r="C57" s="344"/>
      <c r="D57" s="344"/>
      <c r="E57" s="344"/>
      <c r="F57" s="344"/>
      <c r="G57" s="339"/>
      <c r="H57" s="339"/>
      <c r="I57" s="340"/>
      <c r="K57" s="341"/>
    </row>
    <row r="58" spans="1:11">
      <c r="A58" s="337">
        <v>5175</v>
      </c>
      <c r="B58" s="338" t="s">
        <v>563</v>
      </c>
      <c r="C58" s="344">
        <v>3118.34</v>
      </c>
      <c r="D58" s="344">
        <v>1217</v>
      </c>
      <c r="E58" s="344">
        <v>3184.13</v>
      </c>
      <c r="F58" s="344"/>
      <c r="G58" s="339"/>
      <c r="H58" s="339">
        <v>8929.4599999999991</v>
      </c>
      <c r="I58" s="340"/>
      <c r="K58" s="341"/>
    </row>
    <row r="59" spans="1:11">
      <c r="A59" s="337">
        <v>5178</v>
      </c>
      <c r="B59" s="338" t="s">
        <v>564</v>
      </c>
      <c r="C59" s="347"/>
      <c r="D59" s="347"/>
      <c r="E59" s="347"/>
      <c r="F59" s="347"/>
      <c r="G59" s="339"/>
      <c r="H59" s="339"/>
      <c r="I59" s="340"/>
      <c r="K59" s="341"/>
    </row>
    <row r="60" spans="1:11" ht="13.5" thickBot="1">
      <c r="A60" s="358">
        <v>5195</v>
      </c>
      <c r="B60" s="338" t="s">
        <v>565</v>
      </c>
      <c r="C60" s="344"/>
      <c r="D60" s="344"/>
      <c r="E60" s="344"/>
      <c r="F60" s="344"/>
      <c r="G60" s="344"/>
      <c r="H60" s="339"/>
      <c r="I60" s="340"/>
      <c r="K60" s="341"/>
    </row>
    <row r="61" spans="1:11" ht="14.25" thickTop="1" thickBot="1">
      <c r="A61" s="1260" t="s">
        <v>566</v>
      </c>
      <c r="B61" s="1261"/>
      <c r="C61" s="351">
        <f>SUM(C43:C60)</f>
        <v>1502331.25</v>
      </c>
      <c r="D61" s="351">
        <f>SUM(D43:D60)</f>
        <v>1681643</v>
      </c>
      <c r="E61" s="351">
        <f>SUM(E43:E60)</f>
        <v>1497531.44</v>
      </c>
      <c r="F61" s="351">
        <f t="shared" ref="F61:H61" si="2">SUM(F43:F60)</f>
        <v>0</v>
      </c>
      <c r="G61" s="351">
        <f t="shared" si="2"/>
        <v>2339511.8836078169</v>
      </c>
      <c r="H61" s="351">
        <f t="shared" si="2"/>
        <v>2228476.4499999997</v>
      </c>
      <c r="I61" s="359">
        <f>SUM(I43:I60)</f>
        <v>1994618.9281516657</v>
      </c>
      <c r="K61" s="341"/>
    </row>
    <row r="62" spans="1:11" ht="51">
      <c r="A62" s="354" t="s">
        <v>334</v>
      </c>
      <c r="B62" s="355" t="s">
        <v>279</v>
      </c>
      <c r="C62" s="356" t="str">
        <f>C41</f>
        <v>Last Rebasing Year (2009 Actuals)</v>
      </c>
      <c r="D62" s="356" t="str">
        <f>D41</f>
        <v>2010 Actual</v>
      </c>
      <c r="E62" s="356" t="str">
        <f>E41</f>
        <v>2011 Actual²</v>
      </c>
      <c r="F62" s="356" t="str">
        <f t="shared" ref="F62:H62" si="3">F41</f>
        <v>2011 Actual²</v>
      </c>
      <c r="G62" s="356" t="str">
        <f t="shared" si="3"/>
        <v>Bridge Year 2012³</v>
      </c>
      <c r="H62" s="356" t="str">
        <f t="shared" si="3"/>
        <v>Bridge Year 2012 UPDATED</v>
      </c>
      <c r="I62" s="357" t="str">
        <f>I41</f>
        <v>Test Year 2013</v>
      </c>
      <c r="K62" s="341"/>
    </row>
    <row r="63" spans="1:11">
      <c r="A63" s="1255" t="s">
        <v>567</v>
      </c>
      <c r="B63" s="1256"/>
      <c r="C63" s="1256"/>
      <c r="D63" s="1256"/>
      <c r="E63" s="1256"/>
      <c r="F63" s="1256"/>
      <c r="G63" s="1256"/>
      <c r="H63" s="1256"/>
      <c r="I63" s="1257"/>
      <c r="K63" s="341"/>
    </row>
    <row r="64" spans="1:11">
      <c r="A64" s="337">
        <v>5305</v>
      </c>
      <c r="B64" s="338" t="s">
        <v>568</v>
      </c>
      <c r="C64" s="339"/>
      <c r="D64" s="339"/>
      <c r="E64" s="339"/>
      <c r="F64" s="339"/>
      <c r="G64" s="339"/>
      <c r="H64" s="339"/>
      <c r="I64" s="340"/>
      <c r="K64" s="341"/>
    </row>
    <row r="65" spans="1:11">
      <c r="A65" s="337">
        <v>5310</v>
      </c>
      <c r="B65" s="338" t="s">
        <v>569</v>
      </c>
      <c r="C65" s="344">
        <v>224521.35</v>
      </c>
      <c r="D65" s="344">
        <v>227655</v>
      </c>
      <c r="E65" s="344">
        <v>204714.91</v>
      </c>
      <c r="F65" s="344"/>
      <c r="G65" s="339">
        <v>204200</v>
      </c>
      <c r="H65" s="339">
        <v>26298.79</v>
      </c>
      <c r="I65" s="340">
        <v>29200</v>
      </c>
      <c r="K65" s="341"/>
    </row>
    <row r="66" spans="1:11">
      <c r="A66" s="337">
        <v>5315</v>
      </c>
      <c r="B66" s="338" t="s">
        <v>570</v>
      </c>
      <c r="C66" s="347">
        <v>1454081.9</v>
      </c>
      <c r="D66" s="347">
        <v>1328392</v>
      </c>
      <c r="E66" s="347">
        <v>1335739.52</v>
      </c>
      <c r="F66" s="347"/>
      <c r="G66" s="339">
        <v>1037933.47614238</v>
      </c>
      <c r="H66" s="339">
        <v>1245787.96</v>
      </c>
      <c r="I66" s="340">
        <v>1339756.2563489089</v>
      </c>
      <c r="K66" s="341"/>
    </row>
    <row r="67" spans="1:11">
      <c r="A67" s="337">
        <v>5320</v>
      </c>
      <c r="B67" s="338" t="s">
        <v>571</v>
      </c>
      <c r="C67" s="344">
        <v>193042.29</v>
      </c>
      <c r="D67" s="344">
        <v>144250</v>
      </c>
      <c r="E67" s="344">
        <v>203223.48</v>
      </c>
      <c r="F67" s="344"/>
      <c r="G67" s="339">
        <v>251020.03017331503</v>
      </c>
      <c r="H67" s="339">
        <v>212613.28999999998</v>
      </c>
      <c r="I67" s="340">
        <v>247044.39717592919</v>
      </c>
      <c r="K67" s="341"/>
    </row>
    <row r="68" spans="1:11">
      <c r="A68" s="337">
        <v>5325</v>
      </c>
      <c r="B68" s="338" t="s">
        <v>572</v>
      </c>
      <c r="C68" s="344"/>
      <c r="D68" s="344"/>
      <c r="E68" s="344"/>
      <c r="F68" s="344"/>
      <c r="G68" s="339"/>
      <c r="H68" s="339"/>
      <c r="I68" s="340"/>
      <c r="K68" s="341"/>
    </row>
    <row r="69" spans="1:11">
      <c r="A69" s="337">
        <v>5330</v>
      </c>
      <c r="B69" s="338" t="s">
        <v>573</v>
      </c>
      <c r="C69" s="344"/>
      <c r="D69" s="344"/>
      <c r="E69" s="344"/>
      <c r="F69" s="344"/>
      <c r="G69" s="339"/>
      <c r="H69" s="339"/>
      <c r="I69" s="340"/>
      <c r="K69" s="341"/>
    </row>
    <row r="70" spans="1:11">
      <c r="A70" s="337">
        <v>5335</v>
      </c>
      <c r="B70" s="338" t="s">
        <v>574</v>
      </c>
      <c r="C70" s="344">
        <v>148802.57999999999</v>
      </c>
      <c r="D70" s="344">
        <v>105536</v>
      </c>
      <c r="E70" s="344">
        <v>463316.04</v>
      </c>
      <c r="F70" s="344"/>
      <c r="G70" s="339">
        <v>165000</v>
      </c>
      <c r="H70" s="339">
        <v>393301.8</v>
      </c>
      <c r="I70" s="340">
        <v>375108.24</v>
      </c>
      <c r="K70" s="341"/>
    </row>
    <row r="71" spans="1:11" ht="13.5" thickBot="1">
      <c r="A71" s="358">
        <v>5340</v>
      </c>
      <c r="B71" s="338" t="s">
        <v>575</v>
      </c>
      <c r="C71" s="344">
        <v>173656.1</v>
      </c>
      <c r="D71" s="344">
        <v>131443</v>
      </c>
      <c r="E71" s="344">
        <v>114714.1</v>
      </c>
      <c r="F71" s="344"/>
      <c r="G71" s="339">
        <v>121549.91474647465</v>
      </c>
      <c r="H71" s="339">
        <v>92631.9</v>
      </c>
      <c r="I71" s="340">
        <v>122947.56909018299</v>
      </c>
      <c r="K71" s="341"/>
    </row>
    <row r="72" spans="1:11" ht="14.25" thickTop="1" thickBot="1">
      <c r="A72" s="1260" t="s">
        <v>576</v>
      </c>
      <c r="B72" s="1261"/>
      <c r="C72" s="351">
        <f>SUM(C64:C71)</f>
        <v>2194104.2200000002</v>
      </c>
      <c r="D72" s="351">
        <f>SUM(D64:D71)</f>
        <v>1937276</v>
      </c>
      <c r="E72" s="351">
        <f>SUM(E64:E71)</f>
        <v>2321708.0499999998</v>
      </c>
      <c r="F72" s="351">
        <f t="shared" ref="F72:H72" si="4">SUM(F64:F71)</f>
        <v>0</v>
      </c>
      <c r="G72" s="351">
        <f t="shared" si="4"/>
        <v>1779703.4210621696</v>
      </c>
      <c r="H72" s="351">
        <f t="shared" si="4"/>
        <v>1970633.74</v>
      </c>
      <c r="I72" s="359">
        <f>SUM(I64:I71)</f>
        <v>2114056.462615021</v>
      </c>
      <c r="K72" s="341"/>
    </row>
    <row r="73" spans="1:11" ht="51">
      <c r="A73" s="354" t="s">
        <v>334</v>
      </c>
      <c r="B73" s="355" t="s">
        <v>279</v>
      </c>
      <c r="C73" s="356" t="str">
        <f>C62</f>
        <v>Last Rebasing Year (2009 Actuals)</v>
      </c>
      <c r="D73" s="356" t="str">
        <f>D62</f>
        <v>2010 Actual</v>
      </c>
      <c r="E73" s="356" t="str">
        <f>E62</f>
        <v>2011 Actual²</v>
      </c>
      <c r="F73" s="356" t="str">
        <f t="shared" ref="F73:H73" si="5">F62</f>
        <v>2011 Actual²</v>
      </c>
      <c r="G73" s="356" t="str">
        <f t="shared" si="5"/>
        <v>Bridge Year 2012³</v>
      </c>
      <c r="H73" s="356" t="str">
        <f t="shared" si="5"/>
        <v>Bridge Year 2012 UPDATED</v>
      </c>
      <c r="I73" s="357" t="str">
        <f>I62</f>
        <v>Test Year 2013</v>
      </c>
      <c r="K73" s="341"/>
    </row>
    <row r="74" spans="1:11">
      <c r="A74" s="1255" t="s">
        <v>577</v>
      </c>
      <c r="B74" s="1256"/>
      <c r="C74" s="1256"/>
      <c r="D74" s="1256"/>
      <c r="E74" s="1256"/>
      <c r="F74" s="1256"/>
      <c r="G74" s="1256"/>
      <c r="H74" s="1256"/>
      <c r="I74" s="1257"/>
      <c r="K74" s="341"/>
    </row>
    <row r="75" spans="1:11">
      <c r="A75" s="337">
        <v>5405</v>
      </c>
      <c r="B75" s="338" t="s">
        <v>568</v>
      </c>
      <c r="C75" s="339"/>
      <c r="D75" s="339"/>
      <c r="E75" s="339"/>
      <c r="F75" s="339"/>
      <c r="G75" s="339"/>
      <c r="H75" s="339"/>
      <c r="I75" s="340"/>
      <c r="K75" s="341"/>
    </row>
    <row r="76" spans="1:11">
      <c r="A76" s="337">
        <v>5410</v>
      </c>
      <c r="B76" s="338" t="s">
        <v>578</v>
      </c>
      <c r="C76" s="344"/>
      <c r="D76" s="344"/>
      <c r="E76" s="344"/>
      <c r="F76" s="344"/>
      <c r="G76" s="339"/>
      <c r="H76" s="339"/>
      <c r="I76" s="340">
        <v>78108.169853940824</v>
      </c>
      <c r="K76" s="341"/>
    </row>
    <row r="77" spans="1:11">
      <c r="A77" s="337">
        <v>5415</v>
      </c>
      <c r="B77" s="338" t="s">
        <v>579</v>
      </c>
      <c r="C77" s="347">
        <v>142484.07999999999</v>
      </c>
      <c r="D77" s="347">
        <v>343169</v>
      </c>
      <c r="E77" s="347">
        <v>439835.65</v>
      </c>
      <c r="F77" s="347"/>
      <c r="G77" s="339"/>
      <c r="H77" s="339"/>
      <c r="I77" s="340"/>
      <c r="K77" s="341"/>
    </row>
    <row r="78" spans="1:11">
      <c r="A78" s="337">
        <v>5420</v>
      </c>
      <c r="B78" s="338" t="s">
        <v>580</v>
      </c>
      <c r="C78" s="344"/>
      <c r="D78" s="344"/>
      <c r="E78" s="344"/>
      <c r="F78" s="344"/>
      <c r="G78" s="344"/>
      <c r="H78" s="339"/>
      <c r="I78" s="340"/>
      <c r="K78" s="341"/>
    </row>
    <row r="79" spans="1:11">
      <c r="A79" s="337">
        <v>5425</v>
      </c>
      <c r="B79" s="338" t="s">
        <v>581</v>
      </c>
      <c r="C79" s="344"/>
      <c r="D79" s="344"/>
      <c r="E79" s="344"/>
      <c r="F79" s="344"/>
      <c r="G79" s="344"/>
      <c r="H79" s="339"/>
      <c r="I79" s="340"/>
      <c r="K79" s="341"/>
    </row>
    <row r="80" spans="1:11">
      <c r="A80" s="337">
        <v>5505</v>
      </c>
      <c r="B80" s="338" t="s">
        <v>568</v>
      </c>
      <c r="C80" s="344"/>
      <c r="D80" s="344"/>
      <c r="E80" s="344"/>
      <c r="F80" s="344"/>
      <c r="G80" s="344"/>
      <c r="H80" s="339"/>
      <c r="I80" s="340"/>
      <c r="K80" s="341"/>
    </row>
    <row r="81" spans="1:11">
      <c r="A81" s="337">
        <v>5510</v>
      </c>
      <c r="B81" s="338" t="s">
        <v>582</v>
      </c>
      <c r="C81" s="344"/>
      <c r="D81" s="344"/>
      <c r="E81" s="344"/>
      <c r="F81" s="344"/>
      <c r="G81" s="344"/>
      <c r="H81" s="339"/>
      <c r="I81" s="340"/>
      <c r="K81" s="341"/>
    </row>
    <row r="82" spans="1:11">
      <c r="A82" s="337">
        <v>5515</v>
      </c>
      <c r="B82" s="338" t="s">
        <v>583</v>
      </c>
      <c r="C82" s="344"/>
      <c r="D82" s="344"/>
      <c r="E82" s="344"/>
      <c r="F82" s="344"/>
      <c r="G82" s="344"/>
      <c r="H82" s="339"/>
      <c r="I82" s="340"/>
      <c r="K82" s="341"/>
    </row>
    <row r="83" spans="1:11" ht="13.5" thickBot="1">
      <c r="A83" s="345">
        <v>5520</v>
      </c>
      <c r="B83" s="338" t="s">
        <v>584</v>
      </c>
      <c r="C83" s="344"/>
      <c r="D83" s="360"/>
      <c r="E83" s="344"/>
      <c r="F83" s="344"/>
      <c r="G83" s="344"/>
      <c r="H83" s="339"/>
      <c r="I83" s="361"/>
      <c r="K83" s="341"/>
    </row>
    <row r="84" spans="1:11" ht="14.25" thickTop="1" thickBot="1">
      <c r="A84" s="362" t="s">
        <v>585</v>
      </c>
      <c r="B84" s="363"/>
      <c r="C84" s="351">
        <f>SUM(C75:C83)</f>
        <v>142484.07999999999</v>
      </c>
      <c r="D84" s="351">
        <f>SUM(D75:D83)</f>
        <v>343169</v>
      </c>
      <c r="E84" s="351">
        <f>SUM(E75:E83)</f>
        <v>439835.65</v>
      </c>
      <c r="F84" s="351">
        <f t="shared" ref="F84:H84" si="6">SUM(F75:F83)</f>
        <v>0</v>
      </c>
      <c r="G84" s="351">
        <f t="shared" si="6"/>
        <v>0</v>
      </c>
      <c r="H84" s="351">
        <f t="shared" si="6"/>
        <v>0</v>
      </c>
      <c r="I84" s="353">
        <f>SUM(I75:I83)</f>
        <v>78108.169853940824</v>
      </c>
      <c r="K84" s="341"/>
    </row>
    <row r="85" spans="1:11" ht="51">
      <c r="A85" s="354" t="s">
        <v>334</v>
      </c>
      <c r="B85" s="355" t="s">
        <v>279</v>
      </c>
      <c r="C85" s="356" t="str">
        <f>C73</f>
        <v>Last Rebasing Year (2009 Actuals)</v>
      </c>
      <c r="D85" s="356" t="str">
        <f>D73</f>
        <v>2010 Actual</v>
      </c>
      <c r="E85" s="356" t="str">
        <f>E73</f>
        <v>2011 Actual²</v>
      </c>
      <c r="F85" s="356" t="str">
        <f t="shared" ref="F85:H85" si="7">F73</f>
        <v>2011 Actual²</v>
      </c>
      <c r="G85" s="356" t="str">
        <f t="shared" si="7"/>
        <v>Bridge Year 2012³</v>
      </c>
      <c r="H85" s="356" t="str">
        <f t="shared" si="7"/>
        <v>Bridge Year 2012 UPDATED</v>
      </c>
      <c r="I85" s="357" t="str">
        <f>I73</f>
        <v>Test Year 2013</v>
      </c>
      <c r="K85" s="341"/>
    </row>
    <row r="86" spans="1:11">
      <c r="A86" s="1255" t="s">
        <v>586</v>
      </c>
      <c r="B86" s="1256"/>
      <c r="C86" s="1256"/>
      <c r="D86" s="1256"/>
      <c r="E86" s="1256"/>
      <c r="F86" s="1256"/>
      <c r="G86" s="1256"/>
      <c r="H86" s="1256"/>
      <c r="I86" s="1257"/>
      <c r="K86" s="341"/>
    </row>
    <row r="87" spans="1:11">
      <c r="A87" s="337">
        <v>5605</v>
      </c>
      <c r="B87" s="338" t="s">
        <v>587</v>
      </c>
      <c r="C87" s="364">
        <v>426684.63</v>
      </c>
      <c r="D87" s="364">
        <v>501466</v>
      </c>
      <c r="E87" s="364">
        <v>417192.5</v>
      </c>
      <c r="F87" s="365"/>
      <c r="G87" s="339">
        <v>452203.24140229897</v>
      </c>
      <c r="H87" s="339">
        <v>495830.08999999997</v>
      </c>
      <c r="I87" s="340">
        <v>523280.07755725831</v>
      </c>
      <c r="K87" s="341"/>
    </row>
    <row r="88" spans="1:11">
      <c r="A88" s="337">
        <v>5610</v>
      </c>
      <c r="B88" s="338" t="s">
        <v>588</v>
      </c>
      <c r="C88" s="47">
        <v>509971.6</v>
      </c>
      <c r="D88" s="47">
        <v>451456</v>
      </c>
      <c r="E88" s="47">
        <v>465059.62</v>
      </c>
      <c r="F88" s="366"/>
      <c r="G88" s="339">
        <v>541149.95392831694</v>
      </c>
      <c r="H88" s="339">
        <v>407271.70999999996</v>
      </c>
      <c r="I88" s="340">
        <v>551537.10410169559</v>
      </c>
      <c r="K88" s="341"/>
    </row>
    <row r="89" spans="1:11">
      <c r="A89" s="337">
        <v>5615</v>
      </c>
      <c r="B89" s="338" t="s">
        <v>589</v>
      </c>
      <c r="C89" s="53">
        <v>492148.42</v>
      </c>
      <c r="D89" s="53">
        <v>529316</v>
      </c>
      <c r="E89" s="53">
        <v>466709.02</v>
      </c>
      <c r="F89" s="367"/>
      <c r="G89" s="339">
        <v>666395.59417358309</v>
      </c>
      <c r="H89" s="339">
        <v>571156.72000000009</v>
      </c>
      <c r="I89" s="340">
        <v>659248.13719609147</v>
      </c>
      <c r="K89" s="341"/>
    </row>
    <row r="90" spans="1:11">
      <c r="A90" s="337">
        <v>5620</v>
      </c>
      <c r="B90" s="338" t="s">
        <v>590</v>
      </c>
      <c r="C90" s="47">
        <v>65800.98</v>
      </c>
      <c r="D90" s="47">
        <v>88610</v>
      </c>
      <c r="E90" s="47">
        <v>81723.45</v>
      </c>
      <c r="F90" s="366"/>
      <c r="G90" s="339">
        <v>249355.06028784154</v>
      </c>
      <c r="H90" s="339">
        <v>178194.59999999998</v>
      </c>
      <c r="I90" s="340">
        <v>312493.49210327829</v>
      </c>
      <c r="K90" s="341"/>
    </row>
    <row r="91" spans="1:11">
      <c r="A91" s="337">
        <v>5625</v>
      </c>
      <c r="B91" s="338" t="s">
        <v>591</v>
      </c>
      <c r="C91" s="47"/>
      <c r="D91" s="47"/>
      <c r="E91" s="47"/>
      <c r="F91" s="366"/>
      <c r="G91" s="339"/>
      <c r="H91" s="339"/>
      <c r="I91" s="340"/>
      <c r="K91" s="341"/>
    </row>
    <row r="92" spans="1:11">
      <c r="A92" s="337">
        <v>5630</v>
      </c>
      <c r="B92" s="338" t="s">
        <v>592</v>
      </c>
      <c r="C92" s="47">
        <v>60163</v>
      </c>
      <c r="D92" s="47">
        <v>41900</v>
      </c>
      <c r="E92" s="47">
        <v>53650</v>
      </c>
      <c r="F92" s="366"/>
      <c r="G92" s="339"/>
      <c r="H92" s="339">
        <v>62063.99</v>
      </c>
      <c r="I92" s="340"/>
      <c r="K92" s="341"/>
    </row>
    <row r="93" spans="1:11">
      <c r="A93" s="337">
        <v>5635</v>
      </c>
      <c r="B93" s="338" t="s">
        <v>593</v>
      </c>
      <c r="C93" s="47"/>
      <c r="D93" s="47"/>
      <c r="E93" s="47"/>
      <c r="F93" s="366"/>
      <c r="G93" s="339"/>
      <c r="H93" s="339"/>
      <c r="I93" s="340"/>
      <c r="K93" s="341"/>
    </row>
    <row r="94" spans="1:11">
      <c r="A94" s="337">
        <v>5640</v>
      </c>
      <c r="B94" s="338" t="s">
        <v>594</v>
      </c>
      <c r="C94" s="47">
        <v>314078.73</v>
      </c>
      <c r="D94" s="47">
        <v>-284366</v>
      </c>
      <c r="E94" s="47">
        <v>17883.669999999998</v>
      </c>
      <c r="F94" s="366"/>
      <c r="G94" s="339"/>
      <c r="H94" s="339"/>
      <c r="I94" s="340"/>
      <c r="K94" s="341"/>
    </row>
    <row r="95" spans="1:11">
      <c r="A95" s="337">
        <v>5645</v>
      </c>
      <c r="B95" s="368" t="s">
        <v>595</v>
      </c>
      <c r="C95" s="47"/>
      <c r="D95" s="47">
        <v>-2780264</v>
      </c>
      <c r="E95" s="47">
        <v>1280544</v>
      </c>
      <c r="F95" s="366"/>
      <c r="G95" s="339"/>
      <c r="H95" s="339">
        <v>1455379.62</v>
      </c>
      <c r="I95" s="340">
        <v>0</v>
      </c>
      <c r="K95" s="341"/>
    </row>
    <row r="96" spans="1:11">
      <c r="A96" s="337">
        <v>5646</v>
      </c>
      <c r="B96" s="368" t="s">
        <v>596</v>
      </c>
      <c r="C96" s="47"/>
      <c r="D96" s="47"/>
      <c r="E96" s="47"/>
      <c r="F96" s="366"/>
      <c r="G96" s="339"/>
      <c r="H96" s="339"/>
      <c r="I96" s="340"/>
      <c r="K96" s="341"/>
    </row>
    <row r="97" spans="1:11">
      <c r="A97" s="337">
        <v>5647</v>
      </c>
      <c r="B97" s="368" t="s">
        <v>597</v>
      </c>
      <c r="C97" s="47"/>
      <c r="D97" s="47"/>
      <c r="E97" s="47"/>
      <c r="F97" s="366"/>
      <c r="G97" s="339"/>
      <c r="H97" s="339"/>
      <c r="I97" s="340"/>
      <c r="K97" s="341"/>
    </row>
    <row r="98" spans="1:11">
      <c r="A98" s="337">
        <v>5650</v>
      </c>
      <c r="B98" s="338" t="s">
        <v>598</v>
      </c>
      <c r="C98" s="47"/>
      <c r="D98" s="47"/>
      <c r="E98" s="47"/>
      <c r="F98" s="366"/>
      <c r="G98" s="339"/>
      <c r="H98" s="339"/>
      <c r="I98" s="340"/>
      <c r="K98" s="341"/>
    </row>
    <row r="99" spans="1:11">
      <c r="A99" s="337">
        <v>5655</v>
      </c>
      <c r="B99" s="338" t="s">
        <v>599</v>
      </c>
      <c r="C99" s="47">
        <v>553280.79</v>
      </c>
      <c r="D99" s="47">
        <v>208573</v>
      </c>
      <c r="E99" s="47">
        <v>275241.37</v>
      </c>
      <c r="F99" s="366"/>
      <c r="G99" s="339">
        <v>517527.57161836536</v>
      </c>
      <c r="H99" s="339">
        <v>393024.13</v>
      </c>
      <c r="I99" s="340">
        <v>486839.3845379983</v>
      </c>
      <c r="K99" s="341"/>
    </row>
    <row r="100" spans="1:11">
      <c r="A100" s="337">
        <v>5660</v>
      </c>
      <c r="B100" s="338" t="s">
        <v>600</v>
      </c>
      <c r="C100" s="47">
        <v>49394.94</v>
      </c>
      <c r="D100" s="47">
        <v>103092</v>
      </c>
      <c r="E100" s="47">
        <v>34408.25</v>
      </c>
      <c r="F100" s="366"/>
      <c r="G100" s="339">
        <v>49361.267200772614</v>
      </c>
      <c r="H100" s="339">
        <v>14304.02</v>
      </c>
      <c r="I100" s="340">
        <v>52869.226127386515</v>
      </c>
      <c r="K100" s="341"/>
    </row>
    <row r="101" spans="1:11">
      <c r="A101" s="337">
        <v>5665</v>
      </c>
      <c r="B101" s="338" t="s">
        <v>601</v>
      </c>
      <c r="C101" s="47">
        <v>319088.65999999997</v>
      </c>
      <c r="D101" s="47">
        <v>402942</v>
      </c>
      <c r="E101" s="47">
        <v>380098.41</v>
      </c>
      <c r="F101" s="366"/>
      <c r="G101" s="339">
        <v>317562</v>
      </c>
      <c r="H101" s="339">
        <v>163259.96</v>
      </c>
      <c r="I101" s="340">
        <v>551026.94400000002</v>
      </c>
      <c r="K101" s="341"/>
    </row>
    <row r="102" spans="1:11">
      <c r="A102" s="337">
        <v>5670</v>
      </c>
      <c r="B102" s="338" t="s">
        <v>602</v>
      </c>
      <c r="C102" s="47">
        <v>185789.6</v>
      </c>
      <c r="D102" s="47">
        <v>274536</v>
      </c>
      <c r="E102" s="47">
        <v>313629.27</v>
      </c>
      <c r="F102" s="47"/>
      <c r="G102" s="339">
        <v>226614.21673811751</v>
      </c>
      <c r="H102" s="339">
        <v>226614</v>
      </c>
      <c r="I102" s="340">
        <v>62000</v>
      </c>
      <c r="K102" s="341"/>
    </row>
    <row r="103" spans="1:11">
      <c r="A103" s="369">
        <v>5672</v>
      </c>
      <c r="B103" s="368" t="s">
        <v>603</v>
      </c>
      <c r="C103" s="47"/>
      <c r="D103" s="47"/>
      <c r="E103" s="47"/>
      <c r="F103" s="47"/>
      <c r="G103" s="339"/>
      <c r="H103" s="339"/>
      <c r="I103" s="340"/>
      <c r="K103" s="341"/>
    </row>
    <row r="104" spans="1:11">
      <c r="A104" s="337">
        <v>5675</v>
      </c>
      <c r="B104" s="338" t="s">
        <v>604</v>
      </c>
      <c r="C104" s="47">
        <v>967442.91</v>
      </c>
      <c r="D104" s="47">
        <v>974850</v>
      </c>
      <c r="E104" s="47">
        <v>1143724.06</v>
      </c>
      <c r="F104" s="47"/>
      <c r="G104" s="339">
        <v>0</v>
      </c>
      <c r="H104" s="339">
        <v>0</v>
      </c>
      <c r="I104" s="340">
        <v>34797.578848995443</v>
      </c>
      <c r="K104" s="341"/>
    </row>
    <row r="105" spans="1:11">
      <c r="A105" s="337">
        <v>5680</v>
      </c>
      <c r="B105" s="338" t="s">
        <v>605</v>
      </c>
      <c r="C105" s="47"/>
      <c r="D105" s="47"/>
      <c r="E105" s="47"/>
      <c r="F105" s="47"/>
      <c r="G105" s="339"/>
      <c r="H105" s="339"/>
      <c r="I105" s="340"/>
      <c r="K105" s="341"/>
    </row>
    <row r="106" spans="1:11">
      <c r="A106" s="369">
        <v>5681</v>
      </c>
      <c r="B106" s="368" t="s">
        <v>606</v>
      </c>
      <c r="C106" s="47"/>
      <c r="D106" s="47">
        <v>232809.60000000001</v>
      </c>
      <c r="E106" s="47">
        <v>138035.79999999999</v>
      </c>
      <c r="F106" s="47"/>
      <c r="G106" s="339"/>
      <c r="H106" s="339"/>
      <c r="I106" s="340"/>
      <c r="K106" s="341"/>
    </row>
    <row r="107" spans="1:11">
      <c r="A107" s="337">
        <v>5685</v>
      </c>
      <c r="B107" s="338" t="s">
        <v>607</v>
      </c>
      <c r="C107" s="53"/>
      <c r="D107" s="53"/>
      <c r="E107" s="53"/>
      <c r="F107" s="53"/>
      <c r="G107" s="339"/>
      <c r="H107" s="339"/>
      <c r="I107" s="340"/>
      <c r="K107" s="341"/>
    </row>
    <row r="108" spans="1:11">
      <c r="A108" s="337">
        <v>5695</v>
      </c>
      <c r="B108" s="338" t="s">
        <v>608</v>
      </c>
      <c r="C108" s="47"/>
      <c r="D108" s="47"/>
      <c r="E108" s="47"/>
      <c r="F108" s="47"/>
      <c r="G108" s="339"/>
      <c r="H108" s="339"/>
      <c r="I108" s="340"/>
      <c r="K108" s="341"/>
    </row>
    <row r="109" spans="1:11">
      <c r="A109" s="342">
        <v>6205</v>
      </c>
      <c r="B109" s="368" t="s">
        <v>609</v>
      </c>
      <c r="C109" s="47">
        <v>202000</v>
      </c>
      <c r="D109" s="47"/>
      <c r="E109" s="47"/>
      <c r="F109" s="47"/>
      <c r="G109" s="339"/>
      <c r="H109" s="339"/>
      <c r="I109" s="340"/>
      <c r="K109" s="341"/>
    </row>
    <row r="110" spans="1:11" ht="13.5" thickBot="1">
      <c r="A110" s="348">
        <v>6205</v>
      </c>
      <c r="B110" s="370" t="s">
        <v>610</v>
      </c>
      <c r="C110" s="53"/>
      <c r="D110" s="53"/>
      <c r="E110" s="53">
        <v>27000</v>
      </c>
      <c r="F110" s="53"/>
      <c r="G110" s="339">
        <v>27000</v>
      </c>
      <c r="H110" s="339">
        <v>27000</v>
      </c>
      <c r="I110" s="340">
        <v>27000</v>
      </c>
      <c r="K110" s="341"/>
    </row>
    <row r="111" spans="1:11" ht="14.25" thickTop="1" thickBot="1">
      <c r="A111" s="371" t="s">
        <v>611</v>
      </c>
      <c r="B111" s="363"/>
      <c r="C111" s="351">
        <f>SUM(C87:C110)</f>
        <v>4145844.2600000002</v>
      </c>
      <c r="D111" s="351">
        <f t="shared" ref="D111:I111" si="8">SUM(D87:D110)</f>
        <v>744920.6</v>
      </c>
      <c r="E111" s="351">
        <f t="shared" si="8"/>
        <v>5094899.42</v>
      </c>
      <c r="F111" s="351">
        <f t="shared" si="8"/>
        <v>0</v>
      </c>
      <c r="G111" s="351">
        <f t="shared" si="8"/>
        <v>3047168.9053492961</v>
      </c>
      <c r="H111" s="351">
        <f t="shared" si="8"/>
        <v>3994098.8400000003</v>
      </c>
      <c r="I111" s="351">
        <f t="shared" si="8"/>
        <v>3261091.9444727036</v>
      </c>
      <c r="K111" s="341"/>
    </row>
    <row r="112" spans="1:11" ht="13.5" thickBot="1">
      <c r="A112" s="1262" t="s">
        <v>612</v>
      </c>
      <c r="B112" s="1263"/>
      <c r="C112" s="372">
        <f>C40+C61+C72+C84+C111</f>
        <v>11636818.07</v>
      </c>
      <c r="D112" s="372">
        <f>D40+D61+D72+D84+D111</f>
        <v>8139880.5999999996</v>
      </c>
      <c r="E112" s="373">
        <f>E40+E61+E72+E84+E111</f>
        <v>13117276.84</v>
      </c>
      <c r="F112" s="373">
        <f t="shared" ref="F112:H112" si="9">F40+F61+F72+F84+F111</f>
        <v>0</v>
      </c>
      <c r="G112" s="373">
        <f t="shared" si="9"/>
        <v>12323003.35232687</v>
      </c>
      <c r="H112" s="373">
        <f t="shared" si="9"/>
        <v>13049079.51</v>
      </c>
      <c r="I112" s="374">
        <f>I40+I61+I72+I84+I111</f>
        <v>14189616.76282287</v>
      </c>
      <c r="K112" s="341"/>
    </row>
    <row r="113" spans="1:11" ht="13.5" thickBot="1">
      <c r="A113" s="1264" t="s">
        <v>613</v>
      </c>
      <c r="B113" s="1265"/>
      <c r="C113" s="375"/>
      <c r="D113" s="375"/>
      <c r="E113" s="375"/>
      <c r="F113" s="375"/>
      <c r="G113" s="375"/>
      <c r="H113" s="376"/>
      <c r="I113" s="377"/>
      <c r="K113" s="341"/>
    </row>
    <row r="114" spans="1:11">
      <c r="A114" s="378">
        <v>5681</v>
      </c>
      <c r="B114" s="379" t="s">
        <v>606</v>
      </c>
      <c r="C114" s="380">
        <f t="shared" ref="C114:D114" si="10">C106</f>
        <v>0</v>
      </c>
      <c r="D114" s="380">
        <f t="shared" si="10"/>
        <v>232809.60000000001</v>
      </c>
      <c r="E114" s="380">
        <f>E106</f>
        <v>138035.79999999999</v>
      </c>
      <c r="F114" s="380">
        <f t="shared" ref="F114:I114" si="11">F106</f>
        <v>0</v>
      </c>
      <c r="G114" s="380">
        <f t="shared" si="11"/>
        <v>0</v>
      </c>
      <c r="H114" s="339"/>
      <c r="I114" s="381">
        <f t="shared" si="11"/>
        <v>0</v>
      </c>
      <c r="K114" s="341"/>
    </row>
    <row r="115" spans="1:11" ht="14.25">
      <c r="A115" s="342">
        <v>6205</v>
      </c>
      <c r="B115" s="368" t="s">
        <v>614</v>
      </c>
      <c r="C115" s="344">
        <f>C109</f>
        <v>202000</v>
      </c>
      <c r="D115" s="344">
        <f t="shared" ref="D115:I115" si="12">D109</f>
        <v>0</v>
      </c>
      <c r="E115" s="344">
        <f t="shared" si="12"/>
        <v>0</v>
      </c>
      <c r="F115" s="344">
        <f t="shared" si="12"/>
        <v>0</v>
      </c>
      <c r="G115" s="344">
        <f t="shared" si="12"/>
        <v>0</v>
      </c>
      <c r="H115" s="339"/>
      <c r="I115" s="382">
        <f t="shared" si="12"/>
        <v>0</v>
      </c>
      <c r="K115" s="341"/>
    </row>
    <row r="116" spans="1:11">
      <c r="A116" s="383"/>
      <c r="B116" s="384"/>
      <c r="C116" s="344"/>
      <c r="D116" s="344"/>
      <c r="E116" s="344"/>
      <c r="F116" s="344"/>
      <c r="G116" s="344"/>
      <c r="H116" s="339"/>
      <c r="I116" s="385"/>
      <c r="K116" s="341"/>
    </row>
    <row r="117" spans="1:11">
      <c r="A117" s="383"/>
      <c r="B117" s="384"/>
      <c r="C117" s="344"/>
      <c r="D117" s="344"/>
      <c r="E117" s="344"/>
      <c r="F117" s="344"/>
      <c r="G117" s="344"/>
      <c r="H117" s="339"/>
      <c r="I117" s="385"/>
      <c r="K117" s="341"/>
    </row>
    <row r="118" spans="1:11" ht="13.5" thickBot="1">
      <c r="A118" s="386"/>
      <c r="B118" s="387"/>
      <c r="C118" s="388"/>
      <c r="D118" s="388"/>
      <c r="E118" s="388"/>
      <c r="F118" s="388"/>
      <c r="G118" s="388"/>
      <c r="H118" s="339"/>
      <c r="I118" s="389"/>
      <c r="K118" s="341"/>
    </row>
    <row r="119" spans="1:11" ht="13.5" thickBot="1">
      <c r="A119" s="1233" t="s">
        <v>615</v>
      </c>
      <c r="B119" s="1234"/>
      <c r="C119" s="372">
        <f>C112-SUM(C114:C118)</f>
        <v>11434818.07</v>
      </c>
      <c r="D119" s="372">
        <f t="shared" ref="D119:I119" si="13">D112-SUM(D114:D118)</f>
        <v>7907071</v>
      </c>
      <c r="E119" s="372">
        <f t="shared" si="13"/>
        <v>12979241.039999999</v>
      </c>
      <c r="F119" s="372">
        <f t="shared" ref="F119:H119" si="14">F112-SUM(F114:F118)</f>
        <v>0</v>
      </c>
      <c r="G119" s="372">
        <f t="shared" si="14"/>
        <v>12323003.35232687</v>
      </c>
      <c r="H119" s="372">
        <f t="shared" si="14"/>
        <v>13049079.51</v>
      </c>
      <c r="I119" s="374">
        <f t="shared" si="13"/>
        <v>14189616.76282287</v>
      </c>
      <c r="K119" s="341"/>
    </row>
    <row r="121" spans="1:11" ht="14.25">
      <c r="A121" s="10" t="s">
        <v>616</v>
      </c>
    </row>
    <row r="122" spans="1:11" ht="14.25">
      <c r="A122" s="390"/>
    </row>
    <row r="123" spans="1:11">
      <c r="A123" s="391" t="s">
        <v>617</v>
      </c>
    </row>
    <row r="124" spans="1:11" ht="35.25" customHeight="1">
      <c r="A124" s="326">
        <v>1</v>
      </c>
      <c r="B124" s="1252" t="s">
        <v>618</v>
      </c>
      <c r="C124" s="1252"/>
      <c r="D124" s="1252"/>
      <c r="E124" s="1252"/>
      <c r="F124" s="1252"/>
      <c r="G124" s="1252"/>
      <c r="H124" s="1252"/>
      <c r="I124" s="1252"/>
    </row>
    <row r="125" spans="1:11" ht="24.75" customHeight="1">
      <c r="A125" s="326">
        <v>2</v>
      </c>
      <c r="B125" s="1251" t="s">
        <v>516</v>
      </c>
      <c r="C125" s="1252"/>
      <c r="D125" s="1252"/>
      <c r="E125" s="1252"/>
      <c r="F125" s="1252"/>
      <c r="G125" s="1252"/>
      <c r="H125" s="1252"/>
      <c r="I125" s="1252"/>
    </row>
    <row r="126" spans="1:11" ht="32.25" customHeight="1">
      <c r="A126" s="326">
        <v>3</v>
      </c>
      <c r="B126" s="1251" t="s">
        <v>517</v>
      </c>
      <c r="C126" s="1252"/>
      <c r="D126" s="1252"/>
      <c r="E126" s="1252"/>
      <c r="F126" s="1252"/>
      <c r="G126" s="1252"/>
      <c r="H126" s="1252"/>
      <c r="I126" s="1252"/>
    </row>
  </sheetData>
  <mergeCells count="19">
    <mergeCell ref="B126:I126"/>
    <mergeCell ref="A86:I86"/>
    <mergeCell ref="A112:B112"/>
    <mergeCell ref="A113:B113"/>
    <mergeCell ref="A119:B119"/>
    <mergeCell ref="B124:I124"/>
    <mergeCell ref="B125:I125"/>
    <mergeCell ref="A74:I74"/>
    <mergeCell ref="A9:I9"/>
    <mergeCell ref="A10:I10"/>
    <mergeCell ref="A11:I11"/>
    <mergeCell ref="E13:F13"/>
    <mergeCell ref="G13:H13"/>
    <mergeCell ref="A16:I16"/>
    <mergeCell ref="A40:B40"/>
    <mergeCell ref="A42:I42"/>
    <mergeCell ref="A61:B61"/>
    <mergeCell ref="A63:I63"/>
    <mergeCell ref="A72:B72"/>
  </mergeCells>
  <dataValidations count="1">
    <dataValidation type="list" allowBlank="1" showInputMessage="1" showErrorMessage="1" sqref="C15:I15">
      <formula1>"CGAAP, MIFRS, USGAAP, ASPE"</formula1>
    </dataValidation>
  </dataValidations>
  <pageMargins left="0.74803149606299213" right="0.74803149606299213" top="0.98425196850393704" bottom="0.98425196850393704" header="0.51181102362204722" footer="0.51181102362204722"/>
  <pageSetup scale="58" fitToHeight="0" orientation="portrait" copies="4" r:id="rId1"/>
  <headerFooter alignWithMargins="0"/>
</worksheet>
</file>

<file path=xl/worksheets/sheet17.xml><?xml version="1.0" encoding="utf-8"?>
<worksheet xmlns="http://schemas.openxmlformats.org/spreadsheetml/2006/main" xmlns:r="http://schemas.openxmlformats.org/officeDocument/2006/relationships">
  <dimension ref="A1:L128"/>
  <sheetViews>
    <sheetView showGridLines="0" zoomScaleNormal="100" workbookViewId="0">
      <pane ySplit="15" topLeftCell="A16" activePane="bottomLeft" state="frozen"/>
      <selection activeCell="J24" sqref="J24"/>
      <selection pane="bottomLeft" activeCell="J24" sqref="J24"/>
    </sheetView>
  </sheetViews>
  <sheetFormatPr defaultRowHeight="12.75"/>
  <cols>
    <col min="2" max="2" width="67.140625" customWidth="1"/>
    <col min="3" max="3" width="12.7109375" customWidth="1"/>
    <col min="4" max="4" width="12.42578125" bestFit="1" customWidth="1"/>
    <col min="5" max="5" width="13.42578125" bestFit="1" customWidth="1"/>
    <col min="6" max="9" width="12.7109375" customWidth="1"/>
  </cols>
  <sheetData>
    <row r="1" spans="1:12">
      <c r="H1" s="31" t="s">
        <v>131</v>
      </c>
      <c r="I1" s="32" t="str">
        <f>'LDC Info'!$E$18</f>
        <v>EB-2012-0126</v>
      </c>
    </row>
    <row r="2" spans="1:12">
      <c r="H2" s="31" t="s">
        <v>132</v>
      </c>
      <c r="I2" s="33"/>
    </row>
    <row r="3" spans="1:12">
      <c r="H3" s="31" t="s">
        <v>133</v>
      </c>
      <c r="I3" s="33"/>
    </row>
    <row r="4" spans="1:12">
      <c r="H4" s="31" t="s">
        <v>134</v>
      </c>
      <c r="I4" s="33"/>
    </row>
    <row r="5" spans="1:12">
      <c r="H5" s="31" t="s">
        <v>135</v>
      </c>
      <c r="I5" s="34"/>
    </row>
    <row r="6" spans="1:12">
      <c r="H6" s="31"/>
      <c r="I6" s="32"/>
    </row>
    <row r="7" spans="1:12">
      <c r="H7" s="31" t="s">
        <v>136</v>
      </c>
      <c r="I7" s="34" t="s">
        <v>1171</v>
      </c>
    </row>
    <row r="9" spans="1:12" ht="18">
      <c r="A9" s="1215" t="s">
        <v>619</v>
      </c>
      <c r="B9" s="1215"/>
      <c r="C9" s="1215"/>
      <c r="D9" s="1215"/>
      <c r="E9" s="1215"/>
      <c r="F9" s="1215"/>
      <c r="G9" s="1215"/>
      <c r="H9" s="1215"/>
      <c r="I9" s="1215"/>
    </row>
    <row r="10" spans="1:12" ht="18">
      <c r="A10" s="1215" t="s">
        <v>620</v>
      </c>
      <c r="B10" s="1215"/>
      <c r="C10" s="1215"/>
      <c r="D10" s="1215"/>
      <c r="E10" s="1215"/>
      <c r="F10" s="1215"/>
      <c r="G10" s="1215"/>
      <c r="H10" s="1215"/>
      <c r="I10" s="1215"/>
    </row>
    <row r="11" spans="1:12" ht="15.75">
      <c r="A11" s="1258" t="s">
        <v>520</v>
      </c>
      <c r="B11" s="1258"/>
      <c r="C11" s="1258"/>
      <c r="D11" s="1258"/>
      <c r="E11" s="1258"/>
      <c r="F11" s="1258"/>
      <c r="G11" s="1258"/>
      <c r="H11" s="1258"/>
      <c r="I11" s="1258"/>
    </row>
    <row r="13" spans="1:12" ht="13.5" thickBot="1"/>
    <row r="14" spans="1:12" ht="53.25" customHeight="1">
      <c r="A14" s="1266" t="s">
        <v>334</v>
      </c>
      <c r="B14" s="1266" t="s">
        <v>279</v>
      </c>
      <c r="C14" s="1268" t="str">
        <f>"Last Board-approved Rebasing Year ("&amp;'LDC Info'!E30&amp;" Year)"</f>
        <v>Last Board-approved Rebasing Year (2009 Year)</v>
      </c>
      <c r="D14" s="1270" t="s">
        <v>621</v>
      </c>
      <c r="E14" s="1268" t="str">
        <f>"Test Year " &amp; 'LDC Info'!E28</f>
        <v>Test Year 2013</v>
      </c>
      <c r="F14" s="1272" t="s">
        <v>622</v>
      </c>
      <c r="G14" s="1273"/>
      <c r="H14" s="1272" t="s">
        <v>623</v>
      </c>
      <c r="I14" s="1273"/>
    </row>
    <row r="15" spans="1:12" ht="12.75" customHeight="1" thickBot="1">
      <c r="A15" s="1267"/>
      <c r="B15" s="1267"/>
      <c r="C15" s="1269"/>
      <c r="D15" s="1271"/>
      <c r="E15" s="1269"/>
      <c r="F15" s="392" t="s">
        <v>624</v>
      </c>
      <c r="G15" s="392" t="s">
        <v>625</v>
      </c>
      <c r="H15" s="393" t="s">
        <v>624</v>
      </c>
      <c r="I15" s="394" t="s">
        <v>625</v>
      </c>
      <c r="J15" s="395"/>
      <c r="L15" s="395"/>
    </row>
    <row r="16" spans="1:12" ht="12.75" customHeight="1">
      <c r="A16" s="396" t="s">
        <v>142</v>
      </c>
      <c r="B16" s="397"/>
      <c r="C16" s="398" t="s">
        <v>143</v>
      </c>
      <c r="D16" s="398" t="s">
        <v>143</v>
      </c>
      <c r="E16" s="398" t="s">
        <v>143</v>
      </c>
      <c r="F16" s="399"/>
      <c r="G16" s="399"/>
      <c r="H16" s="400"/>
      <c r="I16" s="401"/>
    </row>
    <row r="17" spans="1:10">
      <c r="A17" s="1255" t="s">
        <v>522</v>
      </c>
      <c r="B17" s="1256"/>
      <c r="C17" s="1256"/>
      <c r="D17" s="1256"/>
      <c r="E17" s="1256"/>
      <c r="F17" s="1256"/>
      <c r="G17" s="1256"/>
      <c r="H17" s="1256"/>
      <c r="I17" s="1257"/>
    </row>
    <row r="18" spans="1:10">
      <c r="A18" s="337">
        <v>5005</v>
      </c>
      <c r="B18" s="338" t="s">
        <v>523</v>
      </c>
      <c r="C18" s="175">
        <v>727708.88</v>
      </c>
      <c r="D18" s="175">
        <v>903975.76</v>
      </c>
      <c r="E18" s="402">
        <f>VLOOKUP(A18,'App.2-G_Detailed_OM&amp;A'!$A$17:$I$119,9,FALSE)</f>
        <v>1374757.6252650237</v>
      </c>
      <c r="F18" s="403">
        <f>E18-C18</f>
        <v>647048.74526502367</v>
      </c>
      <c r="G18" s="404">
        <f>IF(C18=0,"",(E18/C18)-1)</f>
        <v>0.88915878732306197</v>
      </c>
      <c r="H18" s="403">
        <f>E18-D18</f>
        <v>470781.86526502366</v>
      </c>
      <c r="I18" s="405">
        <f>IF(D18=0,"",(E18/D18)-1)</f>
        <v>0.52079036418523406</v>
      </c>
      <c r="J18" s="10"/>
    </row>
    <row r="19" spans="1:10">
      <c r="A19" s="342">
        <v>5010</v>
      </c>
      <c r="B19" s="343" t="s">
        <v>524</v>
      </c>
      <c r="C19" s="175">
        <v>594072.09</v>
      </c>
      <c r="D19" s="175">
        <v>500314.99</v>
      </c>
      <c r="E19" s="402">
        <f>VLOOKUP(A19,'App.2-G_Detailed_OM&amp;A'!$A$17:$I$119,9,FALSE)</f>
        <v>556849.32888523582</v>
      </c>
      <c r="F19" s="406">
        <f t="shared" ref="F19:F41" si="0">E19-C19</f>
        <v>-37222.761114764144</v>
      </c>
      <c r="G19" s="404">
        <f t="shared" ref="G19:G41" si="1">IF(C19=0,"",(E19/C19)-1)</f>
        <v>-6.2656976722747837E-2</v>
      </c>
      <c r="H19" s="406">
        <f t="shared" ref="H19:H41" si="2">E19-D19</f>
        <v>56534.338885235833</v>
      </c>
      <c r="I19" s="407">
        <f t="shared" ref="I19:I41" si="3">IF(D19=0,"",(E19/D19)-1)</f>
        <v>0.11299749161070682</v>
      </c>
      <c r="J19" s="10"/>
    </row>
    <row r="20" spans="1:10">
      <c r="A20" s="345">
        <v>5012</v>
      </c>
      <c r="B20" s="346" t="s">
        <v>525</v>
      </c>
      <c r="C20" s="175">
        <v>219146.8</v>
      </c>
      <c r="D20" s="175">
        <v>218694.57</v>
      </c>
      <c r="E20" s="408">
        <f>VLOOKUP(A20,'App.2-G_Detailed_OM&amp;A'!$A$17:$I$119,9,FALSE)</f>
        <v>234955.67701163975</v>
      </c>
      <c r="F20" s="409">
        <f t="shared" si="0"/>
        <v>15808.877011639765</v>
      </c>
      <c r="G20" s="410">
        <f t="shared" si="1"/>
        <v>7.2138297304089161E-2</v>
      </c>
      <c r="H20" s="409">
        <f t="shared" si="2"/>
        <v>16261.107011639746</v>
      </c>
      <c r="I20" s="411">
        <f t="shared" si="3"/>
        <v>7.4355330411906229E-2</v>
      </c>
      <c r="J20" s="10"/>
    </row>
    <row r="21" spans="1:10">
      <c r="A21" s="342">
        <v>5014</v>
      </c>
      <c r="B21" s="343" t="s">
        <v>526</v>
      </c>
      <c r="C21" s="175">
        <v>0</v>
      </c>
      <c r="D21" s="175">
        <v>0</v>
      </c>
      <c r="E21" s="402">
        <f>VLOOKUP(A21,'App.2-G_Detailed_OM&amp;A'!$A$17:$I$119,9,FALSE)</f>
        <v>0</v>
      </c>
      <c r="F21" s="406">
        <f t="shared" si="0"/>
        <v>0</v>
      </c>
      <c r="G21" s="404" t="str">
        <f t="shared" si="1"/>
        <v/>
      </c>
      <c r="H21" s="406">
        <f t="shared" si="2"/>
        <v>0</v>
      </c>
      <c r="I21" s="407" t="str">
        <f t="shared" si="3"/>
        <v/>
      </c>
      <c r="J21" s="10"/>
    </row>
    <row r="22" spans="1:10">
      <c r="A22" s="342">
        <v>5015</v>
      </c>
      <c r="B22" s="343" t="s">
        <v>527</v>
      </c>
      <c r="C22" s="175">
        <v>0</v>
      </c>
      <c r="D22" s="175">
        <v>0</v>
      </c>
      <c r="E22" s="402">
        <f>VLOOKUP(A22,'App.2-G_Detailed_OM&amp;A'!$A$17:$I$119,9,FALSE)</f>
        <v>0</v>
      </c>
      <c r="F22" s="406">
        <f t="shared" si="0"/>
        <v>0</v>
      </c>
      <c r="G22" s="404" t="str">
        <f t="shared" si="1"/>
        <v/>
      </c>
      <c r="H22" s="406">
        <f t="shared" si="2"/>
        <v>0</v>
      </c>
      <c r="I22" s="407" t="str">
        <f t="shared" si="3"/>
        <v/>
      </c>
      <c r="J22" s="10"/>
    </row>
    <row r="23" spans="1:10">
      <c r="A23" s="342">
        <v>5016</v>
      </c>
      <c r="B23" s="343" t="s">
        <v>528</v>
      </c>
      <c r="C23" s="175">
        <v>349861.45</v>
      </c>
      <c r="D23" s="175">
        <v>416175.62</v>
      </c>
      <c r="E23" s="402">
        <f>VLOOKUP(A23,'App.2-G_Detailed_OM&amp;A'!$A$17:$I$119,9,FALSE)</f>
        <v>217095.26103631218</v>
      </c>
      <c r="F23" s="406">
        <f>E23-C23</f>
        <v>-132766.18896368783</v>
      </c>
      <c r="G23" s="404">
        <f t="shared" si="1"/>
        <v>-0.37948218920286247</v>
      </c>
      <c r="H23" s="406">
        <f>E23-D23</f>
        <v>-199080.35896368782</v>
      </c>
      <c r="I23" s="407">
        <f t="shared" si="3"/>
        <v>-0.47835661051862632</v>
      </c>
      <c r="J23" s="10"/>
    </row>
    <row r="24" spans="1:10">
      <c r="A24" s="342">
        <v>5017</v>
      </c>
      <c r="B24" s="343" t="s">
        <v>529</v>
      </c>
      <c r="C24" s="175">
        <v>120129.66</v>
      </c>
      <c r="D24" s="175">
        <v>173290.73</v>
      </c>
      <c r="E24" s="402">
        <f>VLOOKUP(A24,'App.2-G_Detailed_OM&amp;A'!$A$17:$I$119,9,FALSE)</f>
        <v>291850.6052316057</v>
      </c>
      <c r="F24" s="406">
        <f t="shared" si="0"/>
        <v>171720.9452316057</v>
      </c>
      <c r="G24" s="404">
        <f t="shared" si="1"/>
        <v>1.4294633417892442</v>
      </c>
      <c r="H24" s="406">
        <f t="shared" si="2"/>
        <v>118559.87523160569</v>
      </c>
      <c r="I24" s="407">
        <f t="shared" si="3"/>
        <v>0.68416744064501134</v>
      </c>
      <c r="J24" s="10"/>
    </row>
    <row r="25" spans="1:10">
      <c r="A25" s="342">
        <v>5020</v>
      </c>
      <c r="B25" s="343" t="s">
        <v>530</v>
      </c>
      <c r="C25" s="175">
        <v>138981.63</v>
      </c>
      <c r="D25" s="175">
        <v>150175.88</v>
      </c>
      <c r="E25" s="402">
        <f>VLOOKUP(A25,'App.2-G_Detailed_OM&amp;A'!$A$17:$I$119,9,FALSE)</f>
        <v>103523.796338441</v>
      </c>
      <c r="F25" s="406">
        <f t="shared" si="0"/>
        <v>-35457.833661559009</v>
      </c>
      <c r="G25" s="404">
        <f t="shared" si="1"/>
        <v>-0.25512604551809481</v>
      </c>
      <c r="H25" s="406">
        <f t="shared" si="2"/>
        <v>-46652.083661559009</v>
      </c>
      <c r="I25" s="407">
        <f t="shared" si="3"/>
        <v>-0.31064964401446493</v>
      </c>
      <c r="J25" s="10"/>
    </row>
    <row r="26" spans="1:10">
      <c r="A26" s="342">
        <v>5025</v>
      </c>
      <c r="B26" s="343" t="s">
        <v>531</v>
      </c>
      <c r="C26" s="175">
        <v>352985.82</v>
      </c>
      <c r="D26" s="175">
        <v>342585.5</v>
      </c>
      <c r="E26" s="402">
        <f>VLOOKUP(A26,'App.2-G_Detailed_OM&amp;A'!$A$17:$I$119,9,FALSE)</f>
        <v>307302.94421730173</v>
      </c>
      <c r="F26" s="406">
        <f t="shared" si="0"/>
        <v>-45682.875782698276</v>
      </c>
      <c r="G26" s="404">
        <f t="shared" si="1"/>
        <v>-0.12941844457859042</v>
      </c>
      <c r="H26" s="406">
        <f t="shared" si="2"/>
        <v>-35282.555782698269</v>
      </c>
      <c r="I26" s="407">
        <f t="shared" si="3"/>
        <v>-0.10298905173364981</v>
      </c>
      <c r="J26" s="10"/>
    </row>
    <row r="27" spans="1:10">
      <c r="A27" s="342">
        <v>5030</v>
      </c>
      <c r="B27" s="343" t="s">
        <v>532</v>
      </c>
      <c r="C27" s="175">
        <v>23512.6</v>
      </c>
      <c r="D27" s="175">
        <v>15339.55</v>
      </c>
      <c r="E27" s="402">
        <f>VLOOKUP(A27,'App.2-G_Detailed_OM&amp;A'!$A$17:$I$119,9,FALSE)</f>
        <v>15614.080728649311</v>
      </c>
      <c r="F27" s="406">
        <f t="shared" si="0"/>
        <v>-7898.5192713506876</v>
      </c>
      <c r="G27" s="404">
        <f t="shared" si="1"/>
        <v>-0.33592708893745005</v>
      </c>
      <c r="H27" s="406">
        <f t="shared" si="2"/>
        <v>274.53072864931164</v>
      </c>
      <c r="I27" s="407">
        <f t="shared" si="3"/>
        <v>1.789692192074166E-2</v>
      </c>
      <c r="J27" s="10"/>
    </row>
    <row r="28" spans="1:10">
      <c r="A28" s="342">
        <v>5035</v>
      </c>
      <c r="B28" s="343" t="s">
        <v>533</v>
      </c>
      <c r="C28" s="175">
        <v>113835.42</v>
      </c>
      <c r="D28" s="175">
        <v>105607.38</v>
      </c>
      <c r="E28" s="402">
        <f>VLOOKUP(A28,'App.2-G_Detailed_OM&amp;A'!$A$17:$I$119,9,FALSE)</f>
        <v>164805.47664711741</v>
      </c>
      <c r="F28" s="406">
        <f t="shared" si="0"/>
        <v>50970.05664711741</v>
      </c>
      <c r="G28" s="404">
        <f t="shared" si="1"/>
        <v>0.44775217280454016</v>
      </c>
      <c r="H28" s="406">
        <f t="shared" si="2"/>
        <v>59198.096647117403</v>
      </c>
      <c r="I28" s="407">
        <f t="shared" si="3"/>
        <v>0.56054886170945051</v>
      </c>
      <c r="J28" s="10"/>
    </row>
    <row r="29" spans="1:10">
      <c r="A29" s="342">
        <v>5040</v>
      </c>
      <c r="B29" s="343" t="s">
        <v>534</v>
      </c>
      <c r="C29" s="175">
        <v>3408.62</v>
      </c>
      <c r="D29" s="175">
        <v>13650.89</v>
      </c>
      <c r="E29" s="402">
        <f>VLOOKUP(A29,'App.2-G_Detailed_OM&amp;A'!$A$17:$I$119,9,FALSE)</f>
        <v>12798.702479772361</v>
      </c>
      <c r="F29" s="406">
        <f t="shared" si="0"/>
        <v>9390.0824797723617</v>
      </c>
      <c r="G29" s="404">
        <f t="shared" si="1"/>
        <v>2.7548047244258265</v>
      </c>
      <c r="H29" s="406">
        <f t="shared" si="2"/>
        <v>-852.18752022763874</v>
      </c>
      <c r="I29" s="407">
        <f t="shared" si="3"/>
        <v>-6.2427249815040553E-2</v>
      </c>
      <c r="J29" s="10"/>
    </row>
    <row r="30" spans="1:10">
      <c r="A30" s="342">
        <v>5045</v>
      </c>
      <c r="B30" s="343" t="s">
        <v>535</v>
      </c>
      <c r="C30" s="175">
        <v>7408.88</v>
      </c>
      <c r="D30" s="175">
        <v>4751.49</v>
      </c>
      <c r="E30" s="402">
        <f>VLOOKUP(A30,'App.2-G_Detailed_OM&amp;A'!$A$17:$I$119,9,FALSE)</f>
        <v>6685.9619310055868</v>
      </c>
      <c r="F30" s="406">
        <f t="shared" si="0"/>
        <v>-722.91806899441326</v>
      </c>
      <c r="G30" s="404">
        <f t="shared" si="1"/>
        <v>-9.7574541495396461E-2</v>
      </c>
      <c r="H30" s="406">
        <f t="shared" si="2"/>
        <v>1934.4719310055871</v>
      </c>
      <c r="I30" s="407">
        <f t="shared" si="3"/>
        <v>0.40712953852488099</v>
      </c>
      <c r="J30" s="10"/>
    </row>
    <row r="31" spans="1:10">
      <c r="A31" s="342">
        <v>5050</v>
      </c>
      <c r="B31" s="343" t="s">
        <v>536</v>
      </c>
      <c r="C31" s="175">
        <v>970.17</v>
      </c>
      <c r="D31" s="175">
        <v>0</v>
      </c>
      <c r="E31" s="402">
        <f>VLOOKUP(A31,'App.2-G_Detailed_OM&amp;A'!$A$17:$I$119,9,FALSE)</f>
        <v>2049.4120661329275</v>
      </c>
      <c r="F31" s="406">
        <f t="shared" si="0"/>
        <v>1079.2420661329274</v>
      </c>
      <c r="G31" s="404">
        <f t="shared" si="1"/>
        <v>1.1124257255253487</v>
      </c>
      <c r="H31" s="406">
        <f t="shared" si="2"/>
        <v>2049.4120661329275</v>
      </c>
      <c r="I31" s="407" t="str">
        <f t="shared" si="3"/>
        <v/>
      </c>
      <c r="J31" s="10"/>
    </row>
    <row r="32" spans="1:10">
      <c r="A32" s="342">
        <v>5055</v>
      </c>
      <c r="B32" s="343" t="s">
        <v>537</v>
      </c>
      <c r="C32" s="175">
        <v>60792.25</v>
      </c>
      <c r="D32" s="175">
        <v>106630.3</v>
      </c>
      <c r="E32" s="402">
        <f>VLOOKUP(A32,'App.2-G_Detailed_OM&amp;A'!$A$17:$I$119,9,FALSE)</f>
        <v>88655.48338723692</v>
      </c>
      <c r="F32" s="406">
        <f t="shared" si="0"/>
        <v>27863.23338723692</v>
      </c>
      <c r="G32" s="404">
        <f t="shared" si="1"/>
        <v>0.45833528759400943</v>
      </c>
      <c r="H32" s="406">
        <f t="shared" si="2"/>
        <v>-17974.816612763083</v>
      </c>
      <c r="I32" s="407">
        <f t="shared" si="3"/>
        <v>-0.16857137804885747</v>
      </c>
      <c r="J32" s="10"/>
    </row>
    <row r="33" spans="1:10">
      <c r="A33" s="342">
        <v>5060</v>
      </c>
      <c r="B33" s="343" t="s">
        <v>538</v>
      </c>
      <c r="C33" s="175">
        <v>0</v>
      </c>
      <c r="D33" s="175">
        <v>0</v>
      </c>
      <c r="E33" s="402">
        <f>VLOOKUP(A33,'App.2-G_Detailed_OM&amp;A'!$A$17:$I$119,9,FALSE)</f>
        <v>0</v>
      </c>
      <c r="F33" s="406">
        <f t="shared" si="0"/>
        <v>0</v>
      </c>
      <c r="G33" s="404" t="str">
        <f t="shared" si="1"/>
        <v/>
      </c>
      <c r="H33" s="406">
        <f t="shared" si="2"/>
        <v>0</v>
      </c>
      <c r="I33" s="407" t="str">
        <f t="shared" si="3"/>
        <v/>
      </c>
      <c r="J33" s="10"/>
    </row>
    <row r="34" spans="1:10">
      <c r="A34" s="345">
        <v>5065</v>
      </c>
      <c r="B34" s="346" t="s">
        <v>539</v>
      </c>
      <c r="C34" s="175">
        <v>244855.78</v>
      </c>
      <c r="D34" s="175">
        <v>186074.44</v>
      </c>
      <c r="E34" s="408">
        <f>VLOOKUP(A34,'App.2-G_Detailed_OM&amp;A'!$A$17:$I$119,9,FALSE)</f>
        <v>971683.76105314866</v>
      </c>
      <c r="F34" s="409">
        <f t="shared" si="0"/>
        <v>726827.98105314863</v>
      </c>
      <c r="G34" s="410">
        <f t="shared" si="1"/>
        <v>2.968392173765098</v>
      </c>
      <c r="H34" s="409">
        <f t="shared" si="2"/>
        <v>785609.32105314871</v>
      </c>
      <c r="I34" s="411">
        <f t="shared" si="3"/>
        <v>4.2220163126818955</v>
      </c>
      <c r="J34" s="10"/>
    </row>
    <row r="35" spans="1:10">
      <c r="A35" s="342">
        <v>5070</v>
      </c>
      <c r="B35" s="343" t="s">
        <v>540</v>
      </c>
      <c r="C35" s="175">
        <v>637695.62</v>
      </c>
      <c r="D35" s="175">
        <v>549410.24</v>
      </c>
      <c r="E35" s="402">
        <f>VLOOKUP(A35,'App.2-G_Detailed_OM&amp;A'!$A$17:$I$119,9,FALSE)</f>
        <v>631688.52086251217</v>
      </c>
      <c r="F35" s="406">
        <f t="shared" si="0"/>
        <v>-6007.0991374878213</v>
      </c>
      <c r="G35" s="404">
        <f t="shared" si="1"/>
        <v>-9.4200100315693369E-3</v>
      </c>
      <c r="H35" s="406">
        <f t="shared" si="2"/>
        <v>82278.280862512183</v>
      </c>
      <c r="I35" s="407">
        <f t="shared" si="3"/>
        <v>0.14975745785610428</v>
      </c>
      <c r="J35" s="10"/>
    </row>
    <row r="36" spans="1:10">
      <c r="A36" s="345">
        <v>5075</v>
      </c>
      <c r="B36" s="346" t="s">
        <v>541</v>
      </c>
      <c r="C36" s="175">
        <v>0</v>
      </c>
      <c r="D36" s="175">
        <v>0</v>
      </c>
      <c r="E36" s="408">
        <f>VLOOKUP(A36,'App.2-G_Detailed_OM&amp;A'!$A$17:$I$119,9,FALSE)</f>
        <v>0</v>
      </c>
      <c r="F36" s="409">
        <f t="shared" si="0"/>
        <v>0</v>
      </c>
      <c r="G36" s="410" t="str">
        <f t="shared" si="1"/>
        <v/>
      </c>
      <c r="H36" s="409">
        <f t="shared" si="2"/>
        <v>0</v>
      </c>
      <c r="I36" s="411" t="str">
        <f t="shared" si="3"/>
        <v/>
      </c>
      <c r="J36" s="10"/>
    </row>
    <row r="37" spans="1:10">
      <c r="A37" s="342">
        <v>5085</v>
      </c>
      <c r="B37" s="343" t="s">
        <v>542</v>
      </c>
      <c r="C37" s="175">
        <v>0</v>
      </c>
      <c r="D37" s="175">
        <v>0</v>
      </c>
      <c r="E37" s="402">
        <f>VLOOKUP(A37,'App.2-G_Detailed_OM&amp;A'!$A$17:$I$119,9,FALSE)</f>
        <v>1679424.6205884039</v>
      </c>
      <c r="F37" s="406">
        <f t="shared" si="0"/>
        <v>1679424.6205884039</v>
      </c>
      <c r="G37" s="404" t="str">
        <f t="shared" si="1"/>
        <v/>
      </c>
      <c r="H37" s="406">
        <f t="shared" si="2"/>
        <v>1679424.6205884039</v>
      </c>
      <c r="I37" s="407" t="str">
        <f t="shared" si="3"/>
        <v/>
      </c>
      <c r="J37" s="10"/>
    </row>
    <row r="38" spans="1:10">
      <c r="A38" s="345">
        <v>5090</v>
      </c>
      <c r="B38" s="346" t="s">
        <v>543</v>
      </c>
      <c r="C38" s="175">
        <v>0</v>
      </c>
      <c r="D38" s="175">
        <v>0</v>
      </c>
      <c r="E38" s="408">
        <f>VLOOKUP(A38,'App.2-G_Detailed_OM&amp;A'!$A$17:$I$119,9,FALSE)</f>
        <v>0</v>
      </c>
      <c r="F38" s="409">
        <f t="shared" si="0"/>
        <v>0</v>
      </c>
      <c r="G38" s="410" t="str">
        <f t="shared" si="1"/>
        <v/>
      </c>
      <c r="H38" s="409">
        <f t="shared" si="2"/>
        <v>0</v>
      </c>
      <c r="I38" s="411" t="str">
        <f t="shared" si="3"/>
        <v/>
      </c>
      <c r="J38" s="10"/>
    </row>
    <row r="39" spans="1:10">
      <c r="A39" s="342">
        <v>5095</v>
      </c>
      <c r="B39" s="343" t="s">
        <v>544</v>
      </c>
      <c r="C39" s="175">
        <v>56688.59</v>
      </c>
      <c r="D39" s="175">
        <v>76624.94</v>
      </c>
      <c r="E39" s="402">
        <f>VLOOKUP(A39,'App.2-G_Detailed_OM&amp;A'!$A$17:$I$119,9,FALSE)</f>
        <v>82000</v>
      </c>
      <c r="F39" s="406">
        <f t="shared" si="0"/>
        <v>25311.410000000003</v>
      </c>
      <c r="G39" s="404">
        <f t="shared" si="1"/>
        <v>0.44649919851596254</v>
      </c>
      <c r="H39" s="406">
        <f t="shared" si="2"/>
        <v>5375.0599999999977</v>
      </c>
      <c r="I39" s="407">
        <f t="shared" si="3"/>
        <v>7.0147656885604093E-2</v>
      </c>
      <c r="J39" s="10"/>
    </row>
    <row r="40" spans="1:10" ht="13.5" thickBot="1">
      <c r="A40" s="348">
        <v>5096</v>
      </c>
      <c r="B40" s="349" t="s">
        <v>545</v>
      </c>
      <c r="C40" s="175">
        <v>0</v>
      </c>
      <c r="D40" s="187">
        <v>0</v>
      </c>
      <c r="E40" s="412">
        <f>VLOOKUP(A40,'App.2-G_Detailed_OM&amp;A'!$A$17:$I$119,9,FALSE)</f>
        <v>0</v>
      </c>
      <c r="F40" s="413">
        <f t="shared" si="0"/>
        <v>0</v>
      </c>
      <c r="G40" s="414" t="str">
        <f t="shared" si="1"/>
        <v/>
      </c>
      <c r="H40" s="413">
        <f t="shared" si="2"/>
        <v>0</v>
      </c>
      <c r="I40" s="415" t="str">
        <f t="shared" si="3"/>
        <v/>
      </c>
      <c r="J40" s="10"/>
    </row>
    <row r="41" spans="1:10" ht="14.25" thickTop="1" thickBot="1">
      <c r="A41" s="1260" t="s">
        <v>546</v>
      </c>
      <c r="B41" s="1261"/>
      <c r="C41" s="224">
        <f>SUM(C18:C40)</f>
        <v>3652054.2599999993</v>
      </c>
      <c r="D41" s="416">
        <f>SUM(D18:D40)</f>
        <v>3763302.28</v>
      </c>
      <c r="E41" s="417">
        <f>SUM(E18:E40)</f>
        <v>6741741.2577295387</v>
      </c>
      <c r="F41" s="418">
        <f t="shared" si="0"/>
        <v>3089686.9977295394</v>
      </c>
      <c r="G41" s="419">
        <f t="shared" si="1"/>
        <v>0.84601344278207402</v>
      </c>
      <c r="H41" s="418">
        <f t="shared" si="2"/>
        <v>2978438.9777295389</v>
      </c>
      <c r="I41" s="420">
        <f t="shared" si="3"/>
        <v>0.79144292861043808</v>
      </c>
      <c r="J41" s="10"/>
    </row>
    <row r="42" spans="1:10" ht="13.5" customHeight="1">
      <c r="A42" s="354" t="s">
        <v>334</v>
      </c>
      <c r="B42" s="1274" t="s">
        <v>279</v>
      </c>
      <c r="C42" s="1274"/>
      <c r="D42" s="1274"/>
      <c r="E42" s="1274"/>
      <c r="F42" s="1274"/>
      <c r="G42" s="1274"/>
      <c r="H42" s="1274"/>
      <c r="I42" s="1275"/>
      <c r="J42" s="10"/>
    </row>
    <row r="43" spans="1:10">
      <c r="A43" s="1255" t="s">
        <v>547</v>
      </c>
      <c r="B43" s="1256"/>
      <c r="C43" s="1256"/>
      <c r="D43" s="1256"/>
      <c r="E43" s="1256"/>
      <c r="F43" s="1256"/>
      <c r="G43" s="1256"/>
      <c r="H43" s="1256"/>
      <c r="I43" s="1257"/>
      <c r="J43" s="10"/>
    </row>
    <row r="44" spans="1:10">
      <c r="A44" s="337">
        <v>5105</v>
      </c>
      <c r="B44" s="338" t="s">
        <v>548</v>
      </c>
      <c r="C44" s="175">
        <v>16.88</v>
      </c>
      <c r="D44" s="175">
        <v>0</v>
      </c>
      <c r="E44" s="402">
        <f>VLOOKUP(A44,'App.2-G_Detailed_OM&amp;A'!$A$17:$I$119,9,FALSE)</f>
        <v>0</v>
      </c>
      <c r="F44" s="403">
        <f t="shared" ref="F44:F62" si="4">E44-C44</f>
        <v>-16.88</v>
      </c>
      <c r="G44" s="404">
        <f t="shared" ref="G44:G62" si="5">IF(C44=0,"",(E44/C44)-1)</f>
        <v>-1</v>
      </c>
      <c r="H44" s="403">
        <f t="shared" ref="H44:H62" si="6">E44-D44</f>
        <v>0</v>
      </c>
      <c r="I44" s="405" t="str">
        <f t="shared" ref="I44:I62" si="7">IF(D44=0,"",(E44/D44)-1)</f>
        <v/>
      </c>
      <c r="J44" s="10"/>
    </row>
    <row r="45" spans="1:10">
      <c r="A45" s="337">
        <v>5110</v>
      </c>
      <c r="B45" s="338" t="s">
        <v>549</v>
      </c>
      <c r="C45" s="175">
        <v>36772.839999999997</v>
      </c>
      <c r="D45" s="175">
        <v>30599.53</v>
      </c>
      <c r="E45" s="402">
        <f>VLOOKUP(A45,'App.2-G_Detailed_OM&amp;A'!$A$17:$I$119,9,FALSE)</f>
        <v>17719.800934590941</v>
      </c>
      <c r="F45" s="406">
        <f t="shared" si="4"/>
        <v>-19053.039065409055</v>
      </c>
      <c r="G45" s="404">
        <f t="shared" si="5"/>
        <v>-0.51812802778923406</v>
      </c>
      <c r="H45" s="406">
        <f t="shared" si="6"/>
        <v>-12879.729065409058</v>
      </c>
      <c r="I45" s="407">
        <f t="shared" si="7"/>
        <v>-0.42091264360625991</v>
      </c>
      <c r="J45" s="10"/>
    </row>
    <row r="46" spans="1:10">
      <c r="A46" s="337">
        <v>5112</v>
      </c>
      <c r="B46" s="338" t="s">
        <v>550</v>
      </c>
      <c r="C46" s="175">
        <v>0</v>
      </c>
      <c r="D46" s="175">
        <v>0</v>
      </c>
      <c r="E46" s="402">
        <f>VLOOKUP(A46,'App.2-G_Detailed_OM&amp;A'!$A$17:$I$119,9,FALSE)</f>
        <v>0</v>
      </c>
      <c r="F46" s="409">
        <f t="shared" si="4"/>
        <v>0</v>
      </c>
      <c r="G46" s="410" t="str">
        <f t="shared" si="5"/>
        <v/>
      </c>
      <c r="H46" s="409">
        <f t="shared" si="6"/>
        <v>0</v>
      </c>
      <c r="I46" s="411" t="str">
        <f t="shared" si="7"/>
        <v/>
      </c>
      <c r="J46" s="10"/>
    </row>
    <row r="47" spans="1:10">
      <c r="A47" s="337">
        <v>5114</v>
      </c>
      <c r="B47" s="338" t="s">
        <v>551</v>
      </c>
      <c r="C47" s="175">
        <v>72347.91</v>
      </c>
      <c r="D47" s="175">
        <v>180098.05</v>
      </c>
      <c r="E47" s="402">
        <f>VLOOKUP(A47,'App.2-G_Detailed_OM&amp;A'!$A$17:$I$119,9,FALSE)</f>
        <v>157768.18216789822</v>
      </c>
      <c r="F47" s="406">
        <f t="shared" si="4"/>
        <v>85420.27216789822</v>
      </c>
      <c r="G47" s="404">
        <f t="shared" si="5"/>
        <v>1.1806874886627439</v>
      </c>
      <c r="H47" s="406">
        <f t="shared" si="6"/>
        <v>-22329.867832101765</v>
      </c>
      <c r="I47" s="407">
        <f t="shared" si="7"/>
        <v>-0.12398728266131565</v>
      </c>
      <c r="J47" s="10"/>
    </row>
    <row r="48" spans="1:10">
      <c r="A48" s="337">
        <v>5120</v>
      </c>
      <c r="B48" s="368" t="s">
        <v>552</v>
      </c>
      <c r="C48" s="175">
        <v>173662.84</v>
      </c>
      <c r="D48" s="175">
        <v>194222.84</v>
      </c>
      <c r="E48" s="402">
        <f>VLOOKUP(A48,'App.2-G_Detailed_OM&amp;A'!$A$17:$I$119,9,FALSE)</f>
        <v>196139.58335827416</v>
      </c>
      <c r="F48" s="406">
        <f t="shared" si="4"/>
        <v>22476.743358274165</v>
      </c>
      <c r="G48" s="404">
        <f t="shared" si="5"/>
        <v>0.12942747773947594</v>
      </c>
      <c r="H48" s="406">
        <f t="shared" si="6"/>
        <v>1916.7433582741651</v>
      </c>
      <c r="I48" s="407">
        <f t="shared" si="7"/>
        <v>9.8687845274745278E-3</v>
      </c>
      <c r="J48" s="10"/>
    </row>
    <row r="49" spans="1:10">
      <c r="A49" s="337">
        <v>5125</v>
      </c>
      <c r="B49" s="338" t="s">
        <v>553</v>
      </c>
      <c r="C49" s="175">
        <v>268802.21999999997</v>
      </c>
      <c r="D49" s="175">
        <v>158548.46</v>
      </c>
      <c r="E49" s="402">
        <f>VLOOKUP(A49,'App.2-G_Detailed_OM&amp;A'!$A$17:$I$119,9,FALSE)</f>
        <v>437368.30162664084</v>
      </c>
      <c r="F49" s="406">
        <f t="shared" si="4"/>
        <v>168566.08162664087</v>
      </c>
      <c r="G49" s="404">
        <f t="shared" si="5"/>
        <v>0.62710077925190078</v>
      </c>
      <c r="H49" s="406">
        <f t="shared" si="6"/>
        <v>278819.84162664087</v>
      </c>
      <c r="I49" s="407">
        <f t="shared" si="7"/>
        <v>1.7585780500588961</v>
      </c>
      <c r="J49" s="10"/>
    </row>
    <row r="50" spans="1:10">
      <c r="A50" s="337">
        <v>5130</v>
      </c>
      <c r="B50" s="338" t="s">
        <v>554</v>
      </c>
      <c r="C50" s="175">
        <v>170764.27</v>
      </c>
      <c r="D50" s="175">
        <v>184767.65</v>
      </c>
      <c r="E50" s="402">
        <f>VLOOKUP(A50,'App.2-G_Detailed_OM&amp;A'!$A$17:$I$119,9,FALSE)</f>
        <v>183580.19034696341</v>
      </c>
      <c r="F50" s="406">
        <f t="shared" si="4"/>
        <v>12815.920346963423</v>
      </c>
      <c r="G50" s="404">
        <f t="shared" si="5"/>
        <v>7.5050362391168912E-2</v>
      </c>
      <c r="H50" s="406">
        <f t="shared" si="6"/>
        <v>-1187.4596530365816</v>
      </c>
      <c r="I50" s="407">
        <f t="shared" si="7"/>
        <v>-6.4267725060993541E-3</v>
      </c>
      <c r="J50" s="10"/>
    </row>
    <row r="51" spans="1:10">
      <c r="A51" s="337">
        <v>5135</v>
      </c>
      <c r="B51" s="338" t="s">
        <v>555</v>
      </c>
      <c r="C51" s="175">
        <v>415591.2</v>
      </c>
      <c r="D51" s="175">
        <v>416624.71</v>
      </c>
      <c r="E51" s="402">
        <f>VLOOKUP(A51,'App.2-G_Detailed_OM&amp;A'!$A$17:$I$119,9,FALSE)</f>
        <v>514475.43575620599</v>
      </c>
      <c r="F51" s="406">
        <f t="shared" si="4"/>
        <v>98884.235756205977</v>
      </c>
      <c r="G51" s="404">
        <f t="shared" si="5"/>
        <v>0.23793630797814291</v>
      </c>
      <c r="H51" s="406">
        <f t="shared" si="6"/>
        <v>97850.725756205968</v>
      </c>
      <c r="I51" s="407">
        <f t="shared" si="7"/>
        <v>0.23486539182038912</v>
      </c>
      <c r="J51" s="10"/>
    </row>
    <row r="52" spans="1:10">
      <c r="A52" s="337">
        <v>5145</v>
      </c>
      <c r="B52" s="338" t="s">
        <v>556</v>
      </c>
      <c r="C52" s="175">
        <v>53447.26</v>
      </c>
      <c r="D52" s="175">
        <v>102243.29</v>
      </c>
      <c r="E52" s="402">
        <f>VLOOKUP(A52,'App.2-G_Detailed_OM&amp;A'!$A$17:$I$119,9,FALSE)</f>
        <v>56309.018483583466</v>
      </c>
      <c r="F52" s="406">
        <f t="shared" si="4"/>
        <v>2861.7584835834641</v>
      </c>
      <c r="G52" s="404">
        <f t="shared" si="5"/>
        <v>5.3543595753710482E-2</v>
      </c>
      <c r="H52" s="406">
        <f t="shared" si="6"/>
        <v>-45934.271516416527</v>
      </c>
      <c r="I52" s="407">
        <f t="shared" si="7"/>
        <v>-0.44926441154638641</v>
      </c>
      <c r="J52" s="10"/>
    </row>
    <row r="53" spans="1:10">
      <c r="A53" s="337">
        <v>5150</v>
      </c>
      <c r="B53" s="338" t="s">
        <v>557</v>
      </c>
      <c r="C53" s="175">
        <v>33764.11</v>
      </c>
      <c r="D53" s="175">
        <v>68672.06</v>
      </c>
      <c r="E53" s="402">
        <f>VLOOKUP(A53,'App.2-G_Detailed_OM&amp;A'!$A$17:$I$119,9,FALSE)</f>
        <v>48520.492136537447</v>
      </c>
      <c r="F53" s="406">
        <f t="shared" si="4"/>
        <v>14756.382136537446</v>
      </c>
      <c r="G53" s="404">
        <f t="shared" si="5"/>
        <v>0.43704342085538306</v>
      </c>
      <c r="H53" s="406">
        <f t="shared" si="6"/>
        <v>-20151.567863462551</v>
      </c>
      <c r="I53" s="407">
        <f t="shared" si="7"/>
        <v>-0.29344638654297761</v>
      </c>
      <c r="J53" s="10"/>
    </row>
    <row r="54" spans="1:10">
      <c r="A54" s="337">
        <v>5155</v>
      </c>
      <c r="B54" s="338" t="s">
        <v>558</v>
      </c>
      <c r="C54" s="175">
        <v>69421.95</v>
      </c>
      <c r="D54" s="175">
        <v>70439.100000000006</v>
      </c>
      <c r="E54" s="402">
        <f>VLOOKUP(A54,'App.2-G_Detailed_OM&amp;A'!$A$17:$I$119,9,FALSE)</f>
        <v>106503.61160895713</v>
      </c>
      <c r="F54" s="406">
        <f t="shared" si="4"/>
        <v>37081.661608957133</v>
      </c>
      <c r="G54" s="404">
        <f t="shared" si="5"/>
        <v>0.53414894869644458</v>
      </c>
      <c r="H54" s="406">
        <f t="shared" si="6"/>
        <v>36064.511608957124</v>
      </c>
      <c r="I54" s="407">
        <f t="shared" si="7"/>
        <v>0.51199563323434183</v>
      </c>
      <c r="J54" s="10"/>
    </row>
    <row r="55" spans="1:10">
      <c r="A55" s="337">
        <v>5160</v>
      </c>
      <c r="B55" s="338" t="s">
        <v>559</v>
      </c>
      <c r="C55" s="175">
        <v>204621.43</v>
      </c>
      <c r="D55" s="175">
        <v>88131.62</v>
      </c>
      <c r="E55" s="402">
        <f>VLOOKUP(A55,'App.2-G_Detailed_OM&amp;A'!$A$17:$I$119,9,FALSE)</f>
        <v>276234.31173201383</v>
      </c>
      <c r="F55" s="406">
        <f t="shared" si="4"/>
        <v>71612.881732013833</v>
      </c>
      <c r="G55" s="404">
        <f t="shared" si="5"/>
        <v>0.34997742774065177</v>
      </c>
      <c r="H55" s="406">
        <f t="shared" si="6"/>
        <v>188102.69173201383</v>
      </c>
      <c r="I55" s="407">
        <f t="shared" si="7"/>
        <v>2.1343382968793021</v>
      </c>
      <c r="J55" s="10"/>
    </row>
    <row r="56" spans="1:10">
      <c r="A56" s="337">
        <v>5165</v>
      </c>
      <c r="B56" s="338" t="s">
        <v>560</v>
      </c>
      <c r="C56" s="175">
        <v>0</v>
      </c>
      <c r="D56" s="175">
        <v>0</v>
      </c>
      <c r="E56" s="402">
        <f>VLOOKUP(A56,'App.2-G_Detailed_OM&amp;A'!$A$17:$I$119,9,FALSE)</f>
        <v>0</v>
      </c>
      <c r="F56" s="406">
        <f t="shared" si="4"/>
        <v>0</v>
      </c>
      <c r="G56" s="404" t="str">
        <f t="shared" si="5"/>
        <v/>
      </c>
      <c r="H56" s="406">
        <f t="shared" si="6"/>
        <v>0</v>
      </c>
      <c r="I56" s="407" t="str">
        <f t="shared" si="7"/>
        <v/>
      </c>
      <c r="J56" s="10"/>
    </row>
    <row r="57" spans="1:10">
      <c r="A57" s="337">
        <v>5170</v>
      </c>
      <c r="B57" s="338" t="s">
        <v>561</v>
      </c>
      <c r="C57" s="175">
        <v>0</v>
      </c>
      <c r="D57" s="175">
        <v>0</v>
      </c>
      <c r="E57" s="402">
        <f>VLOOKUP(A57,'App.2-G_Detailed_OM&amp;A'!$A$17:$I$119,9,FALSE)</f>
        <v>0</v>
      </c>
      <c r="F57" s="406">
        <f t="shared" si="4"/>
        <v>0</v>
      </c>
      <c r="G57" s="404" t="str">
        <f t="shared" si="5"/>
        <v/>
      </c>
      <c r="H57" s="406">
        <f t="shared" si="6"/>
        <v>0</v>
      </c>
      <c r="I57" s="407" t="str">
        <f t="shared" si="7"/>
        <v/>
      </c>
      <c r="J57" s="10"/>
    </row>
    <row r="58" spans="1:10">
      <c r="A58" s="337">
        <v>5172</v>
      </c>
      <c r="B58" s="338" t="s">
        <v>562</v>
      </c>
      <c r="C58" s="175">
        <v>0</v>
      </c>
      <c r="D58" s="175">
        <v>0</v>
      </c>
      <c r="E58" s="402">
        <f>VLOOKUP(A58,'App.2-G_Detailed_OM&amp;A'!$A$17:$I$119,9,FALSE)</f>
        <v>0</v>
      </c>
      <c r="F58" s="406">
        <f t="shared" si="4"/>
        <v>0</v>
      </c>
      <c r="G58" s="404" t="str">
        <f t="shared" si="5"/>
        <v/>
      </c>
      <c r="H58" s="406">
        <f t="shared" si="6"/>
        <v>0</v>
      </c>
      <c r="I58" s="407" t="str">
        <f t="shared" si="7"/>
        <v/>
      </c>
      <c r="J58" s="10"/>
    </row>
    <row r="59" spans="1:10">
      <c r="A59" s="337">
        <v>5175</v>
      </c>
      <c r="B59" s="338" t="s">
        <v>563</v>
      </c>
      <c r="C59" s="175">
        <v>3118.34</v>
      </c>
      <c r="D59" s="175">
        <v>3184.13</v>
      </c>
      <c r="E59" s="402">
        <f>VLOOKUP(A59,'App.2-G_Detailed_OM&amp;A'!$A$17:$I$119,9,FALSE)</f>
        <v>0</v>
      </c>
      <c r="F59" s="406">
        <f t="shared" si="4"/>
        <v>-3118.34</v>
      </c>
      <c r="G59" s="404">
        <f t="shared" si="5"/>
        <v>-1</v>
      </c>
      <c r="H59" s="406">
        <f t="shared" si="6"/>
        <v>-3184.13</v>
      </c>
      <c r="I59" s="407">
        <f t="shared" si="7"/>
        <v>-1</v>
      </c>
      <c r="J59" s="10"/>
    </row>
    <row r="60" spans="1:10">
      <c r="A60" s="337">
        <v>5178</v>
      </c>
      <c r="B60" s="338" t="s">
        <v>564</v>
      </c>
      <c r="C60" s="175">
        <v>0</v>
      </c>
      <c r="D60" s="175">
        <v>0</v>
      </c>
      <c r="E60" s="402">
        <f>VLOOKUP(A60,'App.2-G_Detailed_OM&amp;A'!$A$17:$I$119,9,FALSE)</f>
        <v>0</v>
      </c>
      <c r="F60" s="409">
        <f t="shared" si="4"/>
        <v>0</v>
      </c>
      <c r="G60" s="410" t="str">
        <f t="shared" si="5"/>
        <v/>
      </c>
      <c r="H60" s="409">
        <f t="shared" si="6"/>
        <v>0</v>
      </c>
      <c r="I60" s="411" t="str">
        <f t="shared" si="7"/>
        <v/>
      </c>
      <c r="J60" s="10"/>
    </row>
    <row r="61" spans="1:10" ht="13.5" thickBot="1">
      <c r="A61" s="358">
        <v>5195</v>
      </c>
      <c r="B61" s="338" t="s">
        <v>565</v>
      </c>
      <c r="C61" s="175">
        <v>0</v>
      </c>
      <c r="D61" s="175">
        <v>0</v>
      </c>
      <c r="E61" s="402">
        <f>VLOOKUP(A61,'App.2-G_Detailed_OM&amp;A'!$A$17:$I$119,9,FALSE)</f>
        <v>0</v>
      </c>
      <c r="F61" s="406">
        <f t="shared" si="4"/>
        <v>0</v>
      </c>
      <c r="G61" s="404" t="str">
        <f t="shared" si="5"/>
        <v/>
      </c>
      <c r="H61" s="406">
        <f t="shared" si="6"/>
        <v>0</v>
      </c>
      <c r="I61" s="407" t="str">
        <f t="shared" si="7"/>
        <v/>
      </c>
      <c r="J61" s="10"/>
    </row>
    <row r="62" spans="1:10" ht="14.25" thickTop="1" thickBot="1">
      <c r="A62" s="1260" t="s">
        <v>566</v>
      </c>
      <c r="B62" s="1261"/>
      <c r="C62" s="224">
        <f>SUM(C44:C61)</f>
        <v>1502331.25</v>
      </c>
      <c r="D62" s="224">
        <f>SUM(D44:D61)</f>
        <v>1497531.44</v>
      </c>
      <c r="E62" s="417">
        <f>SUM(E44:E61)</f>
        <v>1994618.9281516657</v>
      </c>
      <c r="F62" s="418">
        <f t="shared" si="4"/>
        <v>492287.67815166572</v>
      </c>
      <c r="G62" s="419">
        <f t="shared" si="5"/>
        <v>0.32768251219673794</v>
      </c>
      <c r="H62" s="418">
        <f t="shared" si="6"/>
        <v>497087.48815166578</v>
      </c>
      <c r="I62" s="421">
        <f t="shared" si="7"/>
        <v>0.33193793123412885</v>
      </c>
      <c r="J62" s="10"/>
    </row>
    <row r="63" spans="1:10" ht="13.5" customHeight="1">
      <c r="A63" s="354" t="s">
        <v>334</v>
      </c>
      <c r="B63" s="1274" t="s">
        <v>279</v>
      </c>
      <c r="C63" s="1274"/>
      <c r="D63" s="1274"/>
      <c r="E63" s="1274"/>
      <c r="F63" s="1274"/>
      <c r="G63" s="1274"/>
      <c r="H63" s="1274"/>
      <c r="I63" s="1275"/>
      <c r="J63" s="10"/>
    </row>
    <row r="64" spans="1:10">
      <c r="A64" s="1255" t="s">
        <v>567</v>
      </c>
      <c r="B64" s="1256"/>
      <c r="C64" s="1256"/>
      <c r="D64" s="1256"/>
      <c r="E64" s="1256"/>
      <c r="F64" s="1256"/>
      <c r="G64" s="1256"/>
      <c r="H64" s="1256"/>
      <c r="I64" s="1257"/>
      <c r="J64" s="10"/>
    </row>
    <row r="65" spans="1:10">
      <c r="A65" s="337">
        <v>5305</v>
      </c>
      <c r="B65" s="338" t="s">
        <v>568</v>
      </c>
      <c r="C65" s="175">
        <v>0</v>
      </c>
      <c r="D65" s="175">
        <v>0</v>
      </c>
      <c r="E65" s="402">
        <f>VLOOKUP(A65,'App.2-G_Detailed_OM&amp;A'!$A$17:$I$119,9,FALSE)</f>
        <v>0</v>
      </c>
      <c r="F65" s="403">
        <f t="shared" ref="F65:F73" si="8">E65-C65</f>
        <v>0</v>
      </c>
      <c r="G65" s="404" t="str">
        <f t="shared" ref="G65:G73" si="9">IF(C65=0,"",(E65/C65)-1)</f>
        <v/>
      </c>
      <c r="H65" s="403">
        <f t="shared" ref="H65:H73" si="10">E65-D65</f>
        <v>0</v>
      </c>
      <c r="I65" s="405" t="str">
        <f t="shared" ref="I65:I73" si="11">IF(D65=0,"",(E65/D65)-1)</f>
        <v/>
      </c>
      <c r="J65" s="10"/>
    </row>
    <row r="66" spans="1:10">
      <c r="A66" s="337">
        <v>5310</v>
      </c>
      <c r="B66" s="338" t="s">
        <v>569</v>
      </c>
      <c r="C66" s="175">
        <v>224521.35</v>
      </c>
      <c r="D66" s="175">
        <v>204714.91</v>
      </c>
      <c r="E66" s="402">
        <f>VLOOKUP(A66,'App.2-G_Detailed_OM&amp;A'!$A$17:$I$119,9,FALSE)</f>
        <v>29200</v>
      </c>
      <c r="F66" s="406">
        <f t="shared" si="8"/>
        <v>-195321.35</v>
      </c>
      <c r="G66" s="404">
        <f t="shared" si="9"/>
        <v>-0.86994555306210297</v>
      </c>
      <c r="H66" s="406">
        <f t="shared" si="10"/>
        <v>-175514.91</v>
      </c>
      <c r="I66" s="407">
        <f t="shared" si="11"/>
        <v>-0.85736261222985666</v>
      </c>
      <c r="J66" s="10"/>
    </row>
    <row r="67" spans="1:10">
      <c r="A67" s="337">
        <v>5315</v>
      </c>
      <c r="B67" s="338" t="s">
        <v>570</v>
      </c>
      <c r="C67" s="175">
        <v>1454081.9</v>
      </c>
      <c r="D67" s="175">
        <v>1335739.52</v>
      </c>
      <c r="E67" s="402">
        <f>VLOOKUP(A67,'App.2-G_Detailed_OM&amp;A'!$A$17:$I$119,9,FALSE)</f>
        <v>1339756.2563489089</v>
      </c>
      <c r="F67" s="409">
        <f t="shared" si="8"/>
        <v>-114325.64365109103</v>
      </c>
      <c r="G67" s="410">
        <f t="shared" si="9"/>
        <v>-7.8623936967436969E-2</v>
      </c>
      <c r="H67" s="409">
        <f t="shared" si="10"/>
        <v>4016.7363489088602</v>
      </c>
      <c r="I67" s="411">
        <f t="shared" si="11"/>
        <v>3.0071254827503946E-3</v>
      </c>
      <c r="J67" s="10"/>
    </row>
    <row r="68" spans="1:10">
      <c r="A68" s="337">
        <v>5320</v>
      </c>
      <c r="B68" s="338" t="s">
        <v>571</v>
      </c>
      <c r="C68" s="175">
        <v>193042.29</v>
      </c>
      <c r="D68" s="175">
        <v>203223.48</v>
      </c>
      <c r="E68" s="402">
        <f>VLOOKUP(A68,'App.2-G_Detailed_OM&amp;A'!$A$17:$I$119,9,FALSE)</f>
        <v>247044.39717592919</v>
      </c>
      <c r="F68" s="406">
        <f t="shared" si="8"/>
        <v>54002.107175929181</v>
      </c>
      <c r="G68" s="404">
        <f t="shared" si="9"/>
        <v>0.27974236720839341</v>
      </c>
      <c r="H68" s="406">
        <f t="shared" si="10"/>
        <v>43820.917175929178</v>
      </c>
      <c r="I68" s="407">
        <f t="shared" si="11"/>
        <v>0.21562920375110783</v>
      </c>
      <c r="J68" s="10"/>
    </row>
    <row r="69" spans="1:10">
      <c r="A69" s="337">
        <v>5325</v>
      </c>
      <c r="B69" s="338" t="s">
        <v>572</v>
      </c>
      <c r="C69" s="175">
        <v>0</v>
      </c>
      <c r="D69" s="175">
        <v>0</v>
      </c>
      <c r="E69" s="402">
        <f>VLOOKUP(A69,'App.2-G_Detailed_OM&amp;A'!$A$17:$I$119,9,FALSE)</f>
        <v>0</v>
      </c>
      <c r="F69" s="406">
        <f t="shared" si="8"/>
        <v>0</v>
      </c>
      <c r="G69" s="404" t="str">
        <f t="shared" si="9"/>
        <v/>
      </c>
      <c r="H69" s="406">
        <f t="shared" si="10"/>
        <v>0</v>
      </c>
      <c r="I69" s="407" t="str">
        <f t="shared" si="11"/>
        <v/>
      </c>
      <c r="J69" s="10"/>
    </row>
    <row r="70" spans="1:10">
      <c r="A70" s="337">
        <v>5330</v>
      </c>
      <c r="B70" s="338" t="s">
        <v>573</v>
      </c>
      <c r="C70" s="175">
        <v>0</v>
      </c>
      <c r="D70" s="175">
        <v>0</v>
      </c>
      <c r="E70" s="402">
        <f>VLOOKUP(A70,'App.2-G_Detailed_OM&amp;A'!$A$17:$I$119,9,FALSE)</f>
        <v>0</v>
      </c>
      <c r="F70" s="406">
        <f t="shared" si="8"/>
        <v>0</v>
      </c>
      <c r="G70" s="404" t="str">
        <f t="shared" si="9"/>
        <v/>
      </c>
      <c r="H70" s="406">
        <f t="shared" si="10"/>
        <v>0</v>
      </c>
      <c r="I70" s="407" t="str">
        <f t="shared" si="11"/>
        <v/>
      </c>
      <c r="J70" s="10"/>
    </row>
    <row r="71" spans="1:10">
      <c r="A71" s="337">
        <v>5335</v>
      </c>
      <c r="B71" s="338" t="s">
        <v>574</v>
      </c>
      <c r="C71" s="175">
        <v>148802.57999999999</v>
      </c>
      <c r="D71" s="175">
        <v>463316.04</v>
      </c>
      <c r="E71" s="402">
        <f>VLOOKUP(A71,'App.2-G_Detailed_OM&amp;A'!$A$17:$I$119,9,FALSE)</f>
        <v>375108.24</v>
      </c>
      <c r="F71" s="406">
        <f t="shared" si="8"/>
        <v>226305.66</v>
      </c>
      <c r="G71" s="404">
        <f t="shared" si="9"/>
        <v>1.520845001477797</v>
      </c>
      <c r="H71" s="406">
        <f t="shared" si="10"/>
        <v>-88207.799999999988</v>
      </c>
      <c r="I71" s="407">
        <f t="shared" si="11"/>
        <v>-0.19038365259273127</v>
      </c>
      <c r="J71" s="10"/>
    </row>
    <row r="72" spans="1:10" ht="13.5" thickBot="1">
      <c r="A72" s="358">
        <v>5340</v>
      </c>
      <c r="B72" s="338" t="s">
        <v>575</v>
      </c>
      <c r="C72" s="175">
        <v>173656.1</v>
      </c>
      <c r="D72" s="175">
        <v>114714.1</v>
      </c>
      <c r="E72" s="402">
        <f>VLOOKUP(A72,'App.2-G_Detailed_OM&amp;A'!$A$17:$I$119,9,FALSE)</f>
        <v>122947.56909018299</v>
      </c>
      <c r="F72" s="406">
        <f t="shared" si="8"/>
        <v>-50708.530909817011</v>
      </c>
      <c r="G72" s="404">
        <f t="shared" si="9"/>
        <v>-0.29200546891135415</v>
      </c>
      <c r="H72" s="406">
        <f t="shared" si="10"/>
        <v>8233.469090182989</v>
      </c>
      <c r="I72" s="422">
        <f t="shared" si="11"/>
        <v>7.1773819348998957E-2</v>
      </c>
      <c r="J72" s="10"/>
    </row>
    <row r="73" spans="1:10" ht="14.25" thickTop="1" thickBot="1">
      <c r="A73" s="1260" t="s">
        <v>576</v>
      </c>
      <c r="B73" s="1261"/>
      <c r="C73" s="224">
        <f>SUM(C65:C72)</f>
        <v>2194104.2200000002</v>
      </c>
      <c r="D73" s="224">
        <f>SUM(D65:D72)</f>
        <v>2321708.0499999998</v>
      </c>
      <c r="E73" s="417">
        <f>SUM(E65:E72)</f>
        <v>2114056.462615021</v>
      </c>
      <c r="F73" s="418">
        <f t="shared" si="8"/>
        <v>-80047.757384979166</v>
      </c>
      <c r="G73" s="419">
        <f t="shared" si="9"/>
        <v>-3.6483115366771068E-2</v>
      </c>
      <c r="H73" s="418">
        <f t="shared" si="10"/>
        <v>-207651.58738497877</v>
      </c>
      <c r="I73" s="419">
        <f t="shared" si="11"/>
        <v>-8.9439146918140144E-2</v>
      </c>
      <c r="J73" s="10"/>
    </row>
    <row r="74" spans="1:10" ht="13.5" customHeight="1">
      <c r="A74" s="354" t="s">
        <v>334</v>
      </c>
      <c r="B74" s="1274" t="s">
        <v>279</v>
      </c>
      <c r="C74" s="1274"/>
      <c r="D74" s="1274"/>
      <c r="E74" s="1274"/>
      <c r="F74" s="1274"/>
      <c r="G74" s="1274"/>
      <c r="H74" s="1274"/>
      <c r="I74" s="1275"/>
      <c r="J74" s="10"/>
    </row>
    <row r="75" spans="1:10">
      <c r="A75" s="1255" t="s">
        <v>577</v>
      </c>
      <c r="B75" s="1256"/>
      <c r="C75" s="1256"/>
      <c r="D75" s="1256"/>
      <c r="E75" s="1256"/>
      <c r="F75" s="1256"/>
      <c r="G75" s="1256"/>
      <c r="H75" s="1256"/>
      <c r="I75" s="1257"/>
      <c r="J75" s="10"/>
    </row>
    <row r="76" spans="1:10">
      <c r="A76" s="337">
        <v>5405</v>
      </c>
      <c r="B76" s="338" t="s">
        <v>568</v>
      </c>
      <c r="C76" s="175">
        <v>0</v>
      </c>
      <c r="D76" s="175">
        <v>0</v>
      </c>
      <c r="E76" s="402">
        <f>VLOOKUP(A76,'App.2-G_Detailed_OM&amp;A'!$A$17:$I$119,9,FALSE)</f>
        <v>0</v>
      </c>
      <c r="F76" s="403">
        <f t="shared" ref="F76:F85" si="12">E76-C76</f>
        <v>0</v>
      </c>
      <c r="G76" s="404" t="str">
        <f t="shared" ref="G76:G85" si="13">IF(C76=0,"",(E76/C76)-1)</f>
        <v/>
      </c>
      <c r="H76" s="403">
        <f t="shared" ref="H76:H85" si="14">E76-D76</f>
        <v>0</v>
      </c>
      <c r="I76" s="405" t="str">
        <f t="shared" ref="I76:I85" si="15">IF(D76=0,"",(E76/D76)-1)</f>
        <v/>
      </c>
      <c r="J76" s="10"/>
    </row>
    <row r="77" spans="1:10">
      <c r="A77" s="337">
        <v>5410</v>
      </c>
      <c r="B77" s="338" t="s">
        <v>578</v>
      </c>
      <c r="C77" s="175">
        <v>0</v>
      </c>
      <c r="D77" s="175">
        <v>0</v>
      </c>
      <c r="E77" s="402">
        <f>VLOOKUP(A77,'App.2-G_Detailed_OM&amp;A'!$A$17:$I$119,9,FALSE)</f>
        <v>78108.169853940824</v>
      </c>
      <c r="F77" s="406">
        <f t="shared" si="12"/>
        <v>78108.169853940824</v>
      </c>
      <c r="G77" s="404" t="str">
        <f t="shared" si="13"/>
        <v/>
      </c>
      <c r="H77" s="406">
        <f t="shared" si="14"/>
        <v>78108.169853940824</v>
      </c>
      <c r="I77" s="407" t="str">
        <f t="shared" si="15"/>
        <v/>
      </c>
      <c r="J77" s="10"/>
    </row>
    <row r="78" spans="1:10">
      <c r="A78" s="337">
        <v>5415</v>
      </c>
      <c r="B78" s="338" t="s">
        <v>579</v>
      </c>
      <c r="C78" s="175">
        <v>142484.07999999999</v>
      </c>
      <c r="D78" s="175">
        <v>439835.65</v>
      </c>
      <c r="E78" s="402">
        <f>VLOOKUP(A78,'App.2-G_Detailed_OM&amp;A'!$A$17:$I$119,9,FALSE)</f>
        <v>0</v>
      </c>
      <c r="F78" s="409">
        <f t="shared" si="12"/>
        <v>-142484.07999999999</v>
      </c>
      <c r="G78" s="410">
        <f t="shared" si="13"/>
        <v>-1</v>
      </c>
      <c r="H78" s="409">
        <f t="shared" si="14"/>
        <v>-439835.65</v>
      </c>
      <c r="I78" s="411">
        <f t="shared" si="15"/>
        <v>-1</v>
      </c>
      <c r="J78" s="10"/>
    </row>
    <row r="79" spans="1:10">
      <c r="A79" s="337">
        <v>5420</v>
      </c>
      <c r="B79" s="338" t="s">
        <v>580</v>
      </c>
      <c r="C79" s="175">
        <v>0</v>
      </c>
      <c r="D79" s="175">
        <v>0</v>
      </c>
      <c r="E79" s="402">
        <f>VLOOKUP(A79,'App.2-G_Detailed_OM&amp;A'!$A$17:$I$119,9,FALSE)</f>
        <v>0</v>
      </c>
      <c r="F79" s="406">
        <f t="shared" si="12"/>
        <v>0</v>
      </c>
      <c r="G79" s="404" t="str">
        <f t="shared" si="13"/>
        <v/>
      </c>
      <c r="H79" s="406">
        <f t="shared" si="14"/>
        <v>0</v>
      </c>
      <c r="I79" s="407" t="str">
        <f t="shared" si="15"/>
        <v/>
      </c>
      <c r="J79" s="10"/>
    </row>
    <row r="80" spans="1:10">
      <c r="A80" s="337">
        <v>5425</v>
      </c>
      <c r="B80" s="338" t="s">
        <v>581</v>
      </c>
      <c r="C80" s="175">
        <v>0</v>
      </c>
      <c r="D80" s="175">
        <v>0</v>
      </c>
      <c r="E80" s="402">
        <f>VLOOKUP(A80,'App.2-G_Detailed_OM&amp;A'!$A$17:$I$119,9,FALSE)</f>
        <v>0</v>
      </c>
      <c r="F80" s="406">
        <f t="shared" si="12"/>
        <v>0</v>
      </c>
      <c r="G80" s="404" t="str">
        <f t="shared" si="13"/>
        <v/>
      </c>
      <c r="H80" s="406">
        <f t="shared" si="14"/>
        <v>0</v>
      </c>
      <c r="I80" s="407" t="str">
        <f t="shared" si="15"/>
        <v/>
      </c>
      <c r="J80" s="10"/>
    </row>
    <row r="81" spans="1:10">
      <c r="A81" s="337">
        <v>5505</v>
      </c>
      <c r="B81" s="338" t="s">
        <v>568</v>
      </c>
      <c r="C81" s="175">
        <v>0</v>
      </c>
      <c r="D81" s="175">
        <v>0</v>
      </c>
      <c r="E81" s="402">
        <f>VLOOKUP(A81,'App.2-G_Detailed_OM&amp;A'!$A$17:$I$119,9,FALSE)</f>
        <v>0</v>
      </c>
      <c r="F81" s="406">
        <f t="shared" si="12"/>
        <v>0</v>
      </c>
      <c r="G81" s="404" t="str">
        <f t="shared" si="13"/>
        <v/>
      </c>
      <c r="H81" s="406">
        <f t="shared" si="14"/>
        <v>0</v>
      </c>
      <c r="I81" s="407" t="str">
        <f t="shared" si="15"/>
        <v/>
      </c>
      <c r="J81" s="10"/>
    </row>
    <row r="82" spans="1:10">
      <c r="A82" s="337">
        <v>5510</v>
      </c>
      <c r="B82" s="338" t="s">
        <v>582</v>
      </c>
      <c r="C82" s="175">
        <v>0</v>
      </c>
      <c r="D82" s="175">
        <v>0</v>
      </c>
      <c r="E82" s="402">
        <f>VLOOKUP(A82,'App.2-G_Detailed_OM&amp;A'!$A$17:$I$119,9,FALSE)</f>
        <v>0</v>
      </c>
      <c r="F82" s="406">
        <f t="shared" si="12"/>
        <v>0</v>
      </c>
      <c r="G82" s="404" t="str">
        <f t="shared" si="13"/>
        <v/>
      </c>
      <c r="H82" s="406">
        <f t="shared" si="14"/>
        <v>0</v>
      </c>
      <c r="I82" s="407" t="str">
        <f t="shared" si="15"/>
        <v/>
      </c>
      <c r="J82" s="10"/>
    </row>
    <row r="83" spans="1:10">
      <c r="A83" s="337">
        <v>5515</v>
      </c>
      <c r="B83" s="338" t="s">
        <v>583</v>
      </c>
      <c r="C83" s="175">
        <v>0</v>
      </c>
      <c r="D83" s="175">
        <v>0</v>
      </c>
      <c r="E83" s="402">
        <f>VLOOKUP(A83,'App.2-G_Detailed_OM&amp;A'!$A$17:$I$119,9,FALSE)</f>
        <v>0</v>
      </c>
      <c r="F83" s="406">
        <f t="shared" si="12"/>
        <v>0</v>
      </c>
      <c r="G83" s="404" t="str">
        <f t="shared" si="13"/>
        <v/>
      </c>
      <c r="H83" s="406">
        <f t="shared" si="14"/>
        <v>0</v>
      </c>
      <c r="I83" s="407" t="str">
        <f t="shared" si="15"/>
        <v/>
      </c>
      <c r="J83" s="10"/>
    </row>
    <row r="84" spans="1:10" ht="13.5" thickBot="1">
      <c r="A84" s="345">
        <v>5520</v>
      </c>
      <c r="B84" s="338" t="s">
        <v>584</v>
      </c>
      <c r="C84" s="175">
        <v>0</v>
      </c>
      <c r="D84" s="175">
        <v>0</v>
      </c>
      <c r="E84" s="402">
        <f>VLOOKUP(A84,'App.2-G_Detailed_OM&amp;A'!$A$17:$I$119,9,FALSE)</f>
        <v>0</v>
      </c>
      <c r="F84" s="406">
        <f t="shared" si="12"/>
        <v>0</v>
      </c>
      <c r="G84" s="404" t="str">
        <f t="shared" si="13"/>
        <v/>
      </c>
      <c r="H84" s="406">
        <f t="shared" si="14"/>
        <v>0</v>
      </c>
      <c r="I84" s="423" t="str">
        <f t="shared" si="15"/>
        <v/>
      </c>
      <c r="J84" s="10"/>
    </row>
    <row r="85" spans="1:10" ht="14.25" thickTop="1" thickBot="1">
      <c r="A85" s="362" t="s">
        <v>585</v>
      </c>
      <c r="B85" s="363"/>
      <c r="C85" s="224">
        <f>SUM(C76:C84)</f>
        <v>142484.07999999999</v>
      </c>
      <c r="D85" s="224">
        <f>SUM(D76:D84)</f>
        <v>439835.65</v>
      </c>
      <c r="E85" s="417">
        <f>SUM(E76:E84)</f>
        <v>78108.169853940824</v>
      </c>
      <c r="F85" s="418">
        <f t="shared" si="12"/>
        <v>-64375.910146059163</v>
      </c>
      <c r="G85" s="419">
        <f t="shared" si="13"/>
        <v>-0.45181124899047787</v>
      </c>
      <c r="H85" s="418">
        <f t="shared" si="14"/>
        <v>-361727.48014605918</v>
      </c>
      <c r="I85" s="420">
        <f t="shared" si="15"/>
        <v>-0.82241510015402164</v>
      </c>
      <c r="J85" s="10"/>
    </row>
    <row r="86" spans="1:10" ht="13.5" customHeight="1">
      <c r="A86" s="354" t="s">
        <v>334</v>
      </c>
      <c r="B86" s="1274" t="s">
        <v>279</v>
      </c>
      <c r="C86" s="1274"/>
      <c r="D86" s="1274"/>
      <c r="E86" s="1274"/>
      <c r="F86" s="1274"/>
      <c r="G86" s="1274"/>
      <c r="H86" s="1274"/>
      <c r="I86" s="1275"/>
      <c r="J86" s="10"/>
    </row>
    <row r="87" spans="1:10">
      <c r="A87" s="1255" t="s">
        <v>586</v>
      </c>
      <c r="B87" s="1256"/>
      <c r="C87" s="1256"/>
      <c r="D87" s="1256"/>
      <c r="E87" s="1256"/>
      <c r="F87" s="1256"/>
      <c r="G87" s="1256"/>
      <c r="H87" s="1256"/>
      <c r="I87" s="1257"/>
      <c r="J87" s="10"/>
    </row>
    <row r="88" spans="1:10">
      <c r="A88" s="337">
        <v>5605</v>
      </c>
      <c r="B88" s="338" t="s">
        <v>587</v>
      </c>
      <c r="C88" s="175">
        <v>426684.63</v>
      </c>
      <c r="D88" s="175">
        <v>417192.5</v>
      </c>
      <c r="E88" s="402">
        <f>VLOOKUP(A88,'App.2-G_Detailed_OM&amp;A'!$A$17:$I$119,9,FALSE)</f>
        <v>523280.07755725831</v>
      </c>
      <c r="F88" s="403">
        <f t="shared" ref="F88:F113" si="16">E88-C88</f>
        <v>96595.447557258303</v>
      </c>
      <c r="G88" s="404">
        <f t="shared" ref="G88:G113" si="17">IF(C88=0,"",(E88/C88)-1)</f>
        <v>0.22638604900593284</v>
      </c>
      <c r="H88" s="403">
        <f t="shared" ref="H88:H113" si="18">E88-D88</f>
        <v>106087.57755725831</v>
      </c>
      <c r="I88" s="405">
        <f t="shared" ref="I88:I113" si="19">IF(D88=0,"",(E88/D88)-1)</f>
        <v>0.25428927307479965</v>
      </c>
      <c r="J88" s="10"/>
    </row>
    <row r="89" spans="1:10">
      <c r="A89" s="337">
        <v>5610</v>
      </c>
      <c r="B89" s="368" t="s">
        <v>588</v>
      </c>
      <c r="C89" s="175">
        <v>509971.6</v>
      </c>
      <c r="D89" s="175">
        <v>465059.62</v>
      </c>
      <c r="E89" s="402">
        <f>VLOOKUP(A89,'App.2-G_Detailed_OM&amp;A'!$A$17:$I$119,9,FALSE)</f>
        <v>551537.10410169559</v>
      </c>
      <c r="F89" s="406">
        <f t="shared" si="16"/>
        <v>41565.504101695609</v>
      </c>
      <c r="G89" s="404">
        <f t="shared" si="17"/>
        <v>8.1505527173857617E-2</v>
      </c>
      <c r="H89" s="406">
        <f t="shared" si="18"/>
        <v>86477.484101695591</v>
      </c>
      <c r="I89" s="407">
        <f t="shared" si="19"/>
        <v>0.18594924259753109</v>
      </c>
      <c r="J89" s="10"/>
    </row>
    <row r="90" spans="1:10">
      <c r="A90" s="337">
        <v>5615</v>
      </c>
      <c r="B90" s="338" t="s">
        <v>589</v>
      </c>
      <c r="C90" s="175">
        <v>492148.42</v>
      </c>
      <c r="D90" s="175">
        <v>466709.02</v>
      </c>
      <c r="E90" s="402">
        <f>VLOOKUP(A90,'App.2-G_Detailed_OM&amp;A'!$A$17:$I$119,9,FALSE)</f>
        <v>659248.13719609147</v>
      </c>
      <c r="F90" s="409">
        <f t="shared" si="16"/>
        <v>167099.71719609149</v>
      </c>
      <c r="G90" s="410">
        <f t="shared" si="17"/>
        <v>0.33953114630763515</v>
      </c>
      <c r="H90" s="409">
        <f t="shared" si="18"/>
        <v>192539.11719609145</v>
      </c>
      <c r="I90" s="411">
        <f t="shared" si="19"/>
        <v>0.41254638103221453</v>
      </c>
      <c r="J90" s="10"/>
    </row>
    <row r="91" spans="1:10">
      <c r="A91" s="337">
        <v>5620</v>
      </c>
      <c r="B91" s="338" t="s">
        <v>590</v>
      </c>
      <c r="C91" s="175">
        <v>65800.98</v>
      </c>
      <c r="D91" s="175">
        <v>81723.45</v>
      </c>
      <c r="E91" s="402">
        <f>VLOOKUP(A91,'App.2-G_Detailed_OM&amp;A'!$A$17:$I$119,9,FALSE)</f>
        <v>312493.49210327829</v>
      </c>
      <c r="F91" s="406">
        <f t="shared" si="16"/>
        <v>246692.51210327831</v>
      </c>
      <c r="G91" s="404">
        <f t="shared" si="17"/>
        <v>3.7490704865380167</v>
      </c>
      <c r="H91" s="406">
        <f t="shared" si="18"/>
        <v>230770.04210327828</v>
      </c>
      <c r="I91" s="407">
        <f t="shared" si="19"/>
        <v>2.82379221757376</v>
      </c>
      <c r="J91" s="10"/>
    </row>
    <row r="92" spans="1:10">
      <c r="A92" s="337">
        <v>5625</v>
      </c>
      <c r="B92" s="338" t="s">
        <v>591</v>
      </c>
      <c r="C92" s="175">
        <v>0</v>
      </c>
      <c r="D92" s="175">
        <v>0</v>
      </c>
      <c r="E92" s="402">
        <f>VLOOKUP(A92,'App.2-G_Detailed_OM&amp;A'!$A$17:$I$119,9,FALSE)</f>
        <v>0</v>
      </c>
      <c r="F92" s="406">
        <f t="shared" si="16"/>
        <v>0</v>
      </c>
      <c r="G92" s="404" t="str">
        <f t="shared" si="17"/>
        <v/>
      </c>
      <c r="H92" s="406">
        <f t="shared" si="18"/>
        <v>0</v>
      </c>
      <c r="I92" s="407" t="str">
        <f t="shared" si="19"/>
        <v/>
      </c>
      <c r="J92" s="10"/>
    </row>
    <row r="93" spans="1:10">
      <c r="A93" s="337">
        <v>5630</v>
      </c>
      <c r="B93" s="338" t="s">
        <v>592</v>
      </c>
      <c r="C93" s="175">
        <v>60163</v>
      </c>
      <c r="D93" s="175">
        <v>53650</v>
      </c>
      <c r="E93" s="402">
        <f>VLOOKUP(A93,'App.2-G_Detailed_OM&amp;A'!$A$17:$I$119,9,FALSE)</f>
        <v>0</v>
      </c>
      <c r="F93" s="406">
        <f t="shared" si="16"/>
        <v>-60163</v>
      </c>
      <c r="G93" s="404">
        <f t="shared" si="17"/>
        <v>-1</v>
      </c>
      <c r="H93" s="406">
        <f t="shared" si="18"/>
        <v>-53650</v>
      </c>
      <c r="I93" s="407">
        <f t="shared" si="19"/>
        <v>-1</v>
      </c>
      <c r="J93" s="10"/>
    </row>
    <row r="94" spans="1:10">
      <c r="A94" s="337">
        <v>5635</v>
      </c>
      <c r="B94" s="338" t="s">
        <v>593</v>
      </c>
      <c r="C94" s="175">
        <v>0</v>
      </c>
      <c r="D94" s="175">
        <v>0</v>
      </c>
      <c r="E94" s="402">
        <f>VLOOKUP(A94,'App.2-G_Detailed_OM&amp;A'!$A$17:$I$119,9,FALSE)</f>
        <v>0</v>
      </c>
      <c r="F94" s="406">
        <f t="shared" si="16"/>
        <v>0</v>
      </c>
      <c r="G94" s="404" t="str">
        <f t="shared" si="17"/>
        <v/>
      </c>
      <c r="H94" s="406">
        <f t="shared" si="18"/>
        <v>0</v>
      </c>
      <c r="I94" s="407" t="str">
        <f t="shared" si="19"/>
        <v/>
      </c>
      <c r="J94" s="10"/>
    </row>
    <row r="95" spans="1:10">
      <c r="A95" s="337">
        <v>5640</v>
      </c>
      <c r="B95" s="338" t="s">
        <v>594</v>
      </c>
      <c r="C95" s="175">
        <v>314078.73</v>
      </c>
      <c r="D95" s="175">
        <v>17883.669999999998</v>
      </c>
      <c r="E95" s="402">
        <f>VLOOKUP(A95,'App.2-G_Detailed_OM&amp;A'!$A$17:$I$119,9,FALSE)</f>
        <v>0</v>
      </c>
      <c r="F95" s="406">
        <f t="shared" si="16"/>
        <v>-314078.73</v>
      </c>
      <c r="G95" s="404">
        <f t="shared" si="17"/>
        <v>-1</v>
      </c>
      <c r="H95" s="406">
        <f t="shared" si="18"/>
        <v>-17883.669999999998</v>
      </c>
      <c r="I95" s="407">
        <f t="shared" si="19"/>
        <v>-1</v>
      </c>
      <c r="J95" s="10"/>
    </row>
    <row r="96" spans="1:10">
      <c r="A96" s="337">
        <v>5645</v>
      </c>
      <c r="B96" s="368" t="s">
        <v>595</v>
      </c>
      <c r="C96" s="175">
        <v>0</v>
      </c>
      <c r="D96" s="175">
        <v>1280544</v>
      </c>
      <c r="E96" s="402">
        <f>VLOOKUP(A96,'App.2-G_Detailed_OM&amp;A'!$A$17:$I$119,9,FALSE)</f>
        <v>0</v>
      </c>
      <c r="F96" s="406">
        <f t="shared" si="16"/>
        <v>0</v>
      </c>
      <c r="G96" s="404" t="str">
        <f t="shared" si="17"/>
        <v/>
      </c>
      <c r="H96" s="406">
        <f t="shared" si="18"/>
        <v>-1280544</v>
      </c>
      <c r="I96" s="407">
        <f t="shared" si="19"/>
        <v>-1</v>
      </c>
      <c r="J96" s="10"/>
    </row>
    <row r="97" spans="1:10">
      <c r="A97" s="337">
        <v>5646</v>
      </c>
      <c r="B97" s="368" t="s">
        <v>596</v>
      </c>
      <c r="C97" s="175">
        <v>0</v>
      </c>
      <c r="D97" s="175">
        <v>0</v>
      </c>
      <c r="E97" s="402">
        <f>VLOOKUP(A97,'App.2-G_Detailed_OM&amp;A'!$A$17:$I$119,9,FALSE)</f>
        <v>0</v>
      </c>
      <c r="F97" s="406">
        <f t="shared" si="16"/>
        <v>0</v>
      </c>
      <c r="G97" s="404" t="str">
        <f t="shared" si="17"/>
        <v/>
      </c>
      <c r="H97" s="406">
        <f t="shared" si="18"/>
        <v>0</v>
      </c>
      <c r="I97" s="407" t="str">
        <f t="shared" si="19"/>
        <v/>
      </c>
      <c r="J97" s="10"/>
    </row>
    <row r="98" spans="1:10">
      <c r="A98" s="337">
        <v>5647</v>
      </c>
      <c r="B98" s="368" t="s">
        <v>597</v>
      </c>
      <c r="C98" s="175">
        <v>0</v>
      </c>
      <c r="D98" s="175">
        <v>0</v>
      </c>
      <c r="E98" s="402">
        <f>VLOOKUP(A98,'App.2-G_Detailed_OM&amp;A'!$A$17:$I$119,9,FALSE)</f>
        <v>0</v>
      </c>
      <c r="F98" s="406">
        <f t="shared" si="16"/>
        <v>0</v>
      </c>
      <c r="G98" s="404" t="str">
        <f t="shared" si="17"/>
        <v/>
      </c>
      <c r="H98" s="406">
        <f t="shared" si="18"/>
        <v>0</v>
      </c>
      <c r="I98" s="407" t="str">
        <f t="shared" si="19"/>
        <v/>
      </c>
      <c r="J98" s="10"/>
    </row>
    <row r="99" spans="1:10">
      <c r="A99" s="337">
        <v>5650</v>
      </c>
      <c r="B99" s="338" t="s">
        <v>598</v>
      </c>
      <c r="C99" s="175">
        <v>0</v>
      </c>
      <c r="D99" s="175">
        <v>0</v>
      </c>
      <c r="E99" s="402">
        <f>VLOOKUP(A99,'App.2-G_Detailed_OM&amp;A'!$A$17:$I$119,9,FALSE)</f>
        <v>0</v>
      </c>
      <c r="F99" s="406">
        <f t="shared" si="16"/>
        <v>0</v>
      </c>
      <c r="G99" s="404" t="str">
        <f t="shared" si="17"/>
        <v/>
      </c>
      <c r="H99" s="406">
        <f t="shared" si="18"/>
        <v>0</v>
      </c>
      <c r="I99" s="407" t="str">
        <f t="shared" si="19"/>
        <v/>
      </c>
      <c r="J99" s="10"/>
    </row>
    <row r="100" spans="1:10">
      <c r="A100" s="337">
        <v>5655</v>
      </c>
      <c r="B100" s="338" t="s">
        <v>599</v>
      </c>
      <c r="C100" s="175">
        <v>553280.79</v>
      </c>
      <c r="D100" s="175">
        <v>275241.37</v>
      </c>
      <c r="E100" s="402">
        <f>VLOOKUP(A100,'App.2-G_Detailed_OM&amp;A'!$A$17:$I$119,9,FALSE)</f>
        <v>486839.3845379983</v>
      </c>
      <c r="F100" s="406">
        <f t="shared" si="16"/>
        <v>-66441.405462001741</v>
      </c>
      <c r="G100" s="404">
        <f t="shared" si="17"/>
        <v>-0.12008623227638493</v>
      </c>
      <c r="H100" s="406">
        <f t="shared" si="18"/>
        <v>211598.0145379983</v>
      </c>
      <c r="I100" s="407">
        <f t="shared" si="19"/>
        <v>0.76877256692189233</v>
      </c>
      <c r="J100" s="10"/>
    </row>
    <row r="101" spans="1:10">
      <c r="A101" s="337">
        <v>5660</v>
      </c>
      <c r="B101" s="338" t="s">
        <v>600</v>
      </c>
      <c r="C101" s="175">
        <v>49394.94</v>
      </c>
      <c r="D101" s="175">
        <v>34408.25</v>
      </c>
      <c r="E101" s="402">
        <f>VLOOKUP(A101,'App.2-G_Detailed_OM&amp;A'!$A$17:$I$119,9,FALSE)</f>
        <v>52869.226127386515</v>
      </c>
      <c r="F101" s="406">
        <f t="shared" si="16"/>
        <v>3474.2861273865128</v>
      </c>
      <c r="G101" s="404">
        <f t="shared" si="17"/>
        <v>7.0336883239184189E-2</v>
      </c>
      <c r="H101" s="406">
        <f t="shared" si="18"/>
        <v>18460.976127386515</v>
      </c>
      <c r="I101" s="407">
        <f t="shared" si="19"/>
        <v>0.53652760972692648</v>
      </c>
      <c r="J101" s="10"/>
    </row>
    <row r="102" spans="1:10">
      <c r="A102" s="337">
        <v>5665</v>
      </c>
      <c r="B102" s="338" t="s">
        <v>601</v>
      </c>
      <c r="C102" s="175">
        <v>319088.65999999997</v>
      </c>
      <c r="D102" s="175">
        <v>380098.41</v>
      </c>
      <c r="E102" s="402">
        <f>VLOOKUP(A102,'App.2-G_Detailed_OM&amp;A'!$A$17:$I$119,9,FALSE)</f>
        <v>551026.94400000002</v>
      </c>
      <c r="F102" s="406">
        <f t="shared" si="16"/>
        <v>231938.28400000004</v>
      </c>
      <c r="G102" s="404">
        <f t="shared" si="17"/>
        <v>0.72687723844526486</v>
      </c>
      <c r="H102" s="406">
        <f t="shared" si="18"/>
        <v>170928.53400000004</v>
      </c>
      <c r="I102" s="407">
        <f t="shared" si="19"/>
        <v>0.44969547228571694</v>
      </c>
      <c r="J102" s="10"/>
    </row>
    <row r="103" spans="1:10">
      <c r="A103" s="337">
        <v>5670</v>
      </c>
      <c r="B103" s="338" t="s">
        <v>602</v>
      </c>
      <c r="C103" s="175">
        <v>185789.6</v>
      </c>
      <c r="D103" s="175">
        <v>313629.27</v>
      </c>
      <c r="E103" s="402">
        <f>VLOOKUP(A103,'App.2-G_Detailed_OM&amp;A'!$A$17:$I$119,9,FALSE)</f>
        <v>62000</v>
      </c>
      <c r="F103" s="406">
        <f t="shared" si="16"/>
        <v>-123789.6</v>
      </c>
      <c r="G103" s="404">
        <f t="shared" si="17"/>
        <v>-0.66628917872690407</v>
      </c>
      <c r="H103" s="406">
        <f t="shared" si="18"/>
        <v>-251629.27000000002</v>
      </c>
      <c r="I103" s="407">
        <f t="shared" si="19"/>
        <v>-0.80231436944644874</v>
      </c>
      <c r="J103" s="10"/>
    </row>
    <row r="104" spans="1:10">
      <c r="A104" s="369">
        <v>5672</v>
      </c>
      <c r="B104" s="368" t="s">
        <v>603</v>
      </c>
      <c r="C104" s="175">
        <v>0</v>
      </c>
      <c r="D104" s="175">
        <v>0</v>
      </c>
      <c r="E104" s="402">
        <f>VLOOKUP(A104,'App.2-G_Detailed_OM&amp;A'!$A$17:$I$119,9,FALSE)</f>
        <v>0</v>
      </c>
      <c r="F104" s="406">
        <f t="shared" si="16"/>
        <v>0</v>
      </c>
      <c r="G104" s="404" t="str">
        <f t="shared" si="17"/>
        <v/>
      </c>
      <c r="H104" s="406">
        <f t="shared" si="18"/>
        <v>0</v>
      </c>
      <c r="I104" s="407"/>
      <c r="J104" s="10"/>
    </row>
    <row r="105" spans="1:10">
      <c r="A105" s="337">
        <v>5675</v>
      </c>
      <c r="B105" s="338" t="s">
        <v>604</v>
      </c>
      <c r="C105" s="175">
        <v>967442.91</v>
      </c>
      <c r="D105" s="175">
        <v>1143724.06</v>
      </c>
      <c r="E105" s="402">
        <f>VLOOKUP(A105,'App.2-G_Detailed_OM&amp;A'!$A$17:$I$119,9,FALSE)</f>
        <v>34797.578848995443</v>
      </c>
      <c r="F105" s="406">
        <f t="shared" si="16"/>
        <v>-932645.33115100465</v>
      </c>
      <c r="G105" s="404">
        <f t="shared" si="17"/>
        <v>-0.96403138780665054</v>
      </c>
      <c r="H105" s="406">
        <f t="shared" si="18"/>
        <v>-1108926.4811510046</v>
      </c>
      <c r="I105" s="407">
        <f t="shared" si="19"/>
        <v>-0.96957519731726594</v>
      </c>
      <c r="J105" s="10"/>
    </row>
    <row r="106" spans="1:10">
      <c r="A106" s="337">
        <v>5680</v>
      </c>
      <c r="B106" s="338" t="s">
        <v>605</v>
      </c>
      <c r="C106" s="175">
        <v>0</v>
      </c>
      <c r="D106" s="175">
        <v>0</v>
      </c>
      <c r="E106" s="402">
        <f>VLOOKUP(A106,'App.2-G_Detailed_OM&amp;A'!$A$17:$I$119,9,FALSE)</f>
        <v>0</v>
      </c>
      <c r="F106" s="406">
        <f t="shared" si="16"/>
        <v>0</v>
      </c>
      <c r="G106" s="404" t="str">
        <f t="shared" si="17"/>
        <v/>
      </c>
      <c r="H106" s="406">
        <f t="shared" si="18"/>
        <v>0</v>
      </c>
      <c r="I106" s="407" t="str">
        <f t="shared" si="19"/>
        <v/>
      </c>
      <c r="J106" s="10"/>
    </row>
    <row r="107" spans="1:10">
      <c r="A107" s="369">
        <v>5681</v>
      </c>
      <c r="B107" s="368" t="s">
        <v>606</v>
      </c>
      <c r="C107" s="175">
        <v>0</v>
      </c>
      <c r="D107" s="175">
        <v>138035.79999999999</v>
      </c>
      <c r="E107" s="402">
        <f>VLOOKUP(A107,'App.2-G_Detailed_OM&amp;A'!$A$17:$I$119,9,FALSE)</f>
        <v>0</v>
      </c>
      <c r="F107" s="406">
        <f t="shared" si="16"/>
        <v>0</v>
      </c>
      <c r="G107" s="404" t="str">
        <f t="shared" si="17"/>
        <v/>
      </c>
      <c r="H107" s="406">
        <f t="shared" si="18"/>
        <v>-138035.79999999999</v>
      </c>
      <c r="I107" s="407">
        <f t="shared" si="19"/>
        <v>-1</v>
      </c>
      <c r="J107" s="10"/>
    </row>
    <row r="108" spans="1:10">
      <c r="A108" s="337">
        <v>5685</v>
      </c>
      <c r="B108" s="338" t="s">
        <v>607</v>
      </c>
      <c r="C108" s="175">
        <v>0</v>
      </c>
      <c r="D108" s="175">
        <v>0</v>
      </c>
      <c r="E108" s="402">
        <f>VLOOKUP(A108,'App.2-G_Detailed_OM&amp;A'!$A$17:$I$119,9,FALSE)</f>
        <v>0</v>
      </c>
      <c r="F108" s="406">
        <f t="shared" si="16"/>
        <v>0</v>
      </c>
      <c r="G108" s="404" t="str">
        <f t="shared" si="17"/>
        <v/>
      </c>
      <c r="H108" s="406">
        <f t="shared" si="18"/>
        <v>0</v>
      </c>
      <c r="I108" s="411" t="str">
        <f t="shared" si="19"/>
        <v/>
      </c>
      <c r="J108" s="10"/>
    </row>
    <row r="109" spans="1:10">
      <c r="A109" s="337">
        <v>5695</v>
      </c>
      <c r="B109" s="338" t="s">
        <v>608</v>
      </c>
      <c r="C109" s="175">
        <v>0</v>
      </c>
      <c r="D109" s="175">
        <v>0</v>
      </c>
      <c r="E109" s="402">
        <f>VLOOKUP(A109,'App.2-G_Detailed_OM&amp;A'!$A$17:$I$119,9,FALSE)</f>
        <v>0</v>
      </c>
      <c r="F109" s="406">
        <f t="shared" si="16"/>
        <v>0</v>
      </c>
      <c r="G109" s="404" t="str">
        <f t="shared" si="17"/>
        <v/>
      </c>
      <c r="H109" s="406">
        <f t="shared" si="18"/>
        <v>0</v>
      </c>
      <c r="I109" s="407" t="str">
        <f t="shared" si="19"/>
        <v/>
      </c>
      <c r="J109" s="10"/>
    </row>
    <row r="110" spans="1:10">
      <c r="A110" s="345">
        <v>6205</v>
      </c>
      <c r="B110" s="368" t="s">
        <v>609</v>
      </c>
      <c r="C110" s="175">
        <v>202000</v>
      </c>
      <c r="D110" s="175">
        <v>0</v>
      </c>
      <c r="E110" s="402">
        <f>VLOOKUP(A110,'App.2-G_Detailed_OM&amp;A'!$A$17:$I$119,9,FALSE)</f>
        <v>0</v>
      </c>
      <c r="F110" s="406">
        <f t="shared" si="16"/>
        <v>-202000</v>
      </c>
      <c r="G110" s="404">
        <f t="shared" si="17"/>
        <v>-1</v>
      </c>
      <c r="H110" s="406">
        <f t="shared" si="18"/>
        <v>0</v>
      </c>
      <c r="I110" s="407" t="str">
        <f t="shared" si="19"/>
        <v/>
      </c>
      <c r="J110" s="10"/>
    </row>
    <row r="111" spans="1:10" ht="13.5" thickBot="1">
      <c r="A111" s="358">
        <v>6205</v>
      </c>
      <c r="B111" s="370" t="s">
        <v>610</v>
      </c>
      <c r="C111" s="175">
        <v>0</v>
      </c>
      <c r="D111" s="175">
        <v>27000</v>
      </c>
      <c r="E111" s="402">
        <f>'App.2-G_Detailed_OM&amp;A'!I110</f>
        <v>27000</v>
      </c>
      <c r="F111" s="409">
        <f t="shared" si="16"/>
        <v>27000</v>
      </c>
      <c r="G111" s="410" t="str">
        <f t="shared" si="17"/>
        <v/>
      </c>
      <c r="H111" s="409">
        <f t="shared" si="18"/>
        <v>0</v>
      </c>
      <c r="I111" s="411">
        <f t="shared" si="19"/>
        <v>0</v>
      </c>
      <c r="J111" s="10"/>
    </row>
    <row r="112" spans="1:10" ht="14.25" thickTop="1" thickBot="1">
      <c r="A112" s="371" t="s">
        <v>611</v>
      </c>
      <c r="B112" s="363"/>
      <c r="C112" s="224">
        <f>SUM(C88:C111)</f>
        <v>4145844.2600000002</v>
      </c>
      <c r="D112" s="224">
        <f>SUM(D88:D111)</f>
        <v>5094899.42</v>
      </c>
      <c r="E112" s="417">
        <f>SUM(E88:E111)</f>
        <v>3261091.9444727036</v>
      </c>
      <c r="F112" s="418">
        <f t="shared" si="16"/>
        <v>-884752.31552729663</v>
      </c>
      <c r="G112" s="419">
        <f t="shared" si="17"/>
        <v>-0.21340703124417326</v>
      </c>
      <c r="H112" s="418">
        <f t="shared" si="18"/>
        <v>-1833807.4755272963</v>
      </c>
      <c r="I112" s="419">
        <f t="shared" si="19"/>
        <v>-0.35993006423810747</v>
      </c>
      <c r="J112" s="10"/>
    </row>
    <row r="113" spans="1:10" ht="13.5" thickBot="1">
      <c r="A113" s="1264" t="s">
        <v>612</v>
      </c>
      <c r="B113" s="1265"/>
      <c r="C113" s="424">
        <f>C112+C85+C73+C62+C41</f>
        <v>11636818.07</v>
      </c>
      <c r="D113" s="425">
        <f>D112+D85+D73+D62+D41</f>
        <v>13117276.84</v>
      </c>
      <c r="E113" s="426">
        <f>E112+E85+E73+E62+E41</f>
        <v>14189616.76282287</v>
      </c>
      <c r="F113" s="427">
        <f t="shared" si="16"/>
        <v>2552798.6928228699</v>
      </c>
      <c r="G113" s="428">
        <f t="shared" si="17"/>
        <v>0.2193725705314622</v>
      </c>
      <c r="H113" s="427">
        <f t="shared" si="18"/>
        <v>1072339.9228228703</v>
      </c>
      <c r="I113" s="428">
        <f t="shared" si="19"/>
        <v>8.1750193725641518E-2</v>
      </c>
      <c r="J113" s="10"/>
    </row>
    <row r="114" spans="1:10" ht="13.5" thickBot="1">
      <c r="A114" s="1264" t="s">
        <v>613</v>
      </c>
      <c r="B114" s="1265"/>
      <c r="G114" s="429"/>
      <c r="I114" s="429"/>
      <c r="J114" s="10"/>
    </row>
    <row r="115" spans="1:10">
      <c r="A115" s="369">
        <v>5681</v>
      </c>
      <c r="B115" s="368" t="s">
        <v>606</v>
      </c>
      <c r="C115" s="430">
        <v>0</v>
      </c>
      <c r="D115" s="430">
        <v>138035.79999999999</v>
      </c>
      <c r="E115" s="431">
        <f>'App.2-G_Detailed_OM&amp;A'!G114</f>
        <v>0</v>
      </c>
      <c r="F115" s="432">
        <f>E115-C115</f>
        <v>0</v>
      </c>
      <c r="G115" s="433" t="str">
        <f>IF(C115=0,"",(E115/C115)-1)</f>
        <v/>
      </c>
      <c r="H115" s="434">
        <f>E115-D115</f>
        <v>-138035.79999999999</v>
      </c>
      <c r="I115" s="435">
        <f>IF(D115=0,"",(E115/D115)-1)</f>
        <v>-1</v>
      </c>
      <c r="J115" s="10"/>
    </row>
    <row r="116" spans="1:10" ht="14.25">
      <c r="A116" s="342">
        <v>6205</v>
      </c>
      <c r="B116" s="368" t="s">
        <v>614</v>
      </c>
      <c r="C116" s="180">
        <v>202000</v>
      </c>
      <c r="D116" s="180"/>
      <c r="E116" s="436"/>
      <c r="F116" s="437">
        <f>E116-C116</f>
        <v>-202000</v>
      </c>
      <c r="G116" s="404">
        <f>IF(C116=0,"",(E116/C116)-1)</f>
        <v>-1</v>
      </c>
      <c r="H116" s="406">
        <f>E116-D116</f>
        <v>0</v>
      </c>
      <c r="I116" s="407" t="str">
        <f>IF(D116=0,"",(E116/D116)-1)</f>
        <v/>
      </c>
      <c r="J116" s="10"/>
    </row>
    <row r="117" spans="1:10">
      <c r="A117" s="438"/>
      <c r="B117" s="439"/>
      <c r="C117" s="180"/>
      <c r="D117" s="180"/>
      <c r="E117" s="436"/>
      <c r="F117" s="437">
        <f>E117-C117</f>
        <v>0</v>
      </c>
      <c r="G117" s="404" t="str">
        <f>IF(C117=0,"",(E117/C117)-1)</f>
        <v/>
      </c>
      <c r="H117" s="406">
        <f>E117-D117</f>
        <v>0</v>
      </c>
      <c r="I117" s="407" t="str">
        <f>IF(D117=0,"",(E117/D117)-1)</f>
        <v/>
      </c>
      <c r="J117" s="10"/>
    </row>
    <row r="118" spans="1:10">
      <c r="A118" s="438"/>
      <c r="B118" s="439"/>
      <c r="C118" s="180"/>
      <c r="D118" s="180"/>
      <c r="E118" s="436"/>
      <c r="F118" s="437">
        <f>E118-C118</f>
        <v>0</v>
      </c>
      <c r="G118" s="404" t="str">
        <f>IF(C118=0,"",(E118/C118)-1)</f>
        <v/>
      </c>
      <c r="H118" s="406">
        <f>E118-D118</f>
        <v>0</v>
      </c>
      <c r="I118" s="407" t="str">
        <f>IF(D118=0,"",(E118/D118)-1)</f>
        <v/>
      </c>
      <c r="J118" s="10"/>
    </row>
    <row r="119" spans="1:10" ht="13.5" thickBot="1">
      <c r="A119" s="440"/>
      <c r="B119" s="441"/>
      <c r="C119" s="442"/>
      <c r="D119" s="442"/>
      <c r="E119" s="443"/>
      <c r="F119" s="444">
        <f>E119-C119</f>
        <v>0</v>
      </c>
      <c r="G119" s="445" t="str">
        <f>IF(C119=0,"",(E119/C119)-1)</f>
        <v/>
      </c>
      <c r="H119" s="446">
        <f>E119-D119</f>
        <v>0</v>
      </c>
      <c r="I119" s="447" t="str">
        <f>IF(D119=0,"",(E119/D119)-1)</f>
        <v/>
      </c>
      <c r="J119" s="10"/>
    </row>
    <row r="120" spans="1:10" ht="13.5" thickBot="1">
      <c r="A120" s="1264" t="s">
        <v>615</v>
      </c>
      <c r="B120" s="1265"/>
      <c r="C120" s="448">
        <f>C113-SUM(C115:C119)</f>
        <v>11434818.07</v>
      </c>
      <c r="D120" s="448">
        <f t="shared" ref="D120:H120" si="20">D113-SUM(D115:D119)</f>
        <v>12979241.039999999</v>
      </c>
      <c r="E120" s="448">
        <f t="shared" si="20"/>
        <v>14189616.76282287</v>
      </c>
      <c r="F120" s="448">
        <f t="shared" si="20"/>
        <v>2754798.6928228699</v>
      </c>
      <c r="G120" s="428">
        <f t="shared" ref="G120" si="21">IF(C120=0,"",(E120/C120)-1)</f>
        <v>0.24091320701028596</v>
      </c>
      <c r="H120" s="448">
        <f t="shared" si="20"/>
        <v>1210375.7228228704</v>
      </c>
      <c r="I120" s="428">
        <f t="shared" ref="I120" si="22">IF(D120=0,"",(E120/D120)-1)</f>
        <v>9.3254738015318583E-2</v>
      </c>
      <c r="J120" s="10"/>
    </row>
    <row r="122" spans="1:10" ht="14.25">
      <c r="A122" s="10" t="s">
        <v>616</v>
      </c>
    </row>
    <row r="123" spans="1:10">
      <c r="A123" s="10"/>
    </row>
    <row r="124" spans="1:10">
      <c r="A124" s="10"/>
    </row>
    <row r="125" spans="1:10">
      <c r="A125" s="449" t="s">
        <v>617</v>
      </c>
    </row>
    <row r="126" spans="1:10">
      <c r="A126" s="450"/>
    </row>
    <row r="127" spans="1:10">
      <c r="A127" s="451">
        <v>1</v>
      </c>
      <c r="B127" s="1276" t="s">
        <v>626</v>
      </c>
      <c r="C127" s="1277"/>
      <c r="D127" s="1277"/>
      <c r="E127" s="1277"/>
      <c r="F127" s="1277"/>
      <c r="G127" s="1277"/>
      <c r="H127" s="1277"/>
      <c r="I127" s="1277"/>
    </row>
    <row r="128" spans="1:10" ht="27.75" customHeight="1">
      <c r="A128" s="452">
        <v>2</v>
      </c>
      <c r="B128" s="1278" t="s">
        <v>627</v>
      </c>
      <c r="C128" s="1279"/>
      <c r="D128" s="1279"/>
      <c r="E128" s="1279"/>
      <c r="F128" s="1279"/>
      <c r="G128" s="1279"/>
      <c r="H128" s="1279"/>
      <c r="I128" s="1279"/>
    </row>
  </sheetData>
  <mergeCells count="27">
    <mergeCell ref="A113:B113"/>
    <mergeCell ref="A114:B114"/>
    <mergeCell ref="A120:B120"/>
    <mergeCell ref="B127:I127"/>
    <mergeCell ref="B128:I128"/>
    <mergeCell ref="A87:I87"/>
    <mergeCell ref="A17:I17"/>
    <mergeCell ref="A41:B41"/>
    <mergeCell ref="B42:I42"/>
    <mergeCell ref="A43:I43"/>
    <mergeCell ref="A62:B62"/>
    <mergeCell ref="B63:I63"/>
    <mergeCell ref="A64:I64"/>
    <mergeCell ref="A73:B73"/>
    <mergeCell ref="B74:I74"/>
    <mergeCell ref="A75:I75"/>
    <mergeCell ref="B86:I86"/>
    <mergeCell ref="A9:I9"/>
    <mergeCell ref="A10:I10"/>
    <mergeCell ref="A11:I11"/>
    <mergeCell ref="A14:A15"/>
    <mergeCell ref="B14:B15"/>
    <mergeCell ref="C14:C15"/>
    <mergeCell ref="D14:D15"/>
    <mergeCell ref="E14:E15"/>
    <mergeCell ref="F14:G14"/>
    <mergeCell ref="H14:I14"/>
  </mergeCells>
  <dataValidations count="1">
    <dataValidation type="list" allowBlank="1" showInputMessage="1" showErrorMessage="1" sqref="C16:E16">
      <formula1>"CGAAP, MIFRS, USGAAP, ASPE"</formula1>
    </dataValidation>
  </dataValidations>
  <pageMargins left="0.75" right="0.75" top="1" bottom="1" header="0.5" footer="0.5"/>
  <pageSetup scale="51" fitToHeight="0" orientation="portrait" r:id="rId1"/>
  <headerFooter alignWithMargins="0"/>
</worksheet>
</file>

<file path=xl/worksheets/sheet18.xml><?xml version="1.0" encoding="utf-8"?>
<worksheet xmlns="http://schemas.openxmlformats.org/spreadsheetml/2006/main" xmlns:r="http://schemas.openxmlformats.org/officeDocument/2006/relationships">
  <sheetPr>
    <pageSetUpPr fitToPage="1"/>
  </sheetPr>
  <dimension ref="A1:L132"/>
  <sheetViews>
    <sheetView showGridLines="0" zoomScaleNormal="100" workbookViewId="0">
      <selection activeCell="J24" sqref="J24"/>
    </sheetView>
  </sheetViews>
  <sheetFormatPr defaultRowHeight="12.75"/>
  <cols>
    <col min="1" max="1" width="29" customWidth="1"/>
    <col min="2" max="2" width="15.140625" customWidth="1"/>
    <col min="3" max="3" width="15" customWidth="1"/>
    <col min="4" max="4" width="13.28515625" bestFit="1" customWidth="1"/>
    <col min="5" max="5" width="12.7109375" bestFit="1" customWidth="1"/>
    <col min="6" max="7" width="12.7109375" customWidth="1"/>
    <col min="8" max="8" width="13.28515625" bestFit="1" customWidth="1"/>
    <col min="9" max="9" width="12.5703125" customWidth="1"/>
    <col min="10" max="10" width="13.28515625" bestFit="1" customWidth="1"/>
    <col min="11" max="11" width="12.7109375" bestFit="1" customWidth="1"/>
    <col min="12" max="12" width="11.7109375" customWidth="1"/>
  </cols>
  <sheetData>
    <row r="1" spans="1:12" ht="18">
      <c r="A1" s="267"/>
      <c r="K1" s="31" t="s">
        <v>131</v>
      </c>
      <c r="L1" s="32" t="str">
        <f>'LDC Info'!$E$18</f>
        <v>EB-2012-0126</v>
      </c>
    </row>
    <row r="2" spans="1:12">
      <c r="K2" s="31" t="s">
        <v>132</v>
      </c>
      <c r="L2" s="33"/>
    </row>
    <row r="3" spans="1:12">
      <c r="K3" s="31" t="s">
        <v>133</v>
      </c>
      <c r="L3" s="33"/>
    </row>
    <row r="4" spans="1:12">
      <c r="K4" s="31" t="s">
        <v>134</v>
      </c>
      <c r="L4" s="33"/>
    </row>
    <row r="5" spans="1:12">
      <c r="K5" s="31" t="s">
        <v>135</v>
      </c>
      <c r="L5" s="34"/>
    </row>
    <row r="6" spans="1:12">
      <c r="K6" s="31"/>
      <c r="L6" s="32"/>
    </row>
    <row r="7" spans="1:12">
      <c r="K7" s="31" t="s">
        <v>136</v>
      </c>
      <c r="L7" s="34" t="s">
        <v>1171</v>
      </c>
    </row>
    <row r="9" spans="1:12" ht="18">
      <c r="A9" s="1280" t="s">
        <v>628</v>
      </c>
      <c r="B9" s="1280"/>
      <c r="C9" s="1280"/>
      <c r="D9" s="1280"/>
      <c r="E9" s="1280"/>
      <c r="F9" s="1280"/>
      <c r="G9" s="1280"/>
    </row>
    <row r="10" spans="1:12" ht="18">
      <c r="A10" s="1280" t="s">
        <v>629</v>
      </c>
      <c r="B10" s="1280"/>
      <c r="C10" s="1280"/>
      <c r="D10" s="1280"/>
      <c r="E10" s="1280"/>
      <c r="F10" s="1280"/>
      <c r="G10" s="1280"/>
    </row>
    <row r="12" spans="1:12" ht="13.5" thickBot="1">
      <c r="H12" s="26"/>
      <c r="I12" s="26"/>
    </row>
    <row r="13" spans="1:12" ht="39" thickBot="1">
      <c r="A13" s="453"/>
      <c r="B13" s="454" t="str">
        <f>"Last Rebasing Year (" &amp; 'LDC Info'!E30 &amp; " BA)"</f>
        <v>Last Rebasing Year (2009 BA)</v>
      </c>
      <c r="C13" s="455" t="str">
        <f>"Last Rebasing Year (" &amp; 'LDC Info'!E30 &amp; " Actuals)"</f>
        <v>Last Rebasing Year (2009 Actuals)</v>
      </c>
      <c r="D13" s="356" t="str">
        <f>'LDC Info'!E26 -2 &amp; " Actuals"</f>
        <v>2010 Actuals</v>
      </c>
      <c r="E13" s="356" t="str">
        <f>'LDC Info'!E26 -1 &amp; " Actuals"</f>
        <v>2011 Actuals</v>
      </c>
      <c r="F13" s="356" t="s">
        <v>630</v>
      </c>
      <c r="G13" s="456" t="str">
        <f>'LDC Info'!E28 &amp; " Test Year"</f>
        <v>2013 Test Year</v>
      </c>
      <c r="H13" s="1281"/>
      <c r="I13" s="1281"/>
      <c r="J13" s="457"/>
      <c r="K13" s="457"/>
    </row>
    <row r="14" spans="1:12" ht="13.5" thickBot="1">
      <c r="A14" s="458" t="s">
        <v>142</v>
      </c>
      <c r="B14" s="459" t="s">
        <v>143</v>
      </c>
      <c r="C14" s="459" t="s">
        <v>143</v>
      </c>
      <c r="D14" s="459" t="s">
        <v>143</v>
      </c>
      <c r="E14" s="459" t="s">
        <v>143</v>
      </c>
      <c r="F14" s="459" t="s">
        <v>143</v>
      </c>
      <c r="G14" s="460" t="s">
        <v>143</v>
      </c>
      <c r="H14" s="461"/>
      <c r="I14" s="461"/>
      <c r="J14" s="457"/>
      <c r="K14" s="457"/>
    </row>
    <row r="15" spans="1:12">
      <c r="A15" s="462" t="s">
        <v>522</v>
      </c>
      <c r="B15" s="463">
        <v>3571216</v>
      </c>
      <c r="C15" s="463">
        <v>3652054.2599999993</v>
      </c>
      <c r="D15" s="463">
        <v>3432872</v>
      </c>
      <c r="E15" s="463">
        <v>3763302.28</v>
      </c>
      <c r="F15" s="463">
        <v>4855870.4800000004</v>
      </c>
      <c r="G15" s="463">
        <f>'App.2-G_Detailed_OM&amp;A'!I40</f>
        <v>6741741.2577295387</v>
      </c>
      <c r="H15" s="464"/>
      <c r="I15" s="464"/>
      <c r="J15" s="457"/>
      <c r="K15" s="457"/>
    </row>
    <row r="16" spans="1:12">
      <c r="A16" s="465" t="s">
        <v>547</v>
      </c>
      <c r="B16" s="466">
        <v>1745098</v>
      </c>
      <c r="C16" s="466">
        <v>1502331.25</v>
      </c>
      <c r="D16" s="466">
        <v>1681643</v>
      </c>
      <c r="E16" s="466">
        <v>1497531.44</v>
      </c>
      <c r="F16" s="466">
        <v>2228476.4499999997</v>
      </c>
      <c r="G16" s="466">
        <f>'App.2-G_Detailed_OM&amp;A'!I61</f>
        <v>1994618.9281516657</v>
      </c>
      <c r="H16" s="464"/>
      <c r="I16" s="464"/>
      <c r="J16" s="457"/>
      <c r="K16" s="457"/>
    </row>
    <row r="17" spans="1:11">
      <c r="A17" s="467" t="s">
        <v>631</v>
      </c>
      <c r="B17" s="468">
        <f>SUM(B15:B16)</f>
        <v>5316314</v>
      </c>
      <c r="C17" s="468">
        <f t="shared" ref="C17:G17" si="0">SUM(C15:C16)</f>
        <v>5154385.51</v>
      </c>
      <c r="D17" s="468">
        <f t="shared" si="0"/>
        <v>5114515</v>
      </c>
      <c r="E17" s="468">
        <f t="shared" si="0"/>
        <v>5260833.72</v>
      </c>
      <c r="F17" s="468">
        <f t="shared" si="0"/>
        <v>7084346.9299999997</v>
      </c>
      <c r="G17" s="469">
        <f t="shared" si="0"/>
        <v>8736360.1858812049</v>
      </c>
      <c r="H17" s="470"/>
      <c r="I17" s="470"/>
      <c r="J17" s="457"/>
      <c r="K17" s="457"/>
    </row>
    <row r="18" spans="1:11">
      <c r="A18" s="465" t="s">
        <v>632</v>
      </c>
      <c r="B18" s="471"/>
      <c r="C18" s="471"/>
      <c r="D18" s="472">
        <f>IF(ISERROR((D17-C17)/C17), "", (D17-C17)/C17)</f>
        <v>-7.7352596003242638E-3</v>
      </c>
      <c r="E18" s="472">
        <f t="shared" ref="E18:G18" si="1">IF(ISERROR((E17-D17)/D17), "", (E17-D17)/D17)</f>
        <v>2.8608522997781754E-2</v>
      </c>
      <c r="F18" s="472">
        <f t="shared" si="1"/>
        <v>0.34662057518898354</v>
      </c>
      <c r="G18" s="473">
        <f t="shared" si="1"/>
        <v>0.23319203198327912</v>
      </c>
      <c r="H18" s="474"/>
      <c r="I18" s="474"/>
      <c r="J18" s="457"/>
      <c r="K18" s="457"/>
    </row>
    <row r="19" spans="1:11" ht="24">
      <c r="A19" s="465" t="s">
        <v>633</v>
      </c>
      <c r="B19" s="475"/>
      <c r="C19" s="476"/>
      <c r="D19" s="476"/>
      <c r="E19" s="476"/>
      <c r="F19" s="477"/>
      <c r="G19" s="473">
        <f>IF(ISERROR((G17-C17)/C17), "", (G17-C17)/C17)</f>
        <v>0.69493728572141766</v>
      </c>
      <c r="H19" s="474"/>
      <c r="I19" s="474"/>
      <c r="J19" s="457"/>
      <c r="K19" s="457"/>
    </row>
    <row r="20" spans="1:11">
      <c r="A20" s="465" t="s">
        <v>567</v>
      </c>
      <c r="B20" s="466">
        <v>2515358</v>
      </c>
      <c r="C20" s="466">
        <v>2194104.2200000002</v>
      </c>
      <c r="D20" s="466">
        <v>1937276</v>
      </c>
      <c r="E20" s="466">
        <v>2321708.0499999998</v>
      </c>
      <c r="F20" s="466">
        <v>1970633.74</v>
      </c>
      <c r="G20" s="466">
        <f>'App.2-G_Detailed_OM&amp;A'!I72</f>
        <v>2114056.462615021</v>
      </c>
      <c r="H20" s="464"/>
      <c r="I20" s="464"/>
      <c r="J20" s="457"/>
      <c r="K20" s="457"/>
    </row>
    <row r="21" spans="1:11">
      <c r="A21" s="465" t="s">
        <v>577</v>
      </c>
      <c r="B21" s="466">
        <v>206736</v>
      </c>
      <c r="C21" s="466">
        <v>142484.07999999999</v>
      </c>
      <c r="D21" s="466">
        <v>343169</v>
      </c>
      <c r="E21" s="466">
        <v>439835.65</v>
      </c>
      <c r="F21" s="466">
        <v>0</v>
      </c>
      <c r="G21" s="466">
        <f>'App.2-G_Detailed_OM&amp;A'!I84</f>
        <v>78108.169853940824</v>
      </c>
      <c r="H21" s="464"/>
      <c r="I21" s="464"/>
      <c r="J21" s="457"/>
      <c r="K21" s="457"/>
    </row>
    <row r="22" spans="1:11">
      <c r="A22" s="465" t="s">
        <v>634</v>
      </c>
      <c r="B22" s="466">
        <v>3631137</v>
      </c>
      <c r="C22" s="466">
        <v>3943844.2600000002</v>
      </c>
      <c r="D22" s="466">
        <v>512111</v>
      </c>
      <c r="E22" s="466">
        <v>4956863.62</v>
      </c>
      <c r="F22" s="466">
        <v>3994098.8400000003</v>
      </c>
      <c r="G22" s="466">
        <f>'App.2-G_Detailed_OM&amp;A'!I111</f>
        <v>3261091.9444727036</v>
      </c>
      <c r="H22" s="464"/>
      <c r="I22" s="464"/>
      <c r="J22" s="457"/>
      <c r="K22" s="457"/>
    </row>
    <row r="23" spans="1:11">
      <c r="A23" s="467" t="s">
        <v>631</v>
      </c>
      <c r="B23" s="468">
        <f>SUM(B20:B22)</f>
        <v>6353231</v>
      </c>
      <c r="C23" s="468">
        <f t="shared" ref="C23:G23" si="2">SUM(C20:C22)</f>
        <v>6280432.5600000005</v>
      </c>
      <c r="D23" s="468">
        <f t="shared" si="2"/>
        <v>2792556</v>
      </c>
      <c r="E23" s="468">
        <f t="shared" si="2"/>
        <v>7718407.3200000003</v>
      </c>
      <c r="F23" s="468">
        <f t="shared" si="2"/>
        <v>5964732.5800000001</v>
      </c>
      <c r="G23" s="469">
        <f t="shared" si="2"/>
        <v>5453256.5769416653</v>
      </c>
      <c r="H23" s="470"/>
      <c r="I23" s="470"/>
      <c r="J23" s="457"/>
      <c r="K23" s="457"/>
    </row>
    <row r="24" spans="1:11">
      <c r="A24" s="465" t="s">
        <v>632</v>
      </c>
      <c r="B24" s="471"/>
      <c r="C24" s="471"/>
      <c r="D24" s="472">
        <f>IF(ISERROR((D23-C23)/C23), "", (D23-C23)/C23)</f>
        <v>-0.55535610432540017</v>
      </c>
      <c r="E24" s="472">
        <f t="shared" ref="E24:G24" si="3">IF(ISERROR((E23-D23)/D23), "", (E23-D23)/D23)</f>
        <v>1.7639221272554606</v>
      </c>
      <c r="F24" s="472">
        <f t="shared" si="3"/>
        <v>-0.22720681447529517</v>
      </c>
      <c r="G24" s="473">
        <f t="shared" si="3"/>
        <v>-8.575003090219592E-2</v>
      </c>
      <c r="H24" s="474"/>
      <c r="I24" s="474"/>
      <c r="J24" s="457"/>
      <c r="K24" s="457"/>
    </row>
    <row r="25" spans="1:11" ht="24">
      <c r="A25" s="465" t="s">
        <v>633</v>
      </c>
      <c r="B25" s="475"/>
      <c r="C25" s="476"/>
      <c r="D25" s="476"/>
      <c r="E25" s="476"/>
      <c r="F25" s="477"/>
      <c r="G25" s="473">
        <f>IF(ISERROR((G23-C23)/C23), "", (G23-C23)/C23)</f>
        <v>-0.13170684903562363</v>
      </c>
      <c r="H25" s="474"/>
      <c r="I25" s="474"/>
      <c r="J25" s="457"/>
      <c r="K25" s="457"/>
    </row>
    <row r="26" spans="1:11">
      <c r="A26" s="467" t="s">
        <v>267</v>
      </c>
      <c r="B26" s="468">
        <f>SUM(B23,B17)</f>
        <v>11669545</v>
      </c>
      <c r="C26" s="468">
        <f t="shared" ref="C26:G26" si="4">SUM(C23,C17)</f>
        <v>11434818.07</v>
      </c>
      <c r="D26" s="468">
        <f t="shared" si="4"/>
        <v>7907071</v>
      </c>
      <c r="E26" s="468">
        <f t="shared" si="4"/>
        <v>12979241.039999999</v>
      </c>
      <c r="F26" s="468">
        <f t="shared" si="4"/>
        <v>13049079.51</v>
      </c>
      <c r="G26" s="469">
        <f t="shared" si="4"/>
        <v>14189616.76282287</v>
      </c>
      <c r="H26" s="470"/>
      <c r="I26" s="470"/>
      <c r="J26" s="457"/>
      <c r="K26" s="457"/>
    </row>
    <row r="27" spans="1:11" ht="13.5" thickBot="1">
      <c r="A27" s="478" t="s">
        <v>632</v>
      </c>
      <c r="B27" s="479"/>
      <c r="C27" s="480"/>
      <c r="D27" s="481">
        <f>IF(ISERROR((D26-C26)/C26), "", (D26-C26)/C26)</f>
        <v>-0.30850924329572654</v>
      </c>
      <c r="E27" s="481">
        <f t="shared" ref="E27:G27" si="5">IF(ISERROR((E26-D26)/D26), "", (E26-D26)/D26)</f>
        <v>0.64147268185653061</v>
      </c>
      <c r="F27" s="481">
        <f t="shared" si="5"/>
        <v>5.380782264908201E-3</v>
      </c>
      <c r="G27" s="482">
        <f t="shared" si="5"/>
        <v>8.7403655709878528E-2</v>
      </c>
      <c r="H27" s="474"/>
      <c r="I27" s="474"/>
      <c r="J27" s="457"/>
      <c r="K27" s="457"/>
    </row>
    <row r="28" spans="1:11">
      <c r="A28" s="483"/>
      <c r="B28" s="484"/>
      <c r="C28" s="484"/>
      <c r="D28" s="485"/>
      <c r="E28" s="485"/>
      <c r="F28" s="485"/>
      <c r="G28" s="484"/>
      <c r="H28" s="486"/>
      <c r="I28" s="486"/>
      <c r="J28" s="457"/>
      <c r="K28" s="457"/>
    </row>
    <row r="29" spans="1:11" ht="13.5" thickBot="1">
      <c r="A29" s="483"/>
      <c r="B29" s="483"/>
      <c r="C29" s="483"/>
      <c r="D29" s="483"/>
      <c r="E29" s="483"/>
      <c r="F29" s="483"/>
      <c r="G29" s="483"/>
      <c r="H29" s="457"/>
      <c r="I29" s="457"/>
      <c r="J29" s="457"/>
      <c r="K29" s="457"/>
    </row>
    <row r="30" spans="1:11" ht="36">
      <c r="A30" s="487"/>
      <c r="B30" s="488" t="str">
        <f>B13</f>
        <v>Last Rebasing Year (2009 BA)</v>
      </c>
      <c r="C30" s="488" t="str">
        <f t="shared" ref="C30:G30" si="6">C13</f>
        <v>Last Rebasing Year (2009 Actuals)</v>
      </c>
      <c r="D30" s="488" t="str">
        <f t="shared" si="6"/>
        <v>2010 Actuals</v>
      </c>
      <c r="E30" s="488" t="str">
        <f t="shared" si="6"/>
        <v>2011 Actuals</v>
      </c>
      <c r="F30" s="488" t="str">
        <f t="shared" si="6"/>
        <v>2012 Bridge Year UPDATED</v>
      </c>
      <c r="G30" s="489" t="str">
        <f t="shared" si="6"/>
        <v>2013 Test Year</v>
      </c>
      <c r="H30" s="457"/>
      <c r="I30" s="457"/>
      <c r="J30" s="457"/>
      <c r="K30" s="457"/>
    </row>
    <row r="31" spans="1:11">
      <c r="A31" s="465" t="s">
        <v>522</v>
      </c>
      <c r="B31" s="490">
        <f>B15</f>
        <v>3571216</v>
      </c>
      <c r="C31" s="490">
        <f t="shared" ref="C31:G32" si="7">C15</f>
        <v>3652054.2599999993</v>
      </c>
      <c r="D31" s="490">
        <f t="shared" si="7"/>
        <v>3432872</v>
      </c>
      <c r="E31" s="490">
        <f t="shared" si="7"/>
        <v>3763302.28</v>
      </c>
      <c r="F31" s="490">
        <f t="shared" si="7"/>
        <v>4855870.4800000004</v>
      </c>
      <c r="G31" s="491">
        <f t="shared" si="7"/>
        <v>6741741.2577295387</v>
      </c>
      <c r="H31" s="457"/>
      <c r="I31" s="457"/>
      <c r="J31" s="457"/>
      <c r="K31" s="457"/>
    </row>
    <row r="32" spans="1:11">
      <c r="A32" s="465" t="s">
        <v>547</v>
      </c>
      <c r="B32" s="490">
        <f>B16</f>
        <v>1745098</v>
      </c>
      <c r="C32" s="490">
        <f t="shared" si="7"/>
        <v>1502331.25</v>
      </c>
      <c r="D32" s="490">
        <f t="shared" si="7"/>
        <v>1681643</v>
      </c>
      <c r="E32" s="490">
        <f t="shared" si="7"/>
        <v>1497531.44</v>
      </c>
      <c r="F32" s="490">
        <f t="shared" si="7"/>
        <v>2228476.4499999997</v>
      </c>
      <c r="G32" s="491">
        <f t="shared" si="7"/>
        <v>1994618.9281516657</v>
      </c>
      <c r="H32" s="457"/>
      <c r="I32" s="457"/>
      <c r="J32" s="457"/>
      <c r="K32" s="457"/>
    </row>
    <row r="33" spans="1:12">
      <c r="A33" s="465" t="s">
        <v>567</v>
      </c>
      <c r="B33" s="490">
        <f>B20</f>
        <v>2515358</v>
      </c>
      <c r="C33" s="490">
        <f t="shared" ref="C33:G35" si="8">C20</f>
        <v>2194104.2200000002</v>
      </c>
      <c r="D33" s="490">
        <f t="shared" si="8"/>
        <v>1937276</v>
      </c>
      <c r="E33" s="490">
        <f t="shared" si="8"/>
        <v>2321708.0499999998</v>
      </c>
      <c r="F33" s="490">
        <f t="shared" si="8"/>
        <v>1970633.74</v>
      </c>
      <c r="G33" s="491">
        <f t="shared" si="8"/>
        <v>2114056.462615021</v>
      </c>
      <c r="H33" s="457"/>
      <c r="I33" s="457"/>
      <c r="J33" s="457"/>
      <c r="K33" s="457"/>
    </row>
    <row r="34" spans="1:12">
      <c r="A34" s="465" t="s">
        <v>577</v>
      </c>
      <c r="B34" s="490">
        <f>B21</f>
        <v>206736</v>
      </c>
      <c r="C34" s="490">
        <f t="shared" si="8"/>
        <v>142484.07999999999</v>
      </c>
      <c r="D34" s="490">
        <f t="shared" si="8"/>
        <v>343169</v>
      </c>
      <c r="E34" s="490">
        <f t="shared" si="8"/>
        <v>439835.65</v>
      </c>
      <c r="F34" s="490">
        <f t="shared" si="8"/>
        <v>0</v>
      </c>
      <c r="G34" s="491">
        <f t="shared" si="8"/>
        <v>78108.169853940824</v>
      </c>
      <c r="H34" s="457"/>
      <c r="I34" s="457"/>
      <c r="J34" s="457"/>
      <c r="K34" s="457"/>
    </row>
    <row r="35" spans="1:12">
      <c r="A35" s="465" t="s">
        <v>634</v>
      </c>
      <c r="B35" s="490">
        <f>B22</f>
        <v>3631137</v>
      </c>
      <c r="C35" s="490">
        <f t="shared" si="8"/>
        <v>3943844.2600000002</v>
      </c>
      <c r="D35" s="490">
        <f t="shared" si="8"/>
        <v>512111</v>
      </c>
      <c r="E35" s="490">
        <f t="shared" si="8"/>
        <v>4956863.62</v>
      </c>
      <c r="F35" s="490">
        <f t="shared" si="8"/>
        <v>3994098.8400000003</v>
      </c>
      <c r="G35" s="491">
        <f t="shared" si="8"/>
        <v>3261091.9444727036</v>
      </c>
      <c r="H35" s="457"/>
      <c r="I35" s="457"/>
      <c r="J35" s="457"/>
      <c r="K35" s="457"/>
    </row>
    <row r="36" spans="1:12">
      <c r="A36" s="467" t="s">
        <v>267</v>
      </c>
      <c r="B36" s="468">
        <f>SUM(B31:B35)</f>
        <v>11669545</v>
      </c>
      <c r="C36" s="468">
        <f t="shared" ref="C36:G36" si="9">SUM(C31:C35)</f>
        <v>11434818.07</v>
      </c>
      <c r="D36" s="468">
        <f t="shared" si="9"/>
        <v>7907071</v>
      </c>
      <c r="E36" s="468">
        <f t="shared" si="9"/>
        <v>12979241.039999999</v>
      </c>
      <c r="F36" s="468">
        <f t="shared" si="9"/>
        <v>13049079.51</v>
      </c>
      <c r="G36" s="469">
        <f t="shared" si="9"/>
        <v>14189616.76282287</v>
      </c>
      <c r="H36" s="457"/>
      <c r="I36" s="457"/>
      <c r="J36" s="457"/>
      <c r="K36" s="457"/>
    </row>
    <row r="37" spans="1:12" ht="13.5" thickBot="1">
      <c r="A37" s="478" t="s">
        <v>632</v>
      </c>
      <c r="B37" s="479"/>
      <c r="C37" s="480"/>
      <c r="D37" s="481">
        <f>IF(ISERROR((D36-C36)/C36), "", (D36-C36)/C36)</f>
        <v>-0.30850924329572654</v>
      </c>
      <c r="E37" s="481">
        <f t="shared" ref="E37:G37" si="10">IF(ISERROR((E36-D36)/D36), "", (E36-D36)/D36)</f>
        <v>0.64147268185653061</v>
      </c>
      <c r="F37" s="481">
        <f t="shared" si="10"/>
        <v>5.380782264908201E-3</v>
      </c>
      <c r="G37" s="482">
        <f t="shared" si="10"/>
        <v>8.7403655709878528E-2</v>
      </c>
      <c r="H37" s="457"/>
      <c r="I37" s="457"/>
      <c r="J37" s="457"/>
      <c r="K37" s="457"/>
    </row>
    <row r="38" spans="1:12">
      <c r="A38" s="457"/>
      <c r="B38" s="457"/>
      <c r="C38" s="457"/>
      <c r="D38" s="457"/>
      <c r="E38" s="457"/>
      <c r="F38" s="457"/>
      <c r="G38" s="457"/>
      <c r="H38" s="457"/>
      <c r="I38" s="457"/>
      <c r="J38" s="457"/>
      <c r="K38" s="457"/>
    </row>
    <row r="39" spans="1:12" ht="13.5" thickBot="1">
      <c r="A39" s="457"/>
      <c r="B39" s="457"/>
      <c r="C39" s="457"/>
      <c r="D39" s="457"/>
      <c r="E39" s="457"/>
      <c r="F39" s="457"/>
      <c r="G39" s="457"/>
      <c r="H39" s="457"/>
      <c r="I39" s="457"/>
      <c r="J39" s="457"/>
      <c r="K39" s="457"/>
    </row>
    <row r="40" spans="1:12" ht="36.75" thickBot="1">
      <c r="A40" s="492"/>
      <c r="B40" s="493" t="str">
        <f>B13</f>
        <v>Last Rebasing Year (2009 BA)</v>
      </c>
      <c r="C40" s="493" t="str">
        <f>C13</f>
        <v>Last Rebasing Year (2009 Actuals)</v>
      </c>
      <c r="D40" s="493" t="str">
        <f>"Variance " &amp; 'LDC Info'!E30 &amp; "  BA – " &amp; 'LDC Info'!E30 &amp; " Actuals"</f>
        <v>Variance 2009  BA – 2009 Actuals</v>
      </c>
      <c r="E40" s="493" t="str">
        <f>D13</f>
        <v>2010 Actuals</v>
      </c>
      <c r="F40" s="493" t="str">
        <f>"Variance " &amp; 'LDC Info'!E26 -2 &amp; " Actuals vs. " &amp;  'LDC Info'!E30 &amp; " Actuals"</f>
        <v>Variance 2010 Actuals vs. 2009 Actuals</v>
      </c>
      <c r="G40" s="493" t="str">
        <f>E13</f>
        <v>2011 Actuals</v>
      </c>
      <c r="H40" s="493" t="str">
        <f>"Variance " &amp; 'LDC Info'!E26 -1 &amp; " Actuals vs. " &amp;  'LDC Info'!E26-2 &amp; " Actuals"</f>
        <v>Variance 2011 Actuals vs. 2010 Actuals</v>
      </c>
      <c r="I40" s="493" t="str">
        <f>F13</f>
        <v>2012 Bridge Year UPDATED</v>
      </c>
      <c r="J40" s="493" t="str">
        <f>"Variance " &amp; 'LDC Info'!E26 &amp; " Bridge vs. " &amp; 'LDC Info'!E26 -1 &amp; " Actuals"</f>
        <v>Variance 2012 Bridge vs. 2011 Actuals</v>
      </c>
      <c r="K40" s="493" t="str">
        <f>G13</f>
        <v>2013 Test Year</v>
      </c>
      <c r="L40" s="494" t="str">
        <f>"Variance " &amp; 'LDC Info'!E28 &amp; " Test vs. " &amp; 'LDC Info'!E26 &amp; " Bridge"</f>
        <v>Variance 2013 Test vs. 2012 Bridge</v>
      </c>
    </row>
    <row r="41" spans="1:12">
      <c r="A41" s="495" t="s">
        <v>522</v>
      </c>
      <c r="B41" s="496">
        <f t="shared" ref="B41:C42" si="11">B15</f>
        <v>3571216</v>
      </c>
      <c r="C41" s="496">
        <f t="shared" si="11"/>
        <v>3652054.2599999993</v>
      </c>
      <c r="D41" s="497">
        <f>B41-C41</f>
        <v>-80838.259999999311</v>
      </c>
      <c r="E41" s="497">
        <f>D15</f>
        <v>3432872</v>
      </c>
      <c r="F41" s="497">
        <f>E41-C41</f>
        <v>-219182.25999999931</v>
      </c>
      <c r="G41" s="497">
        <f>E15</f>
        <v>3763302.28</v>
      </c>
      <c r="H41" s="497">
        <f>G41-E41</f>
        <v>330430.2799999998</v>
      </c>
      <c r="I41" s="497">
        <f>F15</f>
        <v>4855870.4800000004</v>
      </c>
      <c r="J41" s="497">
        <f>I41-G41</f>
        <v>1092568.2000000007</v>
      </c>
      <c r="K41" s="497">
        <f>G15</f>
        <v>6741741.2577295387</v>
      </c>
      <c r="L41" s="498">
        <f>K41-I41</f>
        <v>1885870.7777295383</v>
      </c>
    </row>
    <row r="42" spans="1:12">
      <c r="A42" s="499" t="s">
        <v>635</v>
      </c>
      <c r="B42" s="490">
        <f t="shared" si="11"/>
        <v>1745098</v>
      </c>
      <c r="C42" s="490">
        <f t="shared" si="11"/>
        <v>1502331.25</v>
      </c>
      <c r="D42" s="500">
        <f t="shared" ref="D42:D45" si="12">B42-C42</f>
        <v>242766.75</v>
      </c>
      <c r="E42" s="500">
        <f>D16</f>
        <v>1681643</v>
      </c>
      <c r="F42" s="500">
        <f t="shared" ref="F42:F45" si="13">E42-C42</f>
        <v>179311.75</v>
      </c>
      <c r="G42" s="500">
        <f>E16</f>
        <v>1497531.44</v>
      </c>
      <c r="H42" s="500">
        <f t="shared" ref="H42:L45" si="14">G42-E42</f>
        <v>-184111.56000000006</v>
      </c>
      <c r="I42" s="500">
        <f>F16</f>
        <v>2228476.4499999997</v>
      </c>
      <c r="J42" s="500">
        <f t="shared" si="14"/>
        <v>730945.00999999978</v>
      </c>
      <c r="K42" s="500">
        <f>G16</f>
        <v>1994618.9281516657</v>
      </c>
      <c r="L42" s="501">
        <f t="shared" si="14"/>
        <v>-233857.521848334</v>
      </c>
    </row>
    <row r="43" spans="1:12">
      <c r="A43" s="499" t="s">
        <v>636</v>
      </c>
      <c r="B43" s="490">
        <f t="shared" ref="B43:C45" si="15">B20</f>
        <v>2515358</v>
      </c>
      <c r="C43" s="490">
        <f t="shared" si="15"/>
        <v>2194104.2200000002</v>
      </c>
      <c r="D43" s="500">
        <f t="shared" si="12"/>
        <v>321253.7799999998</v>
      </c>
      <c r="E43" s="500">
        <f>D20</f>
        <v>1937276</v>
      </c>
      <c r="F43" s="500">
        <f t="shared" si="13"/>
        <v>-256828.2200000002</v>
      </c>
      <c r="G43" s="500">
        <f>E20</f>
        <v>2321708.0499999998</v>
      </c>
      <c r="H43" s="500">
        <f t="shared" si="14"/>
        <v>384432.04999999981</v>
      </c>
      <c r="I43" s="500">
        <f>F20</f>
        <v>1970633.74</v>
      </c>
      <c r="J43" s="500">
        <f t="shared" si="14"/>
        <v>-351074.30999999982</v>
      </c>
      <c r="K43" s="500">
        <f>G20</f>
        <v>2114056.462615021</v>
      </c>
      <c r="L43" s="501">
        <f t="shared" si="14"/>
        <v>143422.72261502105</v>
      </c>
    </row>
    <row r="44" spans="1:12">
      <c r="A44" s="499" t="s">
        <v>637</v>
      </c>
      <c r="B44" s="490">
        <f t="shared" si="15"/>
        <v>206736</v>
      </c>
      <c r="C44" s="490">
        <f t="shared" si="15"/>
        <v>142484.07999999999</v>
      </c>
      <c r="D44" s="500">
        <f t="shared" si="12"/>
        <v>64251.920000000013</v>
      </c>
      <c r="E44" s="500">
        <f t="shared" ref="E44:E45" si="16">D21</f>
        <v>343169</v>
      </c>
      <c r="F44" s="500">
        <f t="shared" si="13"/>
        <v>200684.92</v>
      </c>
      <c r="G44" s="500">
        <f t="shared" ref="G44:G45" si="17">E21</f>
        <v>439835.65</v>
      </c>
      <c r="H44" s="500">
        <f t="shared" si="14"/>
        <v>96666.650000000023</v>
      </c>
      <c r="I44" s="500">
        <f t="shared" ref="I44:I45" si="18">F21</f>
        <v>0</v>
      </c>
      <c r="J44" s="500">
        <f t="shared" si="14"/>
        <v>-439835.65</v>
      </c>
      <c r="K44" s="500">
        <f t="shared" ref="K44:K45" si="19">G21</f>
        <v>78108.169853940824</v>
      </c>
      <c r="L44" s="501">
        <f t="shared" si="14"/>
        <v>78108.169853940824</v>
      </c>
    </row>
    <row r="45" spans="1:12">
      <c r="A45" s="499" t="s">
        <v>638</v>
      </c>
      <c r="B45" s="490">
        <f t="shared" si="15"/>
        <v>3631137</v>
      </c>
      <c r="C45" s="490">
        <f t="shared" si="15"/>
        <v>3943844.2600000002</v>
      </c>
      <c r="D45" s="500">
        <f t="shared" si="12"/>
        <v>-312707.26000000024</v>
      </c>
      <c r="E45" s="500">
        <f t="shared" si="16"/>
        <v>512111</v>
      </c>
      <c r="F45" s="500">
        <f t="shared" si="13"/>
        <v>-3431733.2600000002</v>
      </c>
      <c r="G45" s="500">
        <f t="shared" si="17"/>
        <v>4956863.62</v>
      </c>
      <c r="H45" s="500">
        <f t="shared" si="14"/>
        <v>4444752.62</v>
      </c>
      <c r="I45" s="500">
        <f t="shared" si="18"/>
        <v>3994098.8400000003</v>
      </c>
      <c r="J45" s="500">
        <f t="shared" si="14"/>
        <v>-962764.7799999998</v>
      </c>
      <c r="K45" s="500">
        <f t="shared" si="19"/>
        <v>3261091.9444727036</v>
      </c>
      <c r="L45" s="501">
        <f t="shared" si="14"/>
        <v>-733006.8955272967</v>
      </c>
    </row>
    <row r="46" spans="1:12">
      <c r="A46" s="499" t="s">
        <v>639</v>
      </c>
      <c r="B46" s="500">
        <f>SUM(B41:B45)</f>
        <v>11669545</v>
      </c>
      <c r="C46" s="500">
        <f t="shared" ref="C46:L46" si="20">SUM(C41:C45)</f>
        <v>11434818.07</v>
      </c>
      <c r="D46" s="500">
        <f t="shared" si="20"/>
        <v>234726.93000000028</v>
      </c>
      <c r="E46" s="500">
        <f t="shared" si="20"/>
        <v>7907071</v>
      </c>
      <c r="F46" s="500">
        <f t="shared" si="20"/>
        <v>-3527747.07</v>
      </c>
      <c r="G46" s="500">
        <f t="shared" si="20"/>
        <v>12979241.039999999</v>
      </c>
      <c r="H46" s="500">
        <f t="shared" si="20"/>
        <v>5072170.04</v>
      </c>
      <c r="I46" s="500">
        <f t="shared" si="20"/>
        <v>13049079.51</v>
      </c>
      <c r="J46" s="500">
        <f t="shared" si="20"/>
        <v>69838.470000000787</v>
      </c>
      <c r="K46" s="500">
        <f t="shared" si="20"/>
        <v>14189616.76282287</v>
      </c>
      <c r="L46" s="501">
        <f t="shared" si="20"/>
        <v>1140537.2528228695</v>
      </c>
    </row>
    <row r="47" spans="1:12">
      <c r="A47" s="499" t="s">
        <v>640</v>
      </c>
      <c r="B47" s="502"/>
      <c r="C47" s="503"/>
      <c r="D47" s="503"/>
      <c r="E47" s="500">
        <f>E46-C46</f>
        <v>-3527747.0700000003</v>
      </c>
      <c r="F47" s="504"/>
      <c r="G47" s="500">
        <f>G46-E46</f>
        <v>5072170.0399999991</v>
      </c>
      <c r="H47" s="505"/>
      <c r="I47" s="500">
        <f>I46-G46</f>
        <v>69838.470000000671</v>
      </c>
      <c r="J47" s="506"/>
      <c r="K47" s="500">
        <f>K46-I46</f>
        <v>1140537.2528228704</v>
      </c>
      <c r="L47" s="507"/>
    </row>
    <row r="48" spans="1:12">
      <c r="A48" s="499" t="s">
        <v>641</v>
      </c>
      <c r="B48" s="508"/>
      <c r="C48" s="509"/>
      <c r="D48" s="509"/>
      <c r="E48" s="510">
        <f>IF(ISERROR(E47/C46), "", E47/C46)</f>
        <v>-0.30850924329572654</v>
      </c>
      <c r="F48" s="511"/>
      <c r="G48" s="510">
        <f>IF(ISERROR(G47/E46), "", G47/E46)</f>
        <v>0.64147268185653061</v>
      </c>
      <c r="H48" s="512"/>
      <c r="I48" s="510">
        <f>IF(ISERROR(I47/G46), "", I47/G46)</f>
        <v>5.380782264908201E-3</v>
      </c>
      <c r="J48" s="513"/>
      <c r="K48" s="510">
        <f>IF(ISERROR(K47/I46), "", K47/I46)</f>
        <v>8.7403655709878528E-2</v>
      </c>
      <c r="L48" s="514"/>
    </row>
    <row r="49" spans="1:12" ht="24">
      <c r="A49" s="499" t="s">
        <v>642</v>
      </c>
      <c r="B49" s="515"/>
      <c r="C49" s="516"/>
      <c r="D49" s="516"/>
      <c r="E49" s="517"/>
      <c r="F49" s="518"/>
      <c r="G49" s="519">
        <f>IF(ISERROR((K46-G46)/G46), "", (K46-G46)/G46)</f>
        <v>9.3254738015318583E-2</v>
      </c>
      <c r="H49" s="520"/>
      <c r="I49" s="517"/>
      <c r="J49" s="521"/>
      <c r="K49" s="517"/>
      <c r="L49" s="522"/>
    </row>
    <row r="50" spans="1:12" ht="24">
      <c r="A50" s="499" t="s">
        <v>643</v>
      </c>
      <c r="B50" s="515"/>
      <c r="C50" s="516"/>
      <c r="D50" s="516"/>
      <c r="E50" s="521"/>
      <c r="F50" s="521"/>
      <c r="G50" s="523">
        <f>IF(ISERROR((K46-C46)/C46), "", (K46-C46)/C46)</f>
        <v>0.24091320701028607</v>
      </c>
      <c r="H50" s="521"/>
      <c r="I50" s="521"/>
      <c r="J50" s="521"/>
      <c r="K50" s="521"/>
      <c r="L50" s="524">
        <f>IF(ISERROR(AVERAGE(E48,G48,I48,K48)), "", AVERAGE(E48,G48,I48,K48))</f>
        <v>0.10643696913389769</v>
      </c>
    </row>
    <row r="51" spans="1:12" ht="24">
      <c r="A51" s="499" t="s">
        <v>644</v>
      </c>
      <c r="B51" s="515"/>
      <c r="C51" s="516"/>
      <c r="D51" s="516"/>
      <c r="E51" s="521"/>
      <c r="F51" s="521"/>
      <c r="G51" s="525" t="str">
        <f>IF(ISERROR((K47-C47)/C47), "", (K47-C47)/C47)</f>
        <v/>
      </c>
      <c r="H51" s="521"/>
      <c r="I51" s="521"/>
      <c r="J51" s="521"/>
      <c r="K51" s="521"/>
      <c r="L51" s="524">
        <f>IF((K46-C46)=0, "", (K46-C46)^(1/5)-1)</f>
        <v>18.409662044714242</v>
      </c>
    </row>
    <row r="52" spans="1:12" ht="24.75" thickBot="1">
      <c r="A52" s="526" t="str">
        <f>"Compound Growth Rate                                                            (" &amp; E13 &amp; " vs. " &amp; 'LDC Info'!E30 &amp; " Actuals)"</f>
        <v>Compound Growth Rate                                                            (2011 Actuals vs. 2009 Actuals)</v>
      </c>
      <c r="B52" s="527"/>
      <c r="C52" s="528"/>
      <c r="D52" s="528"/>
      <c r="E52" s="529"/>
      <c r="F52" s="530"/>
      <c r="G52" s="531">
        <f>IF(ISERROR((G46/C46)^(1/(2010-2008)) - 1), "", (G46-C46)/C46)</f>
        <v>0.13506318688636545</v>
      </c>
      <c r="H52" s="532"/>
      <c r="I52" s="529"/>
      <c r="J52" s="529"/>
      <c r="K52" s="529"/>
      <c r="L52" s="533"/>
    </row>
    <row r="53" spans="1:12">
      <c r="A53" s="457"/>
      <c r="B53" s="457"/>
      <c r="C53" s="457"/>
      <c r="D53" s="457"/>
      <c r="E53" s="457"/>
      <c r="F53" s="457"/>
      <c r="G53" s="457"/>
      <c r="H53" s="457"/>
      <c r="I53" s="457"/>
      <c r="J53" s="457"/>
      <c r="K53" s="457"/>
    </row>
    <row r="54" spans="1:12">
      <c r="A54" s="534" t="s">
        <v>617</v>
      </c>
      <c r="B54" s="457"/>
      <c r="C54" s="457"/>
      <c r="D54" s="457"/>
      <c r="E54" s="457"/>
      <c r="F54" s="457"/>
      <c r="G54" s="457"/>
      <c r="H54" s="457"/>
      <c r="I54" s="457"/>
      <c r="J54" s="457"/>
      <c r="K54" s="457"/>
    </row>
    <row r="55" spans="1:12">
      <c r="A55" s="534"/>
      <c r="B55" s="457"/>
      <c r="C55" s="457"/>
      <c r="D55" s="457"/>
      <c r="E55" s="457"/>
      <c r="F55" s="457"/>
      <c r="G55" s="457"/>
      <c r="H55" s="457"/>
      <c r="I55" s="457"/>
      <c r="J55" s="457"/>
      <c r="K55" s="457"/>
    </row>
    <row r="56" spans="1:12">
      <c r="A56" s="535" t="s">
        <v>645</v>
      </c>
      <c r="B56" s="457"/>
      <c r="C56" s="457"/>
      <c r="D56" s="457"/>
      <c r="E56" s="457"/>
      <c r="F56" s="457"/>
      <c r="G56" s="457"/>
      <c r="H56" s="457"/>
      <c r="I56" s="457"/>
      <c r="J56" s="457"/>
      <c r="K56" s="457"/>
    </row>
    <row r="57" spans="1:12" ht="12.75" customHeight="1">
      <c r="A57" s="1278" t="s">
        <v>646</v>
      </c>
      <c r="B57" s="1278"/>
      <c r="C57" s="1278"/>
      <c r="D57" s="1278"/>
      <c r="E57" s="1278"/>
      <c r="F57" s="1278"/>
      <c r="G57" s="1278"/>
      <c r="H57" s="1278"/>
      <c r="I57" s="1278"/>
      <c r="J57" s="1278"/>
      <c r="K57" s="1278"/>
      <c r="L57" s="1278"/>
    </row>
    <row r="58" spans="1:12">
      <c r="A58" s="1278"/>
      <c r="B58" s="1278"/>
      <c r="C58" s="1278"/>
      <c r="D58" s="1278"/>
      <c r="E58" s="1278"/>
      <c r="F58" s="1278"/>
      <c r="G58" s="1278"/>
      <c r="H58" s="1278"/>
      <c r="I58" s="1278"/>
      <c r="J58" s="1278"/>
      <c r="K58" s="1278"/>
      <c r="L58" s="1278"/>
    </row>
    <row r="59" spans="1:12">
      <c r="A59" s="536" t="s">
        <v>647</v>
      </c>
      <c r="B59" s="537"/>
      <c r="C59" s="537"/>
      <c r="D59" s="537"/>
      <c r="E59" s="537"/>
      <c r="F59" s="537"/>
      <c r="G59" s="537"/>
      <c r="H59" s="537"/>
      <c r="I59" s="537"/>
      <c r="J59" s="537"/>
      <c r="K59" s="537"/>
      <c r="L59" s="537"/>
    </row>
    <row r="60" spans="1:12">
      <c r="A60" s="537"/>
      <c r="B60" s="537"/>
      <c r="C60" s="537"/>
      <c r="D60" s="537"/>
      <c r="E60" s="537"/>
      <c r="F60" s="537"/>
      <c r="G60" s="537"/>
      <c r="H60" s="537"/>
      <c r="I60" s="537"/>
      <c r="J60" s="537"/>
      <c r="K60" s="537"/>
      <c r="L60" s="537"/>
    </row>
    <row r="61" spans="1:12">
      <c r="A61" s="536"/>
      <c r="B61" s="537"/>
      <c r="C61" s="537"/>
      <c r="D61" s="537"/>
      <c r="E61" s="537"/>
      <c r="F61" s="537"/>
      <c r="G61" s="457"/>
      <c r="H61" s="457"/>
      <c r="I61" s="457"/>
      <c r="J61" s="457"/>
      <c r="K61" s="457"/>
    </row>
    <row r="62" spans="1:12">
      <c r="B62" s="1278"/>
      <c r="C62" s="1278"/>
      <c r="D62" s="1278"/>
      <c r="E62" s="1278"/>
      <c r="F62" s="1278"/>
      <c r="G62" s="457"/>
      <c r="H62" s="457"/>
      <c r="I62" s="457"/>
      <c r="J62" s="457"/>
      <c r="K62" s="457"/>
    </row>
    <row r="63" spans="1:12">
      <c r="A63" s="10"/>
      <c r="B63" s="1278"/>
      <c r="C63" s="1278"/>
      <c r="D63" s="1278"/>
      <c r="E63" s="1278"/>
      <c r="F63" s="1278"/>
      <c r="G63" s="457"/>
      <c r="H63" s="457"/>
      <c r="I63" s="457"/>
      <c r="J63" s="457"/>
      <c r="K63" s="457"/>
    </row>
    <row r="64" spans="1:12">
      <c r="A64" s="457"/>
      <c r="B64" s="457"/>
      <c r="C64" s="457"/>
      <c r="D64" s="457"/>
      <c r="E64" s="457"/>
      <c r="F64" s="457"/>
      <c r="G64" s="457"/>
      <c r="H64" s="457"/>
      <c r="I64" s="457"/>
      <c r="J64" s="457"/>
      <c r="K64" s="457"/>
    </row>
    <row r="65" spans="1:11">
      <c r="A65" s="457"/>
      <c r="B65" s="457"/>
      <c r="C65" s="457"/>
      <c r="D65" s="457"/>
      <c r="E65" s="457"/>
      <c r="F65" s="457"/>
      <c r="G65" s="457"/>
      <c r="H65" s="457"/>
      <c r="I65" s="457"/>
      <c r="J65" s="457"/>
      <c r="K65" s="457"/>
    </row>
    <row r="66" spans="1:11">
      <c r="A66" s="457"/>
      <c r="B66" s="457"/>
      <c r="C66" s="457"/>
      <c r="D66" s="457"/>
      <c r="E66" s="457"/>
      <c r="F66" s="457"/>
      <c r="G66" s="457"/>
      <c r="H66" s="457"/>
      <c r="I66" s="457"/>
      <c r="J66" s="457"/>
      <c r="K66" s="457"/>
    </row>
    <row r="67" spans="1:11">
      <c r="A67" s="457"/>
      <c r="B67" s="457"/>
      <c r="C67" s="457"/>
      <c r="D67" s="457"/>
      <c r="E67" s="457"/>
      <c r="F67" s="457"/>
      <c r="G67" s="457"/>
      <c r="H67" s="457"/>
      <c r="I67" s="457"/>
      <c r="J67" s="457"/>
      <c r="K67" s="457"/>
    </row>
    <row r="68" spans="1:11">
      <c r="A68" s="457"/>
      <c r="B68" s="457"/>
      <c r="C68" s="457"/>
      <c r="D68" s="457"/>
      <c r="E68" s="457"/>
      <c r="F68" s="457"/>
      <c r="G68" s="457"/>
      <c r="H68" s="457"/>
      <c r="I68" s="457"/>
      <c r="J68" s="457"/>
      <c r="K68" s="457"/>
    </row>
    <row r="69" spans="1:11">
      <c r="A69" s="457"/>
      <c r="B69" s="457"/>
      <c r="C69" s="457"/>
      <c r="D69" s="457"/>
      <c r="E69" s="457"/>
      <c r="F69" s="457"/>
      <c r="G69" s="457"/>
      <c r="H69" s="457"/>
      <c r="I69" s="457"/>
      <c r="J69" s="457"/>
      <c r="K69" s="457"/>
    </row>
    <row r="70" spans="1:11">
      <c r="A70" s="457"/>
      <c r="B70" s="457"/>
      <c r="C70" s="457"/>
      <c r="D70" s="457"/>
      <c r="E70" s="457"/>
      <c r="F70" s="457"/>
      <c r="G70" s="457"/>
      <c r="H70" s="457"/>
      <c r="I70" s="457"/>
      <c r="J70" s="457"/>
      <c r="K70" s="457"/>
    </row>
    <row r="71" spans="1:11">
      <c r="A71" s="457"/>
      <c r="B71" s="457"/>
      <c r="C71" s="457"/>
      <c r="D71" s="457"/>
      <c r="E71" s="457"/>
      <c r="F71" s="457"/>
      <c r="G71" s="457"/>
      <c r="H71" s="457"/>
      <c r="I71" s="457"/>
      <c r="J71" s="457"/>
      <c r="K71" s="457"/>
    </row>
    <row r="72" spans="1:11">
      <c r="A72" s="457"/>
      <c r="B72" s="457"/>
      <c r="C72" s="457"/>
      <c r="D72" s="457"/>
      <c r="E72" s="457"/>
      <c r="F72" s="457"/>
      <c r="G72" s="457"/>
      <c r="H72" s="457"/>
      <c r="I72" s="457"/>
      <c r="J72" s="457"/>
      <c r="K72" s="457"/>
    </row>
    <row r="73" spans="1:11">
      <c r="A73" s="457"/>
      <c r="B73" s="457"/>
      <c r="C73" s="457"/>
      <c r="D73" s="457"/>
      <c r="E73" s="457"/>
      <c r="F73" s="457"/>
      <c r="G73" s="457"/>
      <c r="H73" s="457"/>
      <c r="I73" s="457"/>
      <c r="J73" s="457"/>
      <c r="K73" s="457"/>
    </row>
    <row r="74" spans="1:11">
      <c r="A74" s="457"/>
      <c r="B74" s="457"/>
      <c r="C74" s="457"/>
      <c r="D74" s="457"/>
      <c r="E74" s="457"/>
      <c r="F74" s="457"/>
      <c r="G74" s="457"/>
      <c r="H74" s="457"/>
      <c r="I74" s="457"/>
      <c r="J74" s="457"/>
      <c r="K74" s="457"/>
    </row>
    <row r="75" spans="1:11">
      <c r="A75" s="457"/>
      <c r="B75" s="457"/>
      <c r="C75" s="457"/>
      <c r="D75" s="457"/>
      <c r="E75" s="457"/>
      <c r="F75" s="457"/>
      <c r="G75" s="457"/>
      <c r="H75" s="457"/>
      <c r="I75" s="457"/>
      <c r="J75" s="457"/>
      <c r="K75" s="457"/>
    </row>
    <row r="76" spans="1:11">
      <c r="A76" s="457"/>
      <c r="B76" s="457"/>
      <c r="C76" s="457"/>
      <c r="D76" s="457"/>
      <c r="E76" s="457"/>
      <c r="F76" s="457"/>
      <c r="G76" s="457"/>
      <c r="H76" s="457"/>
      <c r="I76" s="457"/>
      <c r="J76" s="457"/>
      <c r="K76" s="457"/>
    </row>
    <row r="77" spans="1:11">
      <c r="A77" s="457"/>
      <c r="B77" s="457"/>
      <c r="C77" s="457"/>
      <c r="D77" s="457"/>
      <c r="E77" s="457"/>
      <c r="F77" s="457"/>
      <c r="G77" s="457"/>
      <c r="H77" s="457"/>
      <c r="I77" s="457"/>
      <c r="J77" s="457"/>
      <c r="K77" s="457"/>
    </row>
    <row r="78" spans="1:11">
      <c r="A78" s="457"/>
      <c r="B78" s="457"/>
      <c r="C78" s="457"/>
      <c r="D78" s="457"/>
      <c r="E78" s="457"/>
      <c r="F78" s="457"/>
      <c r="G78" s="457"/>
      <c r="H78" s="457"/>
      <c r="I78" s="457"/>
      <c r="J78" s="457"/>
      <c r="K78" s="457"/>
    </row>
    <row r="79" spans="1:11">
      <c r="A79" s="457"/>
      <c r="B79" s="457"/>
      <c r="C79" s="457"/>
      <c r="D79" s="457"/>
      <c r="E79" s="457"/>
      <c r="F79" s="457"/>
      <c r="G79" s="457"/>
      <c r="H79" s="457"/>
      <c r="I79" s="457"/>
      <c r="J79" s="457"/>
      <c r="K79" s="457"/>
    </row>
    <row r="80" spans="1:11">
      <c r="A80" s="457"/>
      <c r="B80" s="457"/>
      <c r="C80" s="457"/>
      <c r="D80" s="457"/>
      <c r="E80" s="457"/>
      <c r="F80" s="457"/>
      <c r="G80" s="457"/>
      <c r="H80" s="457"/>
      <c r="I80" s="457"/>
      <c r="J80" s="457"/>
      <c r="K80" s="457"/>
    </row>
    <row r="81" spans="1:11">
      <c r="A81" s="457"/>
      <c r="B81" s="457"/>
      <c r="C81" s="457"/>
      <c r="D81" s="457"/>
      <c r="E81" s="457"/>
      <c r="F81" s="457"/>
      <c r="G81" s="457"/>
      <c r="H81" s="457"/>
      <c r="I81" s="457"/>
      <c r="J81" s="457"/>
      <c r="K81" s="457"/>
    </row>
    <row r="82" spans="1:11">
      <c r="A82" s="457"/>
      <c r="B82" s="457"/>
      <c r="C82" s="457"/>
      <c r="D82" s="457"/>
      <c r="E82" s="457"/>
      <c r="F82" s="457"/>
      <c r="G82" s="457"/>
      <c r="H82" s="457"/>
      <c r="I82" s="457"/>
      <c r="J82" s="457"/>
      <c r="K82" s="457"/>
    </row>
    <row r="83" spans="1:11">
      <c r="A83" s="457"/>
      <c r="B83" s="457"/>
      <c r="C83" s="457"/>
      <c r="D83" s="457"/>
      <c r="E83" s="457"/>
      <c r="F83" s="457"/>
      <c r="G83" s="457"/>
      <c r="H83" s="457"/>
      <c r="I83" s="457"/>
      <c r="J83" s="457"/>
      <c r="K83" s="457"/>
    </row>
    <row r="84" spans="1:11">
      <c r="A84" s="457"/>
      <c r="B84" s="457"/>
      <c r="C84" s="457"/>
      <c r="D84" s="457"/>
      <c r="E84" s="457"/>
      <c r="F84" s="457"/>
      <c r="G84" s="457"/>
      <c r="H84" s="457"/>
      <c r="I84" s="457"/>
      <c r="J84" s="457"/>
      <c r="K84" s="457"/>
    </row>
    <row r="85" spans="1:11">
      <c r="A85" s="457"/>
      <c r="B85" s="457"/>
      <c r="C85" s="457"/>
      <c r="D85" s="457"/>
      <c r="E85" s="457"/>
      <c r="F85" s="457"/>
      <c r="G85" s="457"/>
      <c r="H85" s="457"/>
      <c r="I85" s="457"/>
      <c r="J85" s="457"/>
      <c r="K85" s="457"/>
    </row>
    <row r="86" spans="1:11">
      <c r="A86" s="457"/>
      <c r="B86" s="457"/>
      <c r="C86" s="457"/>
      <c r="D86" s="457"/>
      <c r="E86" s="457"/>
      <c r="F86" s="457"/>
      <c r="G86" s="457"/>
      <c r="H86" s="457"/>
      <c r="I86" s="457"/>
      <c r="J86" s="457"/>
      <c r="K86" s="457"/>
    </row>
    <row r="87" spans="1:11">
      <c r="A87" s="457"/>
      <c r="B87" s="457"/>
      <c r="C87" s="457"/>
      <c r="D87" s="457"/>
      <c r="E87" s="457"/>
      <c r="F87" s="457"/>
      <c r="G87" s="457"/>
      <c r="H87" s="457"/>
      <c r="I87" s="457"/>
      <c r="J87" s="457"/>
      <c r="K87" s="457"/>
    </row>
    <row r="88" spans="1:11">
      <c r="A88" s="457"/>
      <c r="B88" s="457"/>
      <c r="C88" s="457"/>
      <c r="D88" s="457"/>
      <c r="E88" s="457"/>
      <c r="F88" s="457"/>
      <c r="G88" s="457"/>
      <c r="H88" s="457"/>
      <c r="I88" s="457"/>
      <c r="J88" s="457"/>
      <c r="K88" s="457"/>
    </row>
    <row r="89" spans="1:11">
      <c r="A89" s="457"/>
      <c r="B89" s="457"/>
      <c r="C89" s="457"/>
      <c r="D89" s="457"/>
      <c r="E89" s="457"/>
      <c r="F89" s="457"/>
      <c r="G89" s="457"/>
      <c r="H89" s="457"/>
      <c r="I89" s="457"/>
      <c r="J89" s="457"/>
      <c r="K89" s="457"/>
    </row>
    <row r="90" spans="1:11">
      <c r="A90" s="457"/>
      <c r="B90" s="457"/>
      <c r="C90" s="457"/>
      <c r="D90" s="457"/>
      <c r="E90" s="457"/>
      <c r="F90" s="457"/>
      <c r="G90" s="457"/>
      <c r="H90" s="457"/>
      <c r="I90" s="457"/>
      <c r="J90" s="457"/>
      <c r="K90" s="457"/>
    </row>
    <row r="91" spans="1:11">
      <c r="A91" s="457"/>
      <c r="B91" s="457"/>
      <c r="C91" s="457"/>
      <c r="D91" s="457"/>
      <c r="E91" s="457"/>
      <c r="F91" s="457"/>
      <c r="G91" s="457"/>
      <c r="H91" s="457"/>
      <c r="I91" s="457"/>
      <c r="J91" s="457"/>
      <c r="K91" s="457"/>
    </row>
    <row r="92" spans="1:11">
      <c r="A92" s="457"/>
      <c r="B92" s="457"/>
      <c r="C92" s="457"/>
      <c r="D92" s="457"/>
      <c r="E92" s="457"/>
      <c r="F92" s="457"/>
      <c r="G92" s="457"/>
      <c r="H92" s="457"/>
      <c r="I92" s="457"/>
      <c r="J92" s="457"/>
      <c r="K92" s="457"/>
    </row>
    <row r="93" spans="1:11">
      <c r="A93" s="457"/>
      <c r="B93" s="457"/>
      <c r="C93" s="457"/>
      <c r="D93" s="457"/>
      <c r="E93" s="457"/>
      <c r="F93" s="457"/>
      <c r="G93" s="457"/>
      <c r="H93" s="457"/>
      <c r="I93" s="457"/>
      <c r="J93" s="457"/>
      <c r="K93" s="457"/>
    </row>
    <row r="94" spans="1:11">
      <c r="A94" s="457"/>
      <c r="B94" s="457"/>
      <c r="C94" s="457"/>
      <c r="D94" s="457"/>
      <c r="E94" s="457"/>
      <c r="F94" s="457"/>
      <c r="G94" s="457"/>
      <c r="H94" s="457"/>
      <c r="I94" s="457"/>
      <c r="J94" s="457"/>
      <c r="K94" s="457"/>
    </row>
    <row r="95" spans="1:11">
      <c r="A95" s="457"/>
      <c r="B95" s="457"/>
      <c r="C95" s="457"/>
      <c r="D95" s="457"/>
      <c r="E95" s="457"/>
      <c r="F95" s="457"/>
      <c r="G95" s="457"/>
      <c r="H95" s="457"/>
      <c r="I95" s="457"/>
      <c r="J95" s="457"/>
      <c r="K95" s="457"/>
    </row>
    <row r="96" spans="1:11">
      <c r="A96" s="457"/>
      <c r="B96" s="457"/>
      <c r="C96" s="457"/>
      <c r="D96" s="457"/>
      <c r="E96" s="457"/>
      <c r="F96" s="457"/>
      <c r="G96" s="457"/>
      <c r="H96" s="457"/>
      <c r="I96" s="457"/>
      <c r="J96" s="457"/>
      <c r="K96" s="457"/>
    </row>
    <row r="97" spans="1:11">
      <c r="A97" s="457"/>
      <c r="B97" s="457"/>
      <c r="C97" s="457"/>
      <c r="D97" s="457"/>
      <c r="E97" s="457"/>
      <c r="F97" s="457"/>
      <c r="G97" s="457"/>
      <c r="H97" s="457"/>
      <c r="I97" s="457"/>
      <c r="J97" s="457"/>
      <c r="K97" s="457"/>
    </row>
    <row r="98" spans="1:11">
      <c r="A98" s="457"/>
      <c r="B98" s="457"/>
      <c r="C98" s="457"/>
      <c r="D98" s="457"/>
      <c r="E98" s="457"/>
      <c r="F98" s="457"/>
      <c r="G98" s="457"/>
      <c r="H98" s="457"/>
      <c r="I98" s="457"/>
      <c r="J98" s="457"/>
      <c r="K98" s="457"/>
    </row>
    <row r="99" spans="1:11">
      <c r="A99" s="457"/>
      <c r="B99" s="457"/>
      <c r="C99" s="457"/>
      <c r="D99" s="457"/>
      <c r="E99" s="457"/>
      <c r="F99" s="457"/>
      <c r="G99" s="457"/>
      <c r="H99" s="457"/>
      <c r="I99" s="457"/>
      <c r="J99" s="457"/>
      <c r="K99" s="457"/>
    </row>
    <row r="100" spans="1:11">
      <c r="A100" s="457"/>
      <c r="B100" s="457"/>
      <c r="C100" s="457"/>
      <c r="D100" s="457"/>
      <c r="E100" s="457"/>
      <c r="F100" s="457"/>
      <c r="G100" s="457"/>
      <c r="H100" s="457"/>
      <c r="I100" s="457"/>
      <c r="J100" s="457"/>
      <c r="K100" s="457"/>
    </row>
    <row r="101" spans="1:11">
      <c r="A101" s="457"/>
      <c r="B101" s="457"/>
      <c r="C101" s="457"/>
      <c r="D101" s="457"/>
      <c r="E101" s="457"/>
      <c r="F101" s="457"/>
      <c r="G101" s="457"/>
      <c r="H101" s="457"/>
      <c r="I101" s="457"/>
      <c r="J101" s="457"/>
      <c r="K101" s="457"/>
    </row>
    <row r="102" spans="1:11">
      <c r="A102" s="457"/>
      <c r="B102" s="457"/>
      <c r="C102" s="457"/>
      <c r="D102" s="457"/>
      <c r="E102" s="457"/>
      <c r="F102" s="457"/>
      <c r="G102" s="457"/>
      <c r="H102" s="457"/>
      <c r="I102" s="457"/>
      <c r="J102" s="457"/>
      <c r="K102" s="457"/>
    </row>
    <row r="103" spans="1:11">
      <c r="A103" s="457"/>
      <c r="B103" s="457"/>
      <c r="C103" s="457"/>
      <c r="D103" s="457"/>
      <c r="E103" s="457"/>
      <c r="F103" s="457"/>
      <c r="G103" s="457"/>
      <c r="H103" s="457"/>
      <c r="I103" s="457"/>
      <c r="J103" s="457"/>
      <c r="K103" s="457"/>
    </row>
    <row r="104" spans="1:11">
      <c r="A104" s="457"/>
      <c r="B104" s="457"/>
      <c r="C104" s="457"/>
      <c r="D104" s="457"/>
      <c r="E104" s="457"/>
      <c r="F104" s="457"/>
      <c r="G104" s="457"/>
      <c r="H104" s="457"/>
      <c r="I104" s="457"/>
      <c r="J104" s="457"/>
      <c r="K104" s="457"/>
    </row>
    <row r="105" spans="1:11">
      <c r="A105" s="457"/>
      <c r="B105" s="457"/>
      <c r="C105" s="457"/>
      <c r="D105" s="457"/>
      <c r="E105" s="457"/>
      <c r="F105" s="457"/>
      <c r="G105" s="457"/>
      <c r="H105" s="457"/>
      <c r="I105" s="457"/>
      <c r="J105" s="457"/>
      <c r="K105" s="457"/>
    </row>
    <row r="106" spans="1:11">
      <c r="A106" s="457"/>
      <c r="B106" s="457"/>
      <c r="C106" s="457"/>
      <c r="D106" s="457"/>
      <c r="E106" s="457"/>
      <c r="F106" s="457"/>
      <c r="G106" s="457"/>
      <c r="H106" s="457"/>
      <c r="I106" s="457"/>
      <c r="J106" s="457"/>
      <c r="K106" s="457"/>
    </row>
    <row r="107" spans="1:11">
      <c r="A107" s="457"/>
      <c r="B107" s="457"/>
      <c r="C107" s="457"/>
      <c r="D107" s="457"/>
      <c r="E107" s="457"/>
      <c r="F107" s="457"/>
      <c r="G107" s="457"/>
      <c r="H107" s="457"/>
      <c r="I107" s="457"/>
      <c r="J107" s="457"/>
      <c r="K107" s="457"/>
    </row>
    <row r="108" spans="1:11">
      <c r="A108" s="457"/>
      <c r="B108" s="457"/>
      <c r="C108" s="457"/>
      <c r="D108" s="457"/>
      <c r="E108" s="457"/>
      <c r="F108" s="457"/>
      <c r="G108" s="457"/>
      <c r="H108" s="457"/>
      <c r="I108" s="457"/>
      <c r="J108" s="457"/>
      <c r="K108" s="457"/>
    </row>
    <row r="109" spans="1:11">
      <c r="A109" s="457"/>
      <c r="B109" s="457"/>
      <c r="C109" s="457"/>
      <c r="D109" s="457"/>
      <c r="E109" s="457"/>
      <c r="F109" s="457"/>
      <c r="G109" s="457"/>
      <c r="H109" s="457"/>
      <c r="I109" s="457"/>
      <c r="J109" s="457"/>
      <c r="K109" s="457"/>
    </row>
    <row r="110" spans="1:11">
      <c r="A110" s="457"/>
      <c r="B110" s="457"/>
      <c r="C110" s="457"/>
      <c r="D110" s="457"/>
      <c r="E110" s="457"/>
      <c r="F110" s="457"/>
      <c r="G110" s="457"/>
      <c r="H110" s="457"/>
      <c r="I110" s="457"/>
      <c r="J110" s="457"/>
      <c r="K110" s="457"/>
    </row>
    <row r="111" spans="1:11">
      <c r="A111" s="457"/>
      <c r="B111" s="457"/>
      <c r="C111" s="457"/>
      <c r="D111" s="457"/>
      <c r="E111" s="457"/>
      <c r="F111" s="457"/>
      <c r="G111" s="457"/>
      <c r="H111" s="457"/>
      <c r="I111" s="457"/>
      <c r="J111" s="457"/>
      <c r="K111" s="457"/>
    </row>
    <row r="112" spans="1:11">
      <c r="A112" s="457"/>
      <c r="B112" s="457"/>
      <c r="C112" s="457"/>
      <c r="D112" s="457"/>
      <c r="E112" s="457"/>
      <c r="F112" s="457"/>
      <c r="G112" s="457"/>
      <c r="H112" s="457"/>
      <c r="I112" s="457"/>
      <c r="J112" s="457"/>
      <c r="K112" s="457"/>
    </row>
    <row r="113" spans="1:11">
      <c r="A113" s="457"/>
      <c r="B113" s="457"/>
      <c r="C113" s="457"/>
      <c r="D113" s="457"/>
      <c r="E113" s="457"/>
      <c r="F113" s="457"/>
      <c r="G113" s="457"/>
      <c r="H113" s="457"/>
      <c r="I113" s="457"/>
      <c r="J113" s="457"/>
      <c r="K113" s="457"/>
    </row>
    <row r="114" spans="1:11">
      <c r="A114" s="457"/>
      <c r="B114" s="457"/>
      <c r="C114" s="457"/>
      <c r="D114" s="457"/>
      <c r="E114" s="457"/>
      <c r="F114" s="457"/>
      <c r="G114" s="457"/>
      <c r="H114" s="457"/>
      <c r="I114" s="457"/>
      <c r="J114" s="457"/>
      <c r="K114" s="457"/>
    </row>
    <row r="115" spans="1:11">
      <c r="A115" s="457"/>
      <c r="B115" s="457"/>
      <c r="C115" s="457"/>
      <c r="D115" s="457"/>
      <c r="E115" s="457"/>
      <c r="F115" s="457"/>
      <c r="G115" s="457"/>
      <c r="H115" s="457"/>
      <c r="I115" s="457"/>
      <c r="J115" s="457"/>
      <c r="K115" s="457"/>
    </row>
    <row r="116" spans="1:11">
      <c r="A116" s="457"/>
      <c r="B116" s="457"/>
      <c r="C116" s="457"/>
      <c r="D116" s="457"/>
      <c r="E116" s="457"/>
      <c r="F116" s="457"/>
      <c r="G116" s="457"/>
      <c r="H116" s="457"/>
      <c r="I116" s="457"/>
      <c r="J116" s="457"/>
      <c r="K116" s="457"/>
    </row>
    <row r="117" spans="1:11">
      <c r="A117" s="457"/>
      <c r="B117" s="457"/>
      <c r="C117" s="457"/>
      <c r="D117" s="457"/>
      <c r="E117" s="457"/>
      <c r="F117" s="457"/>
      <c r="G117" s="457"/>
      <c r="H117" s="457"/>
      <c r="I117" s="457"/>
      <c r="J117" s="457"/>
      <c r="K117" s="457"/>
    </row>
    <row r="118" spans="1:11">
      <c r="A118" s="457"/>
      <c r="B118" s="457"/>
      <c r="C118" s="457"/>
      <c r="D118" s="457"/>
      <c r="E118" s="457"/>
      <c r="F118" s="457"/>
      <c r="G118" s="457"/>
      <c r="H118" s="457"/>
      <c r="I118" s="457"/>
      <c r="J118" s="457"/>
      <c r="K118" s="457"/>
    </row>
    <row r="119" spans="1:11">
      <c r="A119" s="457"/>
      <c r="B119" s="457"/>
      <c r="C119" s="457"/>
      <c r="D119" s="457"/>
      <c r="E119" s="457"/>
      <c r="F119" s="457"/>
      <c r="G119" s="457"/>
      <c r="H119" s="457"/>
      <c r="I119" s="457"/>
      <c r="J119" s="457"/>
      <c r="K119" s="457"/>
    </row>
    <row r="120" spans="1:11">
      <c r="A120" s="457"/>
      <c r="B120" s="457"/>
      <c r="C120" s="457"/>
      <c r="D120" s="457"/>
      <c r="E120" s="457"/>
      <c r="F120" s="457"/>
      <c r="G120" s="457"/>
      <c r="H120" s="457"/>
      <c r="I120" s="457"/>
      <c r="J120" s="457"/>
      <c r="K120" s="457"/>
    </row>
    <row r="121" spans="1:11">
      <c r="A121" s="457"/>
      <c r="B121" s="457"/>
      <c r="C121" s="457"/>
      <c r="D121" s="457"/>
      <c r="E121" s="457"/>
      <c r="F121" s="457"/>
      <c r="G121" s="457"/>
      <c r="H121" s="457"/>
      <c r="I121" s="457"/>
      <c r="J121" s="457"/>
      <c r="K121" s="457"/>
    </row>
    <row r="122" spans="1:11">
      <c r="A122" s="457"/>
      <c r="B122" s="457"/>
      <c r="C122" s="457"/>
      <c r="D122" s="457"/>
      <c r="E122" s="457"/>
      <c r="F122" s="457"/>
      <c r="G122" s="457"/>
      <c r="H122" s="457"/>
      <c r="I122" s="457"/>
      <c r="J122" s="457"/>
      <c r="K122" s="457"/>
    </row>
    <row r="123" spans="1:11">
      <c r="A123" s="457"/>
      <c r="B123" s="457"/>
      <c r="C123" s="457"/>
      <c r="D123" s="457"/>
      <c r="E123" s="457"/>
      <c r="F123" s="457"/>
      <c r="G123" s="457"/>
      <c r="H123" s="457"/>
      <c r="I123" s="457"/>
      <c r="J123" s="457"/>
      <c r="K123" s="457"/>
    </row>
    <row r="124" spans="1:11">
      <c r="A124" s="457"/>
      <c r="B124" s="457"/>
      <c r="C124" s="457"/>
      <c r="D124" s="457"/>
      <c r="E124" s="457"/>
      <c r="F124" s="457"/>
      <c r="G124" s="457"/>
      <c r="H124" s="457"/>
      <c r="I124" s="457"/>
      <c r="J124" s="457"/>
      <c r="K124" s="457"/>
    </row>
    <row r="125" spans="1:11">
      <c r="A125" s="457"/>
      <c r="B125" s="457"/>
      <c r="C125" s="457"/>
      <c r="D125" s="457"/>
      <c r="E125" s="457"/>
      <c r="F125" s="457"/>
      <c r="G125" s="457"/>
      <c r="H125" s="457"/>
      <c r="I125" s="457"/>
      <c r="J125" s="457"/>
      <c r="K125" s="457"/>
    </row>
    <row r="126" spans="1:11">
      <c r="A126" s="457"/>
      <c r="B126" s="457"/>
      <c r="C126" s="457"/>
      <c r="D126" s="457"/>
      <c r="E126" s="457"/>
      <c r="F126" s="457"/>
      <c r="G126" s="457"/>
      <c r="H126" s="457"/>
      <c r="I126" s="457"/>
      <c r="J126" s="457"/>
      <c r="K126" s="457"/>
    </row>
    <row r="127" spans="1:11">
      <c r="A127" s="457"/>
      <c r="B127" s="457"/>
      <c r="C127" s="457"/>
      <c r="D127" s="457"/>
      <c r="E127" s="457"/>
      <c r="F127" s="457"/>
      <c r="G127" s="457"/>
      <c r="H127" s="457"/>
      <c r="I127" s="457"/>
      <c r="J127" s="457"/>
      <c r="K127" s="457"/>
    </row>
    <row r="128" spans="1:11">
      <c r="A128" s="457"/>
      <c r="B128" s="457"/>
      <c r="C128" s="457"/>
      <c r="D128" s="457"/>
      <c r="E128" s="457"/>
      <c r="F128" s="457"/>
      <c r="G128" s="457"/>
      <c r="H128" s="457"/>
      <c r="I128" s="457"/>
      <c r="J128" s="457"/>
      <c r="K128" s="457"/>
    </row>
    <row r="129" spans="1:11">
      <c r="A129" s="457"/>
      <c r="B129" s="457"/>
      <c r="C129" s="457"/>
      <c r="D129" s="457"/>
      <c r="E129" s="457"/>
      <c r="F129" s="457"/>
      <c r="G129" s="457"/>
      <c r="H129" s="457"/>
      <c r="I129" s="457"/>
      <c r="J129" s="457"/>
      <c r="K129" s="457"/>
    </row>
    <row r="130" spans="1:11">
      <c r="A130" s="457"/>
      <c r="B130" s="457"/>
      <c r="C130" s="457"/>
      <c r="D130" s="457"/>
      <c r="E130" s="457"/>
      <c r="F130" s="457"/>
      <c r="G130" s="457"/>
      <c r="H130" s="457"/>
      <c r="I130" s="457"/>
      <c r="J130" s="457"/>
      <c r="K130" s="457"/>
    </row>
    <row r="131" spans="1:11">
      <c r="A131" s="457"/>
      <c r="B131" s="457"/>
      <c r="C131" s="457"/>
      <c r="D131" s="457"/>
      <c r="E131" s="457"/>
      <c r="F131" s="457"/>
      <c r="G131" s="457"/>
      <c r="H131" s="457"/>
      <c r="I131" s="457"/>
      <c r="J131" s="457"/>
      <c r="K131" s="457"/>
    </row>
    <row r="132" spans="1:11">
      <c r="A132" s="457"/>
      <c r="B132" s="457"/>
      <c r="C132" s="457"/>
      <c r="D132" s="457"/>
      <c r="E132" s="457"/>
      <c r="F132" s="457"/>
      <c r="G132" s="457"/>
      <c r="H132" s="457"/>
      <c r="I132" s="457"/>
      <c r="J132" s="457"/>
      <c r="K132" s="457"/>
    </row>
  </sheetData>
  <mergeCells count="5">
    <mergeCell ref="A9:G9"/>
    <mergeCell ref="A10:G10"/>
    <mergeCell ref="H13:I13"/>
    <mergeCell ref="A57:L58"/>
    <mergeCell ref="B62:F63"/>
  </mergeCells>
  <dataValidations count="1">
    <dataValidation type="list" allowBlank="1" showInputMessage="1" showErrorMessage="1" sqref="B14:G14">
      <formula1>"CGAAP, MIFRS, USGAAP, ASPE"</formula1>
    </dataValidation>
  </dataValidations>
  <pageMargins left="0.75" right="0.75" top="1" bottom="1" header="0.5" footer="0.5"/>
  <pageSetup scale="52" fitToHeight="0" orientation="portrait" r:id="rId1"/>
  <headerFooter alignWithMargins="0"/>
</worksheet>
</file>

<file path=xl/worksheets/sheet19.xml><?xml version="1.0" encoding="utf-8"?>
<worksheet xmlns="http://schemas.openxmlformats.org/spreadsheetml/2006/main" xmlns:r="http://schemas.openxmlformats.org/officeDocument/2006/relationships">
  <sheetPr>
    <pageSetUpPr fitToPage="1"/>
  </sheetPr>
  <dimension ref="A1:M46"/>
  <sheetViews>
    <sheetView showGridLines="0" zoomScaleNormal="100" workbookViewId="0">
      <selection activeCell="J24" sqref="J24"/>
    </sheetView>
  </sheetViews>
  <sheetFormatPr defaultRowHeight="12.75"/>
  <cols>
    <col min="1" max="1" width="2.42578125" bestFit="1" customWidth="1"/>
    <col min="2" max="2" width="40.42578125" bestFit="1" customWidth="1"/>
    <col min="3" max="7" width="17.85546875" customWidth="1"/>
    <col min="8" max="8" width="3" customWidth="1"/>
  </cols>
  <sheetData>
    <row r="1" spans="1:13">
      <c r="F1" s="31" t="s">
        <v>131</v>
      </c>
      <c r="G1" s="32" t="str">
        <f>'LDC Info'!$E$18</f>
        <v>EB-2012-0126</v>
      </c>
    </row>
    <row r="2" spans="1:13">
      <c r="F2" s="31" t="s">
        <v>132</v>
      </c>
      <c r="G2" s="33"/>
    </row>
    <row r="3" spans="1:13">
      <c r="F3" s="31" t="s">
        <v>133</v>
      </c>
      <c r="G3" s="33"/>
    </row>
    <row r="4" spans="1:13">
      <c r="F4" s="31" t="s">
        <v>134</v>
      </c>
      <c r="G4" s="33"/>
    </row>
    <row r="5" spans="1:13">
      <c r="F5" s="31" t="s">
        <v>135</v>
      </c>
      <c r="G5" s="34"/>
    </row>
    <row r="6" spans="1:13">
      <c r="F6" s="31"/>
      <c r="G6" s="32"/>
    </row>
    <row r="7" spans="1:13">
      <c r="F7" s="31" t="s">
        <v>136</v>
      </c>
      <c r="G7" s="34" t="s">
        <v>1171</v>
      </c>
    </row>
    <row r="8" spans="1:13">
      <c r="G8" s="302"/>
    </row>
    <row r="9" spans="1:13">
      <c r="G9" s="302"/>
    </row>
    <row r="10" spans="1:13" ht="18">
      <c r="B10" s="1215" t="s">
        <v>648</v>
      </c>
      <c r="C10" s="1215"/>
      <c r="D10" s="1215"/>
      <c r="E10" s="1215"/>
      <c r="F10" s="1215"/>
      <c r="G10" s="1215"/>
    </row>
    <row r="11" spans="1:13" ht="18">
      <c r="B11" s="1215" t="s">
        <v>649</v>
      </c>
      <c r="C11" s="1215"/>
      <c r="D11" s="1215"/>
      <c r="E11" s="1215"/>
      <c r="F11" s="1215"/>
      <c r="G11" s="1215"/>
    </row>
    <row r="12" spans="1:13" ht="13.5" thickBot="1"/>
    <row r="13" spans="1:13" ht="39" thickBot="1">
      <c r="A13" s="1283" t="s">
        <v>650</v>
      </c>
      <c r="B13" s="1284"/>
      <c r="C13" s="455" t="str">
        <f>"Last Rebasing Year (" &amp; 'LDC Info'!E30 &amp; " Actuals)"</f>
        <v>Last Rebasing Year (2009 Actuals)</v>
      </c>
      <c r="D13" s="356" t="str">
        <f>'LDC Info'!E26 -2 &amp; " Actuals"</f>
        <v>2010 Actuals</v>
      </c>
      <c r="E13" s="356" t="str">
        <f>'LDC Info'!E26 -1 &amp; " Actuals"</f>
        <v>2011 Actuals</v>
      </c>
      <c r="F13" s="356" t="str">
        <f>'LDC Info'!E26 &amp; " Bridge Year"</f>
        <v>2012 Bridge Year</v>
      </c>
      <c r="G13" s="456" t="str">
        <f>'LDC Info'!E28 &amp; " Test Year"</f>
        <v>2013 Test Year</v>
      </c>
    </row>
    <row r="14" spans="1:13" ht="13.5" thickBot="1">
      <c r="A14" s="1285" t="s">
        <v>142</v>
      </c>
      <c r="B14" s="1286"/>
      <c r="C14" s="459" t="s">
        <v>143</v>
      </c>
      <c r="D14" s="459" t="s">
        <v>143</v>
      </c>
      <c r="E14" s="459" t="s">
        <v>143</v>
      </c>
      <c r="F14" s="459" t="s">
        <v>143</v>
      </c>
      <c r="G14" s="460" t="s">
        <v>143</v>
      </c>
      <c r="M14" s="538"/>
    </row>
    <row r="15" spans="1:13" ht="13.5" thickBot="1">
      <c r="A15" s="1287" t="s">
        <v>281</v>
      </c>
      <c r="B15" s="1288"/>
      <c r="C15" s="539">
        <v>11669544.74</v>
      </c>
      <c r="D15" s="540">
        <f>C34</f>
        <v>11434818.07</v>
      </c>
      <c r="E15" s="540">
        <f>D34</f>
        <v>7907071</v>
      </c>
      <c r="F15" s="540">
        <f>E34</f>
        <v>12979241.039999999</v>
      </c>
      <c r="G15" s="541">
        <f>F34</f>
        <v>12323003.35232687</v>
      </c>
    </row>
    <row r="16" spans="1:13">
      <c r="A16" s="542" t="s">
        <v>651</v>
      </c>
      <c r="B16" s="543" t="s">
        <v>652</v>
      </c>
      <c r="C16" s="364"/>
      <c r="D16" s="47">
        <v>-2780264</v>
      </c>
      <c r="E16" s="47">
        <v>4060808</v>
      </c>
      <c r="F16" s="47">
        <v>-1280554</v>
      </c>
      <c r="G16" s="287"/>
    </row>
    <row r="17" spans="1:7">
      <c r="A17" s="542" t="s">
        <v>653</v>
      </c>
      <c r="B17" s="543" t="s">
        <v>654</v>
      </c>
      <c r="C17" s="47">
        <v>300000</v>
      </c>
      <c r="D17" s="47">
        <v>-600000</v>
      </c>
      <c r="E17" s="47">
        <v>300000</v>
      </c>
      <c r="F17" s="47"/>
      <c r="G17" s="287"/>
    </row>
    <row r="18" spans="1:7">
      <c r="A18" s="542" t="s">
        <v>655</v>
      </c>
      <c r="B18" s="543" t="s">
        <v>656</v>
      </c>
      <c r="C18" s="47"/>
      <c r="D18" s="47"/>
      <c r="E18" s="47">
        <v>360000</v>
      </c>
      <c r="F18" s="47">
        <v>-300000</v>
      </c>
      <c r="G18" s="287">
        <f>235000-25000</f>
        <v>210000</v>
      </c>
    </row>
    <row r="19" spans="1:7">
      <c r="A19" s="542" t="s">
        <v>657</v>
      </c>
      <c r="B19" s="543" t="s">
        <v>658</v>
      </c>
      <c r="C19" s="47"/>
      <c r="D19" s="47">
        <v>228000</v>
      </c>
      <c r="E19" s="47">
        <v>230000</v>
      </c>
      <c r="F19" s="47">
        <v>240000</v>
      </c>
      <c r="G19" s="287">
        <v>150000</v>
      </c>
    </row>
    <row r="20" spans="1:7">
      <c r="A20" s="542" t="s">
        <v>659</v>
      </c>
      <c r="B20" s="543" t="s">
        <v>660</v>
      </c>
      <c r="C20" s="47"/>
      <c r="D20" s="47"/>
      <c r="E20" s="47">
        <v>123000</v>
      </c>
      <c r="F20" s="47">
        <v>178000</v>
      </c>
      <c r="G20" s="287">
        <v>121000</v>
      </c>
    </row>
    <row r="21" spans="1:7">
      <c r="A21" s="542" t="s">
        <v>661</v>
      </c>
      <c r="B21" s="543" t="s">
        <v>662</v>
      </c>
      <c r="C21" s="47">
        <v>-100000</v>
      </c>
      <c r="D21" s="47">
        <v>-110000</v>
      </c>
      <c r="E21" s="47">
        <v>80000</v>
      </c>
      <c r="F21" s="47"/>
      <c r="G21" s="287">
        <v>147000</v>
      </c>
    </row>
    <row r="22" spans="1:7">
      <c r="A22" s="542" t="s">
        <v>663</v>
      </c>
      <c r="B22" s="543" t="s">
        <v>664</v>
      </c>
      <c r="C22" s="47"/>
      <c r="D22" s="47"/>
      <c r="E22" s="47"/>
      <c r="F22" s="47"/>
      <c r="G22" s="287">
        <v>984000</v>
      </c>
    </row>
    <row r="23" spans="1:7">
      <c r="A23" s="542" t="s">
        <v>665</v>
      </c>
      <c r="B23" s="543" t="s">
        <v>666</v>
      </c>
      <c r="C23" s="47"/>
      <c r="D23" s="47"/>
      <c r="E23" s="47"/>
      <c r="F23" s="47"/>
      <c r="G23" s="287">
        <v>451326</v>
      </c>
    </row>
    <row r="24" spans="1:7">
      <c r="A24" s="542" t="s">
        <v>667</v>
      </c>
      <c r="B24" s="543" t="s">
        <v>668</v>
      </c>
      <c r="C24" s="47"/>
      <c r="D24" s="47"/>
      <c r="E24" s="47"/>
      <c r="F24" s="47">
        <v>-245000</v>
      </c>
      <c r="G24" s="287"/>
    </row>
    <row r="25" spans="1:7">
      <c r="A25" s="542" t="s">
        <v>669</v>
      </c>
      <c r="B25" s="543" t="s">
        <v>670</v>
      </c>
      <c r="C25" s="47"/>
      <c r="D25" s="47"/>
      <c r="E25" s="47"/>
      <c r="F25" s="47"/>
      <c r="G25" s="287">
        <v>-436588</v>
      </c>
    </row>
    <row r="26" spans="1:7">
      <c r="A26" s="542" t="s">
        <v>671</v>
      </c>
      <c r="B26" s="543" t="s">
        <v>672</v>
      </c>
      <c r="C26" s="47"/>
      <c r="D26" s="47"/>
      <c r="E26" s="47"/>
      <c r="F26" s="47">
        <f>1000000</f>
        <v>1000000</v>
      </c>
      <c r="G26" s="287"/>
    </row>
    <row r="27" spans="1:7">
      <c r="A27" s="542" t="s">
        <v>673</v>
      </c>
      <c r="B27" s="543" t="s">
        <v>263</v>
      </c>
      <c r="C27" s="47"/>
      <c r="D27" s="47"/>
      <c r="E27" s="47"/>
      <c r="F27" s="47"/>
      <c r="G27" s="287">
        <v>225000</v>
      </c>
    </row>
    <row r="28" spans="1:7">
      <c r="A28" s="542" t="s">
        <v>674</v>
      </c>
      <c r="B28" s="543" t="s">
        <v>675</v>
      </c>
      <c r="C28" s="47">
        <v>-311250</v>
      </c>
      <c r="D28" s="47">
        <v>-217000</v>
      </c>
      <c r="E28" s="47"/>
      <c r="F28" s="47"/>
      <c r="G28" s="287"/>
    </row>
    <row r="29" spans="1:7">
      <c r="A29" s="542" t="s">
        <v>436</v>
      </c>
      <c r="B29" s="543" t="s">
        <v>676</v>
      </c>
      <c r="C29" s="47">
        <v>230181</v>
      </c>
      <c r="D29" s="47">
        <v>-345000</v>
      </c>
      <c r="E29" s="47"/>
      <c r="F29" s="47"/>
      <c r="G29" s="287"/>
    </row>
    <row r="30" spans="1:7">
      <c r="A30" s="542" t="s">
        <v>677</v>
      </c>
      <c r="B30" s="543" t="s">
        <v>678</v>
      </c>
      <c r="C30" s="47">
        <v>-130000</v>
      </c>
      <c r="D30" s="47">
        <v>250000</v>
      </c>
      <c r="E30" s="47">
        <v>-250000</v>
      </c>
      <c r="F30" s="47">
        <v>136000</v>
      </c>
      <c r="G30" s="287"/>
    </row>
    <row r="31" spans="1:7">
      <c r="A31" s="544" t="s">
        <v>679</v>
      </c>
      <c r="B31" s="545" t="s">
        <v>680</v>
      </c>
      <c r="C31" s="49">
        <v>-150000</v>
      </c>
      <c r="D31" s="49"/>
      <c r="E31" s="49">
        <v>113000</v>
      </c>
      <c r="F31" s="49"/>
      <c r="G31" s="313"/>
    </row>
    <row r="32" spans="1:7">
      <c r="A32" s="544" t="s">
        <v>681</v>
      </c>
      <c r="B32" s="545" t="s">
        <v>682</v>
      </c>
      <c r="C32" s="49">
        <v>-150000</v>
      </c>
      <c r="D32" s="49">
        <v>200000</v>
      </c>
      <c r="E32" s="49"/>
      <c r="F32" s="49">
        <v>-440000</v>
      </c>
      <c r="G32" s="313"/>
    </row>
    <row r="33" spans="1:7" ht="13.5" thickBot="1">
      <c r="A33" s="546"/>
      <c r="B33" s="547" t="s">
        <v>240</v>
      </c>
      <c r="C33" s="314">
        <f>C34-C15-SUM(C16:C32)</f>
        <v>76342.330000000075</v>
      </c>
      <c r="D33" s="314">
        <f t="shared" ref="D33:F33" si="0">D34-D15-SUM(D16:D32)</f>
        <v>-153483.0700000003</v>
      </c>
      <c r="E33" s="314">
        <f t="shared" si="0"/>
        <v>55362.039999999106</v>
      </c>
      <c r="F33" s="314">
        <f t="shared" si="0"/>
        <v>55316.312326870859</v>
      </c>
      <c r="G33" s="314">
        <f>G34-G15-SUM(G16:G32)</f>
        <v>14875.410496000201</v>
      </c>
    </row>
    <row r="34" spans="1:7" ht="14.25" thickTop="1" thickBot="1">
      <c r="A34" s="1289" t="s">
        <v>284</v>
      </c>
      <c r="B34" s="1290"/>
      <c r="C34" s="298">
        <v>11434818.07</v>
      </c>
      <c r="D34" s="298">
        <v>7907071</v>
      </c>
      <c r="E34" s="298">
        <v>12979241.039999999</v>
      </c>
      <c r="F34" s="298">
        <v>12323003.35232687</v>
      </c>
      <c r="G34" s="299">
        <f>'App.2-G_Detailed_OM&amp;A'!I119</f>
        <v>14189616.76282287</v>
      </c>
    </row>
    <row r="36" spans="1:7">
      <c r="B36" s="18" t="s">
        <v>270</v>
      </c>
    </row>
    <row r="38" spans="1:7">
      <c r="B38" s="451">
        <v>1</v>
      </c>
      <c r="C38" t="s">
        <v>683</v>
      </c>
    </row>
    <row r="39" spans="1:7">
      <c r="B39" s="451"/>
      <c r="C39" t="s">
        <v>684</v>
      </c>
    </row>
    <row r="40" spans="1:7">
      <c r="B40" s="451">
        <v>2</v>
      </c>
      <c r="C40" t="s">
        <v>685</v>
      </c>
    </row>
    <row r="41" spans="1:7">
      <c r="B41" s="451">
        <v>3</v>
      </c>
      <c r="C41" s="1282" t="s">
        <v>618</v>
      </c>
      <c r="D41" s="1282"/>
      <c r="E41" s="1282"/>
      <c r="F41" s="1282"/>
      <c r="G41" s="1282"/>
    </row>
    <row r="42" spans="1:7">
      <c r="B42" s="10"/>
      <c r="C42" s="1282"/>
      <c r="D42" s="1282"/>
      <c r="E42" s="1282"/>
      <c r="F42" s="1282"/>
      <c r="G42" s="1282"/>
    </row>
    <row r="43" spans="1:7">
      <c r="B43" s="10"/>
      <c r="C43" s="1282"/>
      <c r="D43" s="1282"/>
      <c r="E43" s="1282"/>
      <c r="F43" s="1282"/>
      <c r="G43" s="1282"/>
    </row>
    <row r="44" spans="1:7" ht="3" customHeight="1">
      <c r="B44" s="10"/>
      <c r="C44" s="1282"/>
      <c r="D44" s="1282"/>
      <c r="E44" s="1282"/>
      <c r="F44" s="1282"/>
      <c r="G44" s="1282"/>
    </row>
    <row r="45" spans="1:7">
      <c r="B45" s="451">
        <v>4</v>
      </c>
      <c r="C45" s="1278" t="s">
        <v>686</v>
      </c>
      <c r="D45" s="1279"/>
      <c r="E45" s="1279"/>
      <c r="F45" s="1279"/>
      <c r="G45" s="1279"/>
    </row>
    <row r="46" spans="1:7" ht="3.75" customHeight="1">
      <c r="C46" s="1279"/>
      <c r="D46" s="1279"/>
      <c r="E46" s="1279"/>
      <c r="F46" s="1279"/>
      <c r="G46" s="1279"/>
    </row>
  </sheetData>
  <mergeCells count="8">
    <mergeCell ref="C41:G44"/>
    <mergeCell ref="C45:G46"/>
    <mergeCell ref="B10:G10"/>
    <mergeCell ref="B11:G11"/>
    <mergeCell ref="A13:B13"/>
    <mergeCell ref="A14:B14"/>
    <mergeCell ref="A15:B15"/>
    <mergeCell ref="A34:B34"/>
  </mergeCells>
  <dataValidations count="1">
    <dataValidation type="list" allowBlank="1" showInputMessage="1" showErrorMessage="1" sqref="C14:G14">
      <formula1>"CGAAP, MIFRS, USGAAP, ASPE"</formula1>
    </dataValidation>
  </dataValidations>
  <pageMargins left="0.75" right="0.75" top="1" bottom="1" header="0.5" footer="0.5"/>
  <pageSetup scale="79"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sheetPr>
    <pageSetUpPr fitToPage="1"/>
  </sheetPr>
  <dimension ref="A7:I71"/>
  <sheetViews>
    <sheetView showGridLines="0" zoomScaleNormal="100" workbookViewId="0">
      <selection activeCell="J24" sqref="J24"/>
    </sheetView>
  </sheetViews>
  <sheetFormatPr defaultRowHeight="12.75"/>
  <cols>
    <col min="2" max="2" width="59.42578125" customWidth="1"/>
    <col min="3" max="3" width="4.85546875" customWidth="1"/>
    <col min="4" max="5" width="3" bestFit="1" customWidth="1"/>
    <col min="6" max="6" width="44.28515625" customWidth="1"/>
  </cols>
  <sheetData>
    <row r="7" spans="1:7" ht="18">
      <c r="C7" s="17"/>
    </row>
    <row r="8" spans="1:7">
      <c r="C8" s="18"/>
    </row>
    <row r="9" spans="1:7">
      <c r="C9" s="19"/>
    </row>
    <row r="10" spans="1:7">
      <c r="C10" s="19"/>
    </row>
    <row r="11" spans="1:7">
      <c r="C11" s="19"/>
    </row>
    <row r="12" spans="1:7">
      <c r="C12" s="19"/>
    </row>
    <row r="13" spans="1:7" ht="25.5">
      <c r="A13" s="20"/>
      <c r="C13" s="19"/>
    </row>
    <row r="14" spans="1:7">
      <c r="B14" s="10"/>
      <c r="C14" s="21"/>
    </row>
    <row r="15" spans="1:7">
      <c r="A15" s="21">
        <v>1</v>
      </c>
      <c r="B15" s="22" t="s">
        <v>95</v>
      </c>
      <c r="C15" s="10"/>
      <c r="E15" s="21">
        <v>19</v>
      </c>
      <c r="F15" s="22" t="s">
        <v>96</v>
      </c>
      <c r="G15" s="10"/>
    </row>
    <row r="16" spans="1:7">
      <c r="A16" s="21">
        <v>2</v>
      </c>
      <c r="B16" s="10" t="s">
        <v>97</v>
      </c>
      <c r="C16" s="10"/>
      <c r="E16" s="21">
        <v>20</v>
      </c>
      <c r="F16" s="22" t="s">
        <v>98</v>
      </c>
      <c r="G16" s="10"/>
    </row>
    <row r="17" spans="1:7">
      <c r="A17" s="21">
        <v>3</v>
      </c>
      <c r="B17" s="22" t="s">
        <v>99</v>
      </c>
      <c r="C17" s="10"/>
      <c r="E17" s="21">
        <v>21</v>
      </c>
      <c r="F17" s="22" t="s">
        <v>100</v>
      </c>
      <c r="G17" s="10"/>
    </row>
    <row r="18" spans="1:7">
      <c r="A18" s="21">
        <v>4</v>
      </c>
      <c r="B18" s="22" t="s">
        <v>101</v>
      </c>
      <c r="C18" s="10"/>
      <c r="E18" s="21">
        <v>22</v>
      </c>
      <c r="F18" s="22" t="s">
        <v>102</v>
      </c>
      <c r="G18" s="10"/>
    </row>
    <row r="19" spans="1:7">
      <c r="A19" s="21">
        <v>5</v>
      </c>
      <c r="B19" s="22" t="s">
        <v>103</v>
      </c>
      <c r="C19" s="10"/>
      <c r="E19" s="21">
        <v>23</v>
      </c>
      <c r="F19" s="22" t="s">
        <v>104</v>
      </c>
      <c r="G19" s="10"/>
    </row>
    <row r="20" spans="1:7">
      <c r="A20" s="21">
        <v>6</v>
      </c>
      <c r="B20" s="22" t="s">
        <v>105</v>
      </c>
      <c r="C20" s="10"/>
      <c r="E20" s="21">
        <v>24</v>
      </c>
      <c r="F20" s="22" t="s">
        <v>106</v>
      </c>
      <c r="G20" s="10"/>
    </row>
    <row r="21" spans="1:7">
      <c r="A21" s="21">
        <v>7</v>
      </c>
      <c r="B21" s="22" t="s">
        <v>107</v>
      </c>
      <c r="C21" s="10"/>
      <c r="E21" s="21">
        <v>25</v>
      </c>
      <c r="F21" s="22" t="s">
        <v>108</v>
      </c>
      <c r="G21" s="10"/>
    </row>
    <row r="22" spans="1:7">
      <c r="A22" s="21">
        <v>8</v>
      </c>
      <c r="B22" s="22" t="s">
        <v>109</v>
      </c>
      <c r="C22" s="10"/>
      <c r="E22" s="21">
        <v>26</v>
      </c>
      <c r="F22" s="22" t="s">
        <v>110</v>
      </c>
      <c r="G22" s="10"/>
    </row>
    <row r="23" spans="1:7">
      <c r="A23" s="21">
        <v>9</v>
      </c>
      <c r="B23" s="22" t="s">
        <v>111</v>
      </c>
      <c r="C23" s="10"/>
      <c r="E23" s="21">
        <v>27</v>
      </c>
      <c r="F23" s="22" t="s">
        <v>112</v>
      </c>
      <c r="G23" s="10"/>
    </row>
    <row r="24" spans="1:7">
      <c r="A24" s="21">
        <v>10</v>
      </c>
      <c r="B24" s="22" t="s">
        <v>113</v>
      </c>
      <c r="C24" s="10"/>
      <c r="E24" s="21">
        <v>28</v>
      </c>
      <c r="F24" s="22" t="s">
        <v>114</v>
      </c>
      <c r="G24" s="10"/>
    </row>
    <row r="25" spans="1:7">
      <c r="A25" s="21">
        <v>11</v>
      </c>
      <c r="B25" s="22" t="s">
        <v>115</v>
      </c>
      <c r="C25" s="10"/>
      <c r="E25" s="21">
        <v>29</v>
      </c>
      <c r="F25" s="22" t="s">
        <v>116</v>
      </c>
      <c r="G25" s="10"/>
    </row>
    <row r="26" spans="1:7">
      <c r="A26" s="21">
        <v>12</v>
      </c>
      <c r="B26" s="22" t="s">
        <v>117</v>
      </c>
      <c r="C26" s="10"/>
      <c r="E26" s="21">
        <v>30</v>
      </c>
      <c r="F26" s="22" t="s">
        <v>118</v>
      </c>
      <c r="G26" s="10"/>
    </row>
    <row r="27" spans="1:7">
      <c r="A27" s="21">
        <v>13</v>
      </c>
      <c r="B27" s="22" t="s">
        <v>119</v>
      </c>
      <c r="C27" s="10"/>
      <c r="E27" s="21">
        <v>31</v>
      </c>
      <c r="F27" s="22" t="s">
        <v>120</v>
      </c>
      <c r="G27" s="10"/>
    </row>
    <row r="28" spans="1:7">
      <c r="A28" s="21">
        <v>14</v>
      </c>
      <c r="B28" s="22" t="s">
        <v>121</v>
      </c>
      <c r="C28" s="10"/>
      <c r="E28" s="21">
        <v>32</v>
      </c>
      <c r="F28" s="22" t="s">
        <v>122</v>
      </c>
      <c r="G28" s="10"/>
    </row>
    <row r="29" spans="1:7">
      <c r="A29" s="21">
        <v>15</v>
      </c>
      <c r="B29" s="22" t="s">
        <v>123</v>
      </c>
      <c r="C29" s="10"/>
      <c r="E29" s="21">
        <v>33</v>
      </c>
      <c r="F29" s="22" t="s">
        <v>124</v>
      </c>
      <c r="G29" s="10"/>
    </row>
    <row r="30" spans="1:7">
      <c r="A30" s="21">
        <v>16</v>
      </c>
      <c r="B30" s="22" t="s">
        <v>125</v>
      </c>
      <c r="C30" s="10"/>
      <c r="E30" s="21">
        <v>34</v>
      </c>
      <c r="F30" s="22" t="s">
        <v>126</v>
      </c>
      <c r="G30" s="23"/>
    </row>
    <row r="31" spans="1:7">
      <c r="A31" s="21">
        <v>17</v>
      </c>
      <c r="B31" s="22" t="s">
        <v>127</v>
      </c>
      <c r="C31" s="10"/>
      <c r="E31" s="21">
        <v>35</v>
      </c>
      <c r="F31" s="22" t="s">
        <v>128</v>
      </c>
      <c r="G31" s="23"/>
    </row>
    <row r="32" spans="1:7">
      <c r="A32" s="21">
        <v>18</v>
      </c>
      <c r="B32" s="22" t="s">
        <v>129</v>
      </c>
      <c r="C32" s="24"/>
      <c r="E32" s="21">
        <v>36</v>
      </c>
      <c r="F32" s="22" t="s">
        <v>130</v>
      </c>
      <c r="G32" s="10"/>
    </row>
    <row r="33" spans="2:9">
      <c r="B33" s="10"/>
      <c r="C33" s="10"/>
      <c r="G33" s="10"/>
    </row>
    <row r="34" spans="2:9">
      <c r="B34" s="10"/>
      <c r="C34" s="25"/>
      <c r="F34" s="10"/>
      <c r="G34" s="10"/>
      <c r="I34" s="26"/>
    </row>
    <row r="35" spans="2:9">
      <c r="C35" s="26"/>
      <c r="F35" s="23"/>
      <c r="I35" s="26"/>
    </row>
    <row r="36" spans="2:9">
      <c r="C36" s="26"/>
      <c r="I36" s="26"/>
    </row>
    <row r="37" spans="2:9">
      <c r="C37" s="26"/>
      <c r="I37" s="26"/>
    </row>
    <row r="38" spans="2:9" ht="12.75" customHeight="1">
      <c r="C38" s="26"/>
      <c r="D38" s="27"/>
      <c r="E38" s="27"/>
      <c r="I38" s="26"/>
    </row>
    <row r="39" spans="2:9">
      <c r="C39" s="28"/>
      <c r="D39" s="27"/>
      <c r="I39" s="26"/>
    </row>
    <row r="40" spans="2:9">
      <c r="C40" s="26"/>
      <c r="D40" s="27"/>
      <c r="I40" s="28"/>
    </row>
    <row r="41" spans="2:9" ht="12.75" customHeight="1">
      <c r="C41" s="15"/>
      <c r="D41" s="27"/>
    </row>
    <row r="42" spans="2:9">
      <c r="B42" s="15"/>
      <c r="C42" s="15"/>
      <c r="D42" s="27"/>
    </row>
    <row r="43" spans="2:9">
      <c r="D43" s="27"/>
    </row>
    <row r="44" spans="2:9">
      <c r="D44" s="27"/>
    </row>
    <row r="45" spans="2:9">
      <c r="D45" s="27"/>
    </row>
    <row r="46" spans="2:9">
      <c r="D46" s="27"/>
    </row>
    <row r="47" spans="2:9">
      <c r="D47" s="27"/>
    </row>
    <row r="48" spans="2:9">
      <c r="D48" s="27"/>
    </row>
    <row r="49" spans="4:7">
      <c r="D49" s="27"/>
    </row>
    <row r="50" spans="4:7">
      <c r="D50" s="27"/>
    </row>
    <row r="51" spans="4:7">
      <c r="D51" s="27"/>
    </row>
    <row r="52" spans="4:7">
      <c r="D52" s="27"/>
    </row>
    <row r="53" spans="4:7">
      <c r="D53" s="27"/>
    </row>
    <row r="54" spans="4:7">
      <c r="D54" s="27"/>
    </row>
    <row r="55" spans="4:7">
      <c r="D55" s="27"/>
    </row>
    <row r="56" spans="4:7">
      <c r="D56" s="27"/>
    </row>
    <row r="57" spans="4:7">
      <c r="D57" s="27"/>
    </row>
    <row r="58" spans="4:7">
      <c r="D58" s="27"/>
    </row>
    <row r="59" spans="4:7">
      <c r="D59" s="27"/>
      <c r="G59" s="10"/>
    </row>
    <row r="60" spans="4:7">
      <c r="D60" s="27"/>
    </row>
    <row r="61" spans="4:7">
      <c r="D61" s="27"/>
    </row>
    <row r="62" spans="4:7">
      <c r="D62" s="27"/>
      <c r="G62" s="10"/>
    </row>
    <row r="63" spans="4:7">
      <c r="D63" s="27"/>
    </row>
    <row r="64" spans="4:7">
      <c r="D64" s="27"/>
    </row>
    <row r="65" spans="4:7">
      <c r="D65" s="27"/>
    </row>
    <row r="66" spans="4:7">
      <c r="D66" s="27"/>
    </row>
    <row r="67" spans="4:7">
      <c r="D67" s="27"/>
    </row>
    <row r="68" spans="4:7">
      <c r="D68" s="27"/>
    </row>
    <row r="69" spans="4:7">
      <c r="D69" s="27"/>
    </row>
    <row r="70" spans="4:7">
      <c r="D70" s="27"/>
      <c r="G70" s="10"/>
    </row>
    <row r="71" spans="4:7">
      <c r="D71" s="27"/>
    </row>
  </sheetData>
  <hyperlinks>
    <hyperlink ref="B17" location="'App.2-A_Capital Projects'!A1" display="App.2-A_Capital Projects"/>
    <hyperlink ref="B31" location="'App.2-F_Other_Oper_Rev'!A1" display="App.2-F_Other_Oper_Rev"/>
    <hyperlink ref="B30" location="'App.2-EB_PP&amp;E Deferral Account'!A1" display="App.2-EB_PP&amp;E Deferral Account"/>
    <hyperlink ref="B29" location="'App.2-EA_PP&amp;E Deferral Account'!A1" display="App.2-EA_PP&amp;E Deferral Account"/>
    <hyperlink ref="B28" location="'App.2-D_Overhead'!A1" display="App.2-D_Overhead"/>
    <hyperlink ref="B27" location="'App.2-CI_AltAccStd_DepExp'!A1" display="App.2-CI_AltAccStd_DepExp"/>
    <hyperlink ref="B26" location="'App.2-CH_MIFRS_DepExp_2013'!A1" display="App.2-CH_MIFRS_DepExp_2013"/>
    <hyperlink ref="B25" location="'App.2-CG_MIFRS_DepExp_2012'!A1" display="App.2-CG_MIFRS_DepExp_2012"/>
    <hyperlink ref="B24" location="'App.2-CF_CGAAP_DepExp_2012'!A1" display="App.2-CF_CGAAP_DepExp_2012"/>
    <hyperlink ref="B23" location="'App.2-CE_CGAAP_DepExp_2011'!A1" display="App.2-CE_CGAAP_DepExp_2011"/>
    <hyperlink ref="B22" location="'App.2-CD_MIFRS_DepExp_2013'!A1" display="App.2-CD_MIFRS_DepExp_2013"/>
    <hyperlink ref="B21" location="'App.2-CC_MIFRS_DepExp_2012'!A1" display="App.2-CC_MIFRS_DepExp_2012"/>
    <hyperlink ref="B20" location="'App.2-CB_MIFRS_DepExp_2011'!A1" display="App.2-CB_MIFRS_DepExp_2011"/>
    <hyperlink ref="B19" location="'App.2-CA_CGAAP_DepExp_2011'!A1" display="App.2-CA_CGAAP_DepExp_2011"/>
    <hyperlink ref="B18" location="'App.2-B_Fixed Asset Continuity'!A1" display="App.2-B_Fixed Asset Continuity"/>
    <hyperlink ref="B32" location="'App.2-G_Detailed_OM&amp;A_Expenses'!A1" display="App.2-G_Detailed_OM&amp;A_Expenses"/>
    <hyperlink ref="F15" location="'App.2-H_OM&amp;A_Detailed_Analysis'!A1" display="App.2-H_OM&amp;A_Detailed_Analysis"/>
    <hyperlink ref="F16" location="'App.2-I_OM&amp;A_Summary_Analys'!A1" display="App.2-I_OM&amp;A_Summary_Analys"/>
    <hyperlink ref="F17" location="'App.2-J_OM&amp;A_Cost _Drivers'!A1" display="App.2-J_OM&amp;A_Cost _Drivers"/>
    <hyperlink ref="F18" location="'App.2-K_Employee Costs'!A1" display="App.2-K_Employee Costs"/>
    <hyperlink ref="F19" location="'App.2-L_OM&amp;A_per_Cust_FTEE'!A1" display="App.2-L_OM&amp;A_per_Cust_FTEE"/>
    <hyperlink ref="F20" location="'App.2-M_Regulatory_Costs'!A1" display="App.2-M_Regulatory_Costs"/>
    <hyperlink ref="F21" location="'App.2-N_Corp_Cost_Allocation'!A1" display="App.2-N_Corp_Cost_Allocation"/>
    <hyperlink ref="F23" location="'App.2-OB_Debt Instruments'!A1" display="Appendix 2-OB Debt Instruments"/>
    <hyperlink ref="F24" location="'App.2-P_Cost_Allocation'!A1" display="App.2-P_Cost_Allocation"/>
    <hyperlink ref="F25" location="'App.2-Q_Cost of Serv. Emb. Dx'!A1" display="App.2-Q_Cost of Serv. Emb. Dx"/>
    <hyperlink ref="F26" location="'App.2-R_Loss Factors'!A1" display="App.2-R_Loss Factors"/>
    <hyperlink ref="F27" location="'App.2-S_Stranded Meters'!A1" display="App.2-S_Stranded Meters"/>
    <hyperlink ref="F28" location="'App.2-T_1592_Tax_Variance'!A1" display="App.2-T_1592_Tax_Variance"/>
    <hyperlink ref="F29" location="'App.2-U_IFRS Transition Costs'!A1" display="App.2-U_IFRS Transition Costs"/>
    <hyperlink ref="F30" location="'App.2-V_Rev_Reconciliation'!A1" display="App.2-V_Rev_Reconciliation"/>
    <hyperlink ref="F31" location="'App.2-W_Bill Impacts'!A1" display="App.2-W_Bill Impacts"/>
    <hyperlink ref="F32" location="'App.2-X_CoS_Flowchart'!A1" display="App.2-X_CoS_Flowchart"/>
    <hyperlink ref="B15" location="'LDC Info'!A1" display="LDC Info"/>
    <hyperlink ref="F22" location="'App.2-OA Capital Structure'!A1" display="Appendix 2-OA Capital Structure and Cost of Capital"/>
  </hyperlinks>
  <pageMargins left="0.75" right="0.75" top="1" bottom="1" header="0.5" footer="0.5"/>
  <pageSetup scale="50"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sheetPr>
    <pageSetUpPr autoPageBreaks="0" fitToPage="1"/>
  </sheetPr>
  <dimension ref="A1:O94"/>
  <sheetViews>
    <sheetView showGridLines="0" zoomScaleNormal="100" workbookViewId="0">
      <selection activeCell="J24" sqref="J24"/>
    </sheetView>
  </sheetViews>
  <sheetFormatPr defaultRowHeight="12.75"/>
  <cols>
    <col min="1" max="1" width="38" customWidth="1"/>
    <col min="2" max="2" width="17" customWidth="1"/>
    <col min="3" max="3" width="17.28515625" customWidth="1"/>
    <col min="4" max="4" width="17.7109375" customWidth="1"/>
    <col min="5" max="5" width="17.140625" customWidth="1"/>
    <col min="6" max="6" width="16.42578125" customWidth="1"/>
    <col min="7" max="9" width="15.7109375" customWidth="1"/>
    <col min="11" max="11" width="11.85546875" bestFit="1" customWidth="1"/>
    <col min="12" max="15" width="12.85546875" bestFit="1" customWidth="1"/>
  </cols>
  <sheetData>
    <row r="1" spans="1:10">
      <c r="G1" s="268" t="s">
        <v>131</v>
      </c>
      <c r="H1" s="268"/>
      <c r="I1" s="236" t="str">
        <f>'LDC Info'!$E$18</f>
        <v>EB-2012-0126</v>
      </c>
    </row>
    <row r="2" spans="1:10">
      <c r="G2" s="268" t="s">
        <v>132</v>
      </c>
      <c r="H2" s="268"/>
      <c r="I2" s="237"/>
    </row>
    <row r="3" spans="1:10">
      <c r="G3" s="268" t="s">
        <v>133</v>
      </c>
      <c r="H3" s="268"/>
      <c r="I3" s="237"/>
    </row>
    <row r="4" spans="1:10">
      <c r="G4" s="268" t="s">
        <v>134</v>
      </c>
      <c r="H4" s="268"/>
      <c r="I4" s="237"/>
    </row>
    <row r="5" spans="1:10">
      <c r="G5" s="268" t="s">
        <v>439</v>
      </c>
      <c r="H5" s="268"/>
      <c r="I5" s="238"/>
    </row>
    <row r="6" spans="1:10" ht="9" customHeight="1">
      <c r="G6" s="268"/>
      <c r="H6" s="268"/>
      <c r="I6" s="236"/>
    </row>
    <row r="7" spans="1:10">
      <c r="G7" s="268" t="s">
        <v>136</v>
      </c>
      <c r="H7" s="268"/>
      <c r="I7" s="1100" t="s">
        <v>1172</v>
      </c>
    </row>
    <row r="8" spans="1:10" ht="9" customHeight="1"/>
    <row r="9" spans="1:10" ht="17.25" customHeight="1">
      <c r="A9" s="1215" t="s">
        <v>687</v>
      </c>
      <c r="B9" s="1215"/>
      <c r="C9" s="1215"/>
      <c r="D9" s="1215"/>
      <c r="E9" s="1215"/>
      <c r="F9" s="1215"/>
      <c r="G9" s="1215"/>
      <c r="H9" s="1215"/>
      <c r="I9" s="1215"/>
    </row>
    <row r="10" spans="1:10" ht="18">
      <c r="A10" s="1215" t="s">
        <v>688</v>
      </c>
      <c r="B10" s="1215"/>
      <c r="C10" s="1215"/>
      <c r="D10" s="1215"/>
      <c r="E10" s="1215"/>
      <c r="F10" s="1215"/>
      <c r="G10" s="1215"/>
      <c r="H10" s="1215"/>
      <c r="I10" s="1215"/>
    </row>
    <row r="11" spans="1:10" ht="9" customHeight="1" thickBot="1"/>
    <row r="12" spans="1:10" ht="40.5" thickBot="1">
      <c r="A12" s="548"/>
      <c r="B12" s="329" t="str">
        <f>"Last Rebasing Year (" &amp; 'LDC Info'!E30 &amp; " Board-Approved)"</f>
        <v>Last Rebasing Year (2009 Board-Approved)</v>
      </c>
      <c r="C12" s="329" t="s">
        <v>689</v>
      </c>
      <c r="D12" s="329" t="str">
        <f>"Last Rebasing Year (" &amp; 'LDC Info'!E30 &amp; " Actuals)"</f>
        <v>Last Rebasing Year (2009 Actuals)</v>
      </c>
      <c r="E12" s="329" t="str">
        <f>'LDC Info'!E26 -2 &amp; " Actuals"</f>
        <v>2010 Actuals</v>
      </c>
      <c r="F12" s="329" t="str">
        <f>'LDC Info'!E26 -1 &amp; " Actuals"</f>
        <v>2011 Actuals</v>
      </c>
      <c r="G12" s="329" t="str">
        <f>'LDC Info'!E26 &amp; " Bridge Year"</f>
        <v>2012 Bridge Year</v>
      </c>
      <c r="H12" s="329" t="s">
        <v>690</v>
      </c>
      <c r="I12" s="331" t="str">
        <f>'LDC Info'!E28 &amp; " Test Year"</f>
        <v>2013 Test Year</v>
      </c>
      <c r="J12" s="549"/>
    </row>
    <row r="13" spans="1:10" ht="15" customHeight="1" thickBot="1">
      <c r="A13" s="550" t="s">
        <v>142</v>
      </c>
      <c r="B13" s="459" t="s">
        <v>143</v>
      </c>
      <c r="C13" s="459" t="s">
        <v>143</v>
      </c>
      <c r="D13" s="459" t="s">
        <v>143</v>
      </c>
      <c r="E13" s="459" t="s">
        <v>143</v>
      </c>
      <c r="F13" s="459" t="s">
        <v>143</v>
      </c>
      <c r="G13" s="459" t="s">
        <v>143</v>
      </c>
      <c r="H13" s="551" t="s">
        <v>143</v>
      </c>
      <c r="I13" s="460" t="s">
        <v>143</v>
      </c>
      <c r="J13" s="549"/>
    </row>
    <row r="14" spans="1:10" ht="14.25">
      <c r="A14" s="1294" t="s">
        <v>691</v>
      </c>
      <c r="B14" s="1295"/>
      <c r="C14" s="1295"/>
      <c r="D14" s="1295"/>
      <c r="E14" s="1295"/>
      <c r="F14" s="1295"/>
      <c r="G14" s="1295"/>
      <c r="H14" s="1295"/>
      <c r="I14" s="1296"/>
    </row>
    <row r="15" spans="1:10">
      <c r="A15" s="552" t="s">
        <v>692</v>
      </c>
      <c r="B15" s="553">
        <v>3</v>
      </c>
      <c r="C15" s="553">
        <v>0</v>
      </c>
      <c r="D15" s="553">
        <v>0</v>
      </c>
      <c r="E15" s="553">
        <v>0</v>
      </c>
      <c r="F15" s="553">
        <v>0</v>
      </c>
      <c r="G15" s="553">
        <v>0</v>
      </c>
      <c r="H15" s="554">
        <v>0</v>
      </c>
      <c r="I15" s="555">
        <v>0</v>
      </c>
    </row>
    <row r="16" spans="1:10">
      <c r="A16" s="552" t="s">
        <v>693</v>
      </c>
      <c r="B16" s="553">
        <v>12</v>
      </c>
      <c r="C16" s="553">
        <v>15</v>
      </c>
      <c r="D16" s="553">
        <v>13.962933333333334</v>
      </c>
      <c r="E16" s="553">
        <v>13.759600000000001</v>
      </c>
      <c r="F16" s="553">
        <v>15.0596</v>
      </c>
      <c r="G16" s="553">
        <v>15.415731324120804</v>
      </c>
      <c r="H16" s="554">
        <v>15.415731324120806</v>
      </c>
      <c r="I16" s="555">
        <v>16.305851917131125</v>
      </c>
    </row>
    <row r="17" spans="1:15">
      <c r="A17" s="552" t="s">
        <v>694</v>
      </c>
      <c r="B17" s="553">
        <v>3</v>
      </c>
      <c r="C17" s="553">
        <v>3</v>
      </c>
      <c r="D17" s="553">
        <v>2.82</v>
      </c>
      <c r="E17" s="553">
        <v>3.4366666666666665</v>
      </c>
      <c r="F17" s="553">
        <v>3.8866666666666663</v>
      </c>
      <c r="G17" s="553">
        <v>4.0789843524478249</v>
      </c>
      <c r="H17" s="554">
        <v>3.7211926857811584</v>
      </c>
      <c r="I17" s="555">
        <v>4.571192685781158</v>
      </c>
    </row>
    <row r="18" spans="1:15">
      <c r="A18" s="552" t="s">
        <v>695</v>
      </c>
      <c r="B18" s="553">
        <v>85</v>
      </c>
      <c r="C18" s="553">
        <v>85</v>
      </c>
      <c r="D18" s="553">
        <v>83.518946820002824</v>
      </c>
      <c r="E18" s="553">
        <v>80.851683373460446</v>
      </c>
      <c r="F18" s="553">
        <v>81.206630822034029</v>
      </c>
      <c r="G18" s="553">
        <v>80.320819621046553</v>
      </c>
      <c r="H18" s="554">
        <v>73.417171923041707</v>
      </c>
      <c r="I18" s="555">
        <v>81.550795327435509</v>
      </c>
    </row>
    <row r="19" spans="1:15">
      <c r="A19" s="552" t="s">
        <v>267</v>
      </c>
      <c r="B19" s="556">
        <f t="shared" ref="B19:I19" si="0">SUM(B15:B18)</f>
        <v>103</v>
      </c>
      <c r="C19" s="556">
        <f t="shared" si="0"/>
        <v>103</v>
      </c>
      <c r="D19" s="556">
        <f t="shared" si="0"/>
        <v>100.30188015333616</v>
      </c>
      <c r="E19" s="556">
        <f t="shared" si="0"/>
        <v>98.04795004012712</v>
      </c>
      <c r="F19" s="556">
        <f t="shared" si="0"/>
        <v>100.15289748870069</v>
      </c>
      <c r="G19" s="556">
        <f t="shared" si="0"/>
        <v>99.815535297615185</v>
      </c>
      <c r="H19" s="556">
        <f t="shared" si="0"/>
        <v>92.554095932943667</v>
      </c>
      <c r="I19" s="557">
        <f t="shared" si="0"/>
        <v>102.4278399303478</v>
      </c>
    </row>
    <row r="20" spans="1:15">
      <c r="A20" s="1291" t="s">
        <v>696</v>
      </c>
      <c r="B20" s="1292"/>
      <c r="C20" s="1292"/>
      <c r="D20" s="1292"/>
      <c r="E20" s="1292"/>
      <c r="F20" s="1292"/>
      <c r="G20" s="1292"/>
      <c r="H20" s="1292"/>
      <c r="I20" s="1293"/>
    </row>
    <row r="21" spans="1:15">
      <c r="A21" s="552" t="s">
        <v>692</v>
      </c>
      <c r="B21" s="558"/>
      <c r="C21" s="558"/>
      <c r="D21" s="558"/>
      <c r="E21" s="558"/>
      <c r="F21" s="558"/>
      <c r="G21" s="558"/>
      <c r="H21" s="559"/>
      <c r="I21" s="249"/>
    </row>
    <row r="22" spans="1:15">
      <c r="A22" s="552" t="s">
        <v>693</v>
      </c>
      <c r="B22" s="558"/>
      <c r="C22" s="558"/>
      <c r="D22" s="558"/>
      <c r="E22" s="558"/>
      <c r="F22" s="558"/>
      <c r="G22" s="558"/>
      <c r="H22" s="559"/>
      <c r="I22" s="249"/>
    </row>
    <row r="23" spans="1:15">
      <c r="A23" s="552" t="s">
        <v>694</v>
      </c>
      <c r="B23" s="558"/>
      <c r="C23" s="558"/>
      <c r="D23" s="558"/>
      <c r="E23" s="558"/>
      <c r="F23" s="558"/>
      <c r="G23" s="558"/>
      <c r="H23" s="559"/>
      <c r="I23" s="249"/>
    </row>
    <row r="24" spans="1:15">
      <c r="A24" s="552" t="s">
        <v>695</v>
      </c>
      <c r="B24" s="558"/>
      <c r="C24" s="558"/>
      <c r="D24" s="558"/>
      <c r="E24" s="558"/>
      <c r="F24" s="558"/>
      <c r="G24" s="558"/>
      <c r="H24" s="559"/>
      <c r="I24" s="249"/>
    </row>
    <row r="25" spans="1:15">
      <c r="A25" s="552" t="s">
        <v>267</v>
      </c>
      <c r="B25" s="560">
        <f t="shared" ref="B25:I25" si="1">SUM(B21:B24)</f>
        <v>0</v>
      </c>
      <c r="C25" s="560">
        <f t="shared" si="1"/>
        <v>0</v>
      </c>
      <c r="D25" s="560">
        <f t="shared" si="1"/>
        <v>0</v>
      </c>
      <c r="E25" s="560">
        <f t="shared" si="1"/>
        <v>0</v>
      </c>
      <c r="F25" s="560">
        <f t="shared" si="1"/>
        <v>0</v>
      </c>
      <c r="G25" s="560">
        <f t="shared" si="1"/>
        <v>0</v>
      </c>
      <c r="H25" s="560">
        <f t="shared" si="1"/>
        <v>0</v>
      </c>
      <c r="I25" s="561">
        <f t="shared" si="1"/>
        <v>0</v>
      </c>
    </row>
    <row r="26" spans="1:15">
      <c r="A26" s="1291" t="s">
        <v>697</v>
      </c>
      <c r="B26" s="1292"/>
      <c r="C26" s="1292"/>
      <c r="D26" s="1292"/>
      <c r="E26" s="1292"/>
      <c r="F26" s="1292"/>
      <c r="G26" s="1292"/>
      <c r="H26" s="1292"/>
      <c r="I26" s="1293"/>
    </row>
    <row r="27" spans="1:15">
      <c r="A27" s="552" t="s">
        <v>692</v>
      </c>
      <c r="B27" s="558">
        <v>553837</v>
      </c>
      <c r="C27" s="558">
        <v>0</v>
      </c>
      <c r="D27" s="558">
        <v>0</v>
      </c>
      <c r="E27" s="558">
        <v>0</v>
      </c>
      <c r="F27" s="558">
        <v>0</v>
      </c>
      <c r="G27" s="558">
        <v>0</v>
      </c>
      <c r="H27" s="559">
        <v>0</v>
      </c>
      <c r="I27" s="249">
        <v>0</v>
      </c>
    </row>
    <row r="28" spans="1:15">
      <c r="A28" s="552" t="s">
        <v>693</v>
      </c>
      <c r="B28" s="558">
        <v>1491257</v>
      </c>
      <c r="C28" s="558">
        <v>1612506</v>
      </c>
      <c r="D28" s="558">
        <v>1703551.0268400002</v>
      </c>
      <c r="E28" s="558">
        <v>1671424.9904639996</v>
      </c>
      <c r="F28" s="558">
        <v>1842145.5526439999</v>
      </c>
      <c r="G28" s="558">
        <v>1846354.742867335</v>
      </c>
      <c r="H28" s="558">
        <v>2005275.1292640062</v>
      </c>
      <c r="I28" s="249">
        <v>1821044.6958380081</v>
      </c>
    </row>
    <row r="29" spans="1:15">
      <c r="A29" s="552" t="s">
        <v>694</v>
      </c>
      <c r="B29" s="558">
        <v>236908</v>
      </c>
      <c r="C29" s="558">
        <v>186859</v>
      </c>
      <c r="D29" s="558">
        <v>177601.6122</v>
      </c>
      <c r="E29" s="558">
        <v>226773.065</v>
      </c>
      <c r="F29" s="558">
        <v>255719.2868</v>
      </c>
      <c r="G29" s="558">
        <v>271335.92792213138</v>
      </c>
      <c r="H29" s="558">
        <v>246218.35104276243</v>
      </c>
      <c r="I29" s="249">
        <v>288716.1364496313</v>
      </c>
    </row>
    <row r="30" spans="1:15">
      <c r="A30" s="552" t="s">
        <v>695</v>
      </c>
      <c r="B30" s="558">
        <v>6995159</v>
      </c>
      <c r="C30" s="558">
        <v>5501964</v>
      </c>
      <c r="D30" s="558">
        <v>5687267.0317579983</v>
      </c>
      <c r="E30" s="558">
        <v>5748758.3887319984</v>
      </c>
      <c r="F30" s="558">
        <v>5902674.4029179988</v>
      </c>
      <c r="G30" s="558">
        <v>5986203.265085266</v>
      </c>
      <c r="H30" s="558">
        <v>5596349.2404096313</v>
      </c>
      <c r="I30" s="249">
        <v>5806634.8311356418</v>
      </c>
    </row>
    <row r="31" spans="1:15">
      <c r="A31" s="552" t="s">
        <v>267</v>
      </c>
      <c r="B31" s="562">
        <f t="shared" ref="B31:I31" si="2">SUM(B27:B30)</f>
        <v>9277161</v>
      </c>
      <c r="C31" s="562">
        <f t="shared" si="2"/>
        <v>7301329</v>
      </c>
      <c r="D31" s="562">
        <f t="shared" si="2"/>
        <v>7568419.6707979981</v>
      </c>
      <c r="E31" s="562">
        <f t="shared" si="2"/>
        <v>7646956.4441959979</v>
      </c>
      <c r="F31" s="562">
        <f t="shared" si="2"/>
        <v>8000539.2423619982</v>
      </c>
      <c r="G31" s="562">
        <f t="shared" si="2"/>
        <v>8103893.9358747322</v>
      </c>
      <c r="H31" s="562">
        <f t="shared" si="2"/>
        <v>7847842.7207164001</v>
      </c>
      <c r="I31" s="563">
        <f t="shared" si="2"/>
        <v>7916395.6634232812</v>
      </c>
      <c r="K31" s="564"/>
      <c r="L31" s="565"/>
      <c r="M31" s="565"/>
      <c r="N31" s="565"/>
      <c r="O31" s="565"/>
    </row>
    <row r="32" spans="1:15">
      <c r="A32" s="1291" t="s">
        <v>698</v>
      </c>
      <c r="B32" s="1292"/>
      <c r="C32" s="1292"/>
      <c r="D32" s="1292"/>
      <c r="E32" s="1292"/>
      <c r="F32" s="1292"/>
      <c r="G32" s="1292"/>
      <c r="H32" s="1292"/>
      <c r="I32" s="1293"/>
      <c r="K32" s="566"/>
    </row>
    <row r="33" spans="1:9">
      <c r="A33" s="552" t="s">
        <v>692</v>
      </c>
      <c r="B33" s="558">
        <v>117000</v>
      </c>
      <c r="C33" s="558">
        <v>0</v>
      </c>
      <c r="D33" s="558">
        <v>0</v>
      </c>
      <c r="E33" s="558">
        <v>0</v>
      </c>
      <c r="F33" s="558">
        <v>0</v>
      </c>
      <c r="G33" s="558">
        <v>0</v>
      </c>
      <c r="H33" s="559">
        <v>0</v>
      </c>
      <c r="I33" s="249">
        <v>0</v>
      </c>
    </row>
    <row r="34" spans="1:9">
      <c r="A34" s="552" t="s">
        <v>693</v>
      </c>
      <c r="B34" s="558">
        <v>315588</v>
      </c>
      <c r="C34" s="558">
        <v>432588</v>
      </c>
      <c r="D34" s="558">
        <v>413276.45974790584</v>
      </c>
      <c r="E34" s="558">
        <v>382505.78909804497</v>
      </c>
      <c r="F34" s="558">
        <v>447950.88062808081</v>
      </c>
      <c r="G34" s="558">
        <v>429779.46070344845</v>
      </c>
      <c r="H34" s="559">
        <v>538898.42140784604</v>
      </c>
      <c r="I34" s="249">
        <v>462211.94852376846</v>
      </c>
    </row>
    <row r="35" spans="1:9">
      <c r="A35" s="552" t="s">
        <v>694</v>
      </c>
      <c r="B35" s="558">
        <v>50049</v>
      </c>
      <c r="C35" s="558">
        <v>50049</v>
      </c>
      <c r="D35" s="558">
        <v>37805.257795148667</v>
      </c>
      <c r="E35" s="558">
        <v>47040.782700636075</v>
      </c>
      <c r="F35" s="558">
        <v>55934.651256857273</v>
      </c>
      <c r="G35" s="558">
        <v>79927.413752775698</v>
      </c>
      <c r="H35" s="559">
        <v>66168.815820942938</v>
      </c>
      <c r="I35" s="249">
        <v>86883.028527259405</v>
      </c>
    </row>
    <row r="36" spans="1:9">
      <c r="A36" s="552" t="s">
        <v>695</v>
      </c>
      <c r="B36" s="558">
        <v>1493195</v>
      </c>
      <c r="C36" s="558">
        <v>1493195</v>
      </c>
      <c r="D36" s="558">
        <v>1142069.7692117528</v>
      </c>
      <c r="E36" s="558">
        <v>1134199.7016286489</v>
      </c>
      <c r="F36" s="558">
        <v>1270873.8166228503</v>
      </c>
      <c r="G36" s="558">
        <v>1510101.401678998</v>
      </c>
      <c r="H36" s="559">
        <v>1419771.4192614462</v>
      </c>
      <c r="I36" s="249">
        <v>1611775.936077192</v>
      </c>
    </row>
    <row r="37" spans="1:9">
      <c r="A37" s="552" t="s">
        <v>267</v>
      </c>
      <c r="B37" s="562">
        <f t="shared" ref="B37:I37" si="3">SUM(B33:B36)</f>
        <v>1975832</v>
      </c>
      <c r="C37" s="562">
        <f t="shared" si="3"/>
        <v>1975832</v>
      </c>
      <c r="D37" s="562">
        <f t="shared" si="3"/>
        <v>1593151.4867548072</v>
      </c>
      <c r="E37" s="562">
        <f t="shared" si="3"/>
        <v>1563746.27342733</v>
      </c>
      <c r="F37" s="562">
        <f t="shared" si="3"/>
        <v>1774759.3485077883</v>
      </c>
      <c r="G37" s="562">
        <f t="shared" si="3"/>
        <v>2019808.2761352221</v>
      </c>
      <c r="H37" s="562">
        <f t="shared" si="3"/>
        <v>2024838.6564902351</v>
      </c>
      <c r="I37" s="563">
        <f t="shared" si="3"/>
        <v>2160870.9131282195</v>
      </c>
    </row>
    <row r="38" spans="1:9">
      <c r="A38" s="1291" t="s">
        <v>699</v>
      </c>
      <c r="B38" s="1292"/>
      <c r="C38" s="1292"/>
      <c r="D38" s="1292"/>
      <c r="E38" s="1292"/>
      <c r="F38" s="1292"/>
      <c r="G38" s="1292"/>
      <c r="H38" s="1292"/>
      <c r="I38" s="1293"/>
    </row>
    <row r="39" spans="1:9">
      <c r="A39" s="552" t="s">
        <v>692</v>
      </c>
      <c r="B39" s="558">
        <v>0</v>
      </c>
      <c r="C39" s="558">
        <v>0</v>
      </c>
      <c r="D39" s="558">
        <v>0</v>
      </c>
      <c r="E39" s="558">
        <v>0</v>
      </c>
      <c r="F39" s="558">
        <v>0</v>
      </c>
      <c r="G39" s="558">
        <v>0</v>
      </c>
      <c r="H39" s="559">
        <v>0</v>
      </c>
      <c r="I39" s="249">
        <v>0</v>
      </c>
    </row>
    <row r="40" spans="1:9">
      <c r="A40" s="552" t="s">
        <v>693</v>
      </c>
      <c r="B40" s="558">
        <v>0</v>
      </c>
      <c r="C40" s="558">
        <v>0</v>
      </c>
      <c r="D40" s="558">
        <v>54041.506999090139</v>
      </c>
      <c r="E40" s="558">
        <v>42565.696020607167</v>
      </c>
      <c r="F40" s="558">
        <v>52386.343038036845</v>
      </c>
      <c r="G40" s="558">
        <v>49776.72847893618</v>
      </c>
      <c r="H40" s="559">
        <v>49776.72847893618</v>
      </c>
      <c r="I40" s="249">
        <v>62408.65409561315</v>
      </c>
    </row>
    <row r="41" spans="1:9">
      <c r="A41" s="552" t="s">
        <v>694</v>
      </c>
      <c r="B41" s="558">
        <v>0</v>
      </c>
      <c r="C41" s="558">
        <v>0</v>
      </c>
      <c r="D41" s="558">
        <v>10914.400727934499</v>
      </c>
      <c r="E41" s="558">
        <v>10631.421600735968</v>
      </c>
      <c r="F41" s="558">
        <v>13520.163435582834</v>
      </c>
      <c r="G41" s="558">
        <v>13170.863730865163</v>
      </c>
      <c r="H41" s="559">
        <v>12015.569942381311</v>
      </c>
      <c r="I41" s="249">
        <v>17495.680972767354</v>
      </c>
    </row>
    <row r="42" spans="1:9">
      <c r="A42" s="552" t="s">
        <v>695</v>
      </c>
      <c r="B42" s="558">
        <v>0</v>
      </c>
      <c r="C42" s="558">
        <v>0</v>
      </c>
      <c r="D42" s="558">
        <v>257727.70473521395</v>
      </c>
      <c r="E42" s="558">
        <v>208025.46986715737</v>
      </c>
      <c r="F42" s="558">
        <v>242524.65692147255</v>
      </c>
      <c r="G42" s="558">
        <v>227939.60243456886</v>
      </c>
      <c r="H42" s="559">
        <v>204930.84283913241</v>
      </c>
      <c r="I42" s="249">
        <v>227939.60243456886</v>
      </c>
    </row>
    <row r="43" spans="1:9">
      <c r="A43" s="552" t="s">
        <v>267</v>
      </c>
      <c r="B43" s="562">
        <f t="shared" ref="B43:I43" si="4">SUM(B39:B42)</f>
        <v>0</v>
      </c>
      <c r="C43" s="562">
        <f t="shared" si="4"/>
        <v>0</v>
      </c>
      <c r="D43" s="562">
        <f t="shared" si="4"/>
        <v>322683.61246223858</v>
      </c>
      <c r="E43" s="562">
        <f t="shared" si="4"/>
        <v>261222.58748850052</v>
      </c>
      <c r="F43" s="562">
        <f t="shared" si="4"/>
        <v>308431.16339509224</v>
      </c>
      <c r="G43" s="562">
        <f t="shared" si="4"/>
        <v>290887.19464437023</v>
      </c>
      <c r="H43" s="562">
        <f t="shared" si="4"/>
        <v>266723.14126044989</v>
      </c>
      <c r="I43" s="563">
        <f t="shared" si="4"/>
        <v>307843.93750294938</v>
      </c>
    </row>
    <row r="44" spans="1:9">
      <c r="A44" s="1291" t="s">
        <v>700</v>
      </c>
      <c r="B44" s="1292"/>
      <c r="C44" s="1292"/>
      <c r="D44" s="1292"/>
      <c r="E44" s="1292"/>
      <c r="F44" s="1292"/>
      <c r="G44" s="1292"/>
      <c r="H44" s="1292"/>
      <c r="I44" s="1293"/>
    </row>
    <row r="45" spans="1:9">
      <c r="A45" s="552" t="s">
        <v>692</v>
      </c>
      <c r="B45" s="562">
        <f t="shared" ref="B45:I49" si="5">B33+B39</f>
        <v>117000</v>
      </c>
      <c r="C45" s="562">
        <f t="shared" si="5"/>
        <v>0</v>
      </c>
      <c r="D45" s="562">
        <f t="shared" si="5"/>
        <v>0</v>
      </c>
      <c r="E45" s="562">
        <f t="shared" si="5"/>
        <v>0</v>
      </c>
      <c r="F45" s="562">
        <f t="shared" si="5"/>
        <v>0</v>
      </c>
      <c r="G45" s="562">
        <f t="shared" si="5"/>
        <v>0</v>
      </c>
      <c r="H45" s="562">
        <f t="shared" si="5"/>
        <v>0</v>
      </c>
      <c r="I45" s="563">
        <f t="shared" si="5"/>
        <v>0</v>
      </c>
    </row>
    <row r="46" spans="1:9">
      <c r="A46" s="552" t="s">
        <v>693</v>
      </c>
      <c r="B46" s="562">
        <f t="shared" si="5"/>
        <v>315588</v>
      </c>
      <c r="C46" s="562">
        <f t="shared" si="5"/>
        <v>432588</v>
      </c>
      <c r="D46" s="562">
        <f t="shared" si="5"/>
        <v>467317.96674699598</v>
      </c>
      <c r="E46" s="562">
        <f t="shared" si="5"/>
        <v>425071.48511865211</v>
      </c>
      <c r="F46" s="562">
        <f t="shared" si="5"/>
        <v>500337.22366611764</v>
      </c>
      <c r="G46" s="562">
        <f t="shared" si="5"/>
        <v>479556.18918238464</v>
      </c>
      <c r="H46" s="562">
        <f t="shared" si="5"/>
        <v>588675.14988678216</v>
      </c>
      <c r="I46" s="563">
        <f t="shared" si="5"/>
        <v>524620.60261938162</v>
      </c>
    </row>
    <row r="47" spans="1:9">
      <c r="A47" s="552" t="s">
        <v>694</v>
      </c>
      <c r="B47" s="562">
        <f t="shared" si="5"/>
        <v>50049</v>
      </c>
      <c r="C47" s="562">
        <f t="shared" si="5"/>
        <v>50049</v>
      </c>
      <c r="D47" s="562">
        <f t="shared" si="5"/>
        <v>48719.65852308317</v>
      </c>
      <c r="E47" s="562">
        <f t="shared" si="5"/>
        <v>57672.204301372039</v>
      </c>
      <c r="F47" s="562">
        <f t="shared" si="5"/>
        <v>69454.814692440108</v>
      </c>
      <c r="G47" s="562">
        <f t="shared" si="5"/>
        <v>93098.277483640864</v>
      </c>
      <c r="H47" s="562">
        <f t="shared" si="5"/>
        <v>78184.385763324244</v>
      </c>
      <c r="I47" s="563">
        <f t="shared" si="5"/>
        <v>104378.70950002676</v>
      </c>
    </row>
    <row r="48" spans="1:9">
      <c r="A48" s="552" t="s">
        <v>695</v>
      </c>
      <c r="B48" s="562">
        <f t="shared" si="5"/>
        <v>1493195</v>
      </c>
      <c r="C48" s="562">
        <f t="shared" si="5"/>
        <v>1493195</v>
      </c>
      <c r="D48" s="562">
        <f t="shared" si="5"/>
        <v>1399797.4739469667</v>
      </c>
      <c r="E48" s="562">
        <f t="shared" si="5"/>
        <v>1342225.1714958062</v>
      </c>
      <c r="F48" s="562">
        <f t="shared" si="5"/>
        <v>1513398.4735443229</v>
      </c>
      <c r="G48" s="562">
        <f t="shared" si="5"/>
        <v>1738041.0041135668</v>
      </c>
      <c r="H48" s="562">
        <f t="shared" si="5"/>
        <v>1624702.2621005788</v>
      </c>
      <c r="I48" s="563">
        <f t="shared" si="5"/>
        <v>1839715.5385117608</v>
      </c>
    </row>
    <row r="49" spans="1:9">
      <c r="A49" s="552" t="s">
        <v>267</v>
      </c>
      <c r="B49" s="562">
        <f t="shared" si="5"/>
        <v>1975832</v>
      </c>
      <c r="C49" s="562">
        <f t="shared" si="5"/>
        <v>1975832</v>
      </c>
      <c r="D49" s="562">
        <f t="shared" si="5"/>
        <v>1915835.0992170458</v>
      </c>
      <c r="E49" s="562">
        <f t="shared" si="5"/>
        <v>1824968.8609158304</v>
      </c>
      <c r="F49" s="562">
        <f t="shared" si="5"/>
        <v>2083190.5119028804</v>
      </c>
      <c r="G49" s="562">
        <f t="shared" si="5"/>
        <v>2310695.4707795922</v>
      </c>
      <c r="H49" s="562">
        <f>H37+H43</f>
        <v>2291561.7977506849</v>
      </c>
      <c r="I49" s="563">
        <f t="shared" si="5"/>
        <v>2468714.850631169</v>
      </c>
    </row>
    <row r="50" spans="1:9">
      <c r="A50" s="1291" t="s">
        <v>701</v>
      </c>
      <c r="B50" s="1292"/>
      <c r="C50" s="1292"/>
      <c r="D50" s="1292"/>
      <c r="E50" s="1292"/>
      <c r="F50" s="1292"/>
      <c r="G50" s="1292"/>
      <c r="H50" s="1292"/>
      <c r="I50" s="1293"/>
    </row>
    <row r="51" spans="1:9">
      <c r="A51" s="552" t="s">
        <v>692</v>
      </c>
      <c r="B51" s="562">
        <f t="shared" ref="B51:I55" si="6">B27+B45</f>
        <v>670837</v>
      </c>
      <c r="C51" s="562">
        <f t="shared" si="6"/>
        <v>0</v>
      </c>
      <c r="D51" s="562">
        <f t="shared" si="6"/>
        <v>0</v>
      </c>
      <c r="E51" s="562">
        <f t="shared" si="6"/>
        <v>0</v>
      </c>
      <c r="F51" s="562">
        <f t="shared" si="6"/>
        <v>0</v>
      </c>
      <c r="G51" s="562">
        <f t="shared" si="6"/>
        <v>0</v>
      </c>
      <c r="H51" s="562">
        <f t="shared" si="6"/>
        <v>0</v>
      </c>
      <c r="I51" s="563">
        <f t="shared" si="6"/>
        <v>0</v>
      </c>
    </row>
    <row r="52" spans="1:9">
      <c r="A52" s="552" t="s">
        <v>693</v>
      </c>
      <c r="B52" s="562">
        <f t="shared" si="6"/>
        <v>1806845</v>
      </c>
      <c r="C52" s="562">
        <f t="shared" si="6"/>
        <v>2045094</v>
      </c>
      <c r="D52" s="562">
        <f t="shared" si="6"/>
        <v>2170868.9935869961</v>
      </c>
      <c r="E52" s="562">
        <f t="shared" si="6"/>
        <v>2096496.4755826518</v>
      </c>
      <c r="F52" s="562">
        <f t="shared" si="6"/>
        <v>2342482.7763101174</v>
      </c>
      <c r="G52" s="562">
        <f t="shared" si="6"/>
        <v>2325910.9320497196</v>
      </c>
      <c r="H52" s="562">
        <f t="shared" si="6"/>
        <v>2593950.2791507882</v>
      </c>
      <c r="I52" s="563">
        <f t="shared" si="6"/>
        <v>2345665.2984573897</v>
      </c>
    </row>
    <row r="53" spans="1:9">
      <c r="A53" s="552" t="s">
        <v>694</v>
      </c>
      <c r="B53" s="562">
        <f t="shared" si="6"/>
        <v>286957</v>
      </c>
      <c r="C53" s="562">
        <f t="shared" si="6"/>
        <v>236908</v>
      </c>
      <c r="D53" s="562">
        <f t="shared" si="6"/>
        <v>226321.27072308317</v>
      </c>
      <c r="E53" s="562">
        <f t="shared" si="6"/>
        <v>284445.26930137206</v>
      </c>
      <c r="F53" s="562">
        <f t="shared" si="6"/>
        <v>325174.1014924401</v>
      </c>
      <c r="G53" s="562">
        <f t="shared" si="6"/>
        <v>364434.20540577226</v>
      </c>
      <c r="H53" s="562">
        <f t="shared" si="6"/>
        <v>324402.73680608667</v>
      </c>
      <c r="I53" s="563">
        <f t="shared" si="6"/>
        <v>393094.84594965808</v>
      </c>
    </row>
    <row r="54" spans="1:9">
      <c r="A54" s="552" t="s">
        <v>695</v>
      </c>
      <c r="B54" s="562">
        <f t="shared" si="6"/>
        <v>8488354</v>
      </c>
      <c r="C54" s="562">
        <f t="shared" si="6"/>
        <v>6995159</v>
      </c>
      <c r="D54" s="562">
        <f t="shared" si="6"/>
        <v>7087064.5057049654</v>
      </c>
      <c r="E54" s="562">
        <f t="shared" si="6"/>
        <v>7090983.5602278048</v>
      </c>
      <c r="F54" s="562">
        <f t="shared" si="6"/>
        <v>7416072.8764623217</v>
      </c>
      <c r="G54" s="562">
        <f t="shared" si="6"/>
        <v>7724244.269198833</v>
      </c>
      <c r="H54" s="562">
        <f t="shared" si="6"/>
        <v>7221051.5025102105</v>
      </c>
      <c r="I54" s="563">
        <f t="shared" si="6"/>
        <v>7646350.3696474023</v>
      </c>
    </row>
    <row r="55" spans="1:9">
      <c r="A55" s="552" t="s">
        <v>267</v>
      </c>
      <c r="B55" s="562">
        <f t="shared" si="6"/>
        <v>11252993</v>
      </c>
      <c r="C55" s="562">
        <f t="shared" si="6"/>
        <v>9277161</v>
      </c>
      <c r="D55" s="562">
        <f t="shared" si="6"/>
        <v>9484254.7700150441</v>
      </c>
      <c r="E55" s="562">
        <f t="shared" si="6"/>
        <v>9471925.3051118292</v>
      </c>
      <c r="F55" s="562">
        <f t="shared" si="6"/>
        <v>10083729.754264878</v>
      </c>
      <c r="G55" s="562">
        <f t="shared" si="6"/>
        <v>10414589.406654324</v>
      </c>
      <c r="H55" s="562">
        <f t="shared" si="6"/>
        <v>10139404.518467085</v>
      </c>
      <c r="I55" s="563">
        <f t="shared" si="6"/>
        <v>10385110.514054451</v>
      </c>
    </row>
    <row r="56" spans="1:9">
      <c r="A56" s="1291" t="s">
        <v>702</v>
      </c>
      <c r="B56" s="1292"/>
      <c r="C56" s="1292"/>
      <c r="D56" s="1292"/>
      <c r="E56" s="1292"/>
      <c r="F56" s="1292"/>
      <c r="G56" s="1292"/>
      <c r="H56" s="1292"/>
      <c r="I56" s="1293"/>
    </row>
    <row r="57" spans="1:9">
      <c r="A57" s="552" t="s">
        <v>692</v>
      </c>
      <c r="B57" s="558">
        <v>145612</v>
      </c>
      <c r="C57" s="558">
        <v>0</v>
      </c>
      <c r="D57" s="558">
        <v>0</v>
      </c>
      <c r="E57" s="558">
        <v>0</v>
      </c>
      <c r="F57" s="558">
        <v>0</v>
      </c>
      <c r="G57" s="558">
        <v>0</v>
      </c>
      <c r="H57" s="559">
        <v>0</v>
      </c>
      <c r="I57" s="249">
        <v>0</v>
      </c>
    </row>
    <row r="58" spans="1:9">
      <c r="A58" s="552" t="s">
        <v>693</v>
      </c>
      <c r="B58" s="558">
        <v>91603</v>
      </c>
      <c r="C58" s="558">
        <v>102404.8</v>
      </c>
      <c r="D58" s="558">
        <v>115347.86688417906</v>
      </c>
      <c r="E58" s="558">
        <v>112763.70998342976</v>
      </c>
      <c r="F58" s="558">
        <v>114300.17391338416</v>
      </c>
      <c r="G58" s="558">
        <v>110921.77043329617</v>
      </c>
      <c r="H58" s="559">
        <v>114360.77348591656</v>
      </c>
      <c r="I58" s="249">
        <v>111680.43872180616</v>
      </c>
    </row>
    <row r="59" spans="1:9">
      <c r="A59" s="552" t="s">
        <v>694</v>
      </c>
      <c r="B59" s="558">
        <v>62287</v>
      </c>
      <c r="C59" s="558">
        <v>62287</v>
      </c>
      <c r="D59" s="558">
        <v>62513.256453900714</v>
      </c>
      <c r="E59" s="558">
        <v>64190.346459747823</v>
      </c>
      <c r="F59" s="558">
        <v>64786.135883361931</v>
      </c>
      <c r="G59" s="558">
        <v>66520.463055785178</v>
      </c>
      <c r="H59" s="559">
        <v>64976.762416699559</v>
      </c>
      <c r="I59" s="249">
        <v>63159.913898990111</v>
      </c>
    </row>
    <row r="60" spans="1:9">
      <c r="A60" s="552" t="s">
        <v>695</v>
      </c>
      <c r="B60" s="558">
        <v>61356</v>
      </c>
      <c r="C60" s="558">
        <v>61356</v>
      </c>
      <c r="D60" s="558">
        <v>61543.831966232938</v>
      </c>
      <c r="E60" s="558">
        <v>64332.936358977146</v>
      </c>
      <c r="F60" s="558">
        <v>63724.177612807711</v>
      </c>
      <c r="G60" s="558">
        <v>68842.856748213322</v>
      </c>
      <c r="H60" s="559">
        <v>66582.626119821682</v>
      </c>
      <c r="I60" s="249">
        <v>71202.675679879729</v>
      </c>
    </row>
    <row r="61" spans="1:9">
      <c r="A61" s="552" t="s">
        <v>267</v>
      </c>
      <c r="B61" s="558"/>
      <c r="C61" s="558"/>
      <c r="D61" s="558"/>
      <c r="E61" s="558"/>
      <c r="F61" s="558"/>
      <c r="G61" s="558"/>
      <c r="H61" s="559"/>
      <c r="I61" s="249"/>
    </row>
    <row r="62" spans="1:9">
      <c r="A62" s="1291" t="s">
        <v>703</v>
      </c>
      <c r="B62" s="1292"/>
      <c r="C62" s="1292"/>
      <c r="D62" s="1292"/>
      <c r="E62" s="1292"/>
      <c r="F62" s="1292"/>
      <c r="G62" s="1292"/>
      <c r="H62" s="1292"/>
      <c r="I62" s="1293"/>
    </row>
    <row r="63" spans="1:9">
      <c r="A63" s="552" t="s">
        <v>692</v>
      </c>
      <c r="B63" s="558">
        <v>0</v>
      </c>
      <c r="C63" s="558">
        <v>0</v>
      </c>
      <c r="D63" s="558">
        <v>0</v>
      </c>
      <c r="E63" s="558">
        <v>0</v>
      </c>
      <c r="F63" s="558">
        <v>0</v>
      </c>
      <c r="G63" s="558">
        <v>0</v>
      </c>
      <c r="H63" s="559">
        <v>0</v>
      </c>
      <c r="I63" s="249">
        <v>0</v>
      </c>
    </row>
    <row r="64" spans="1:9">
      <c r="A64" s="552" t="s">
        <v>693</v>
      </c>
      <c r="B64" s="558">
        <v>6369</v>
      </c>
      <c r="C64" s="558">
        <v>6369</v>
      </c>
      <c r="D64" s="558">
        <v>6657.3727149500583</v>
      </c>
      <c r="E64" s="558">
        <v>8709.6606424605361</v>
      </c>
      <c r="F64" s="558">
        <v>8023.4968776063115</v>
      </c>
      <c r="G64" s="558">
        <v>8849.0470548347093</v>
      </c>
      <c r="H64" s="559">
        <v>10145.715446141521</v>
      </c>
      <c r="I64" s="249">
        <v>7387.4459422584805</v>
      </c>
    </row>
    <row r="65" spans="1:9">
      <c r="A65" s="552" t="s">
        <v>694</v>
      </c>
      <c r="B65" s="558">
        <v>0</v>
      </c>
      <c r="C65" s="558">
        <v>0</v>
      </c>
      <c r="D65" s="558">
        <v>466.03865248226953</v>
      </c>
      <c r="E65" s="558">
        <v>1795.9964112512125</v>
      </c>
      <c r="F65" s="558">
        <v>1007.8487135506005</v>
      </c>
      <c r="G65" s="558">
        <v>0</v>
      </c>
      <c r="H65" s="559">
        <v>1189.7524169917085</v>
      </c>
      <c r="I65" s="249">
        <v>0</v>
      </c>
    </row>
    <row r="66" spans="1:9">
      <c r="A66" s="552" t="s">
        <v>695</v>
      </c>
      <c r="B66" s="558">
        <v>3131</v>
      </c>
      <c r="C66" s="558">
        <v>3131</v>
      </c>
      <c r="D66" s="558">
        <v>6551.6990276504257</v>
      </c>
      <c r="E66" s="558">
        <v>6769.5830799567711</v>
      </c>
      <c r="F66" s="558">
        <v>8962.9212505084088</v>
      </c>
      <c r="G66" s="558">
        <v>5685.8058492073669</v>
      </c>
      <c r="H66" s="559">
        <v>9297.4256906473875</v>
      </c>
      <c r="I66" s="249">
        <v>5306.4651747315384</v>
      </c>
    </row>
    <row r="67" spans="1:9">
      <c r="A67" s="552" t="s">
        <v>267</v>
      </c>
      <c r="B67" s="558"/>
      <c r="C67" s="558"/>
      <c r="D67" s="558"/>
      <c r="E67" s="558"/>
      <c r="F67" s="558"/>
      <c r="G67" s="558"/>
      <c r="H67" s="559"/>
      <c r="I67" s="249"/>
    </row>
    <row r="68" spans="1:9">
      <c r="A68" s="1291" t="s">
        <v>704</v>
      </c>
      <c r="B68" s="1292"/>
      <c r="C68" s="1292"/>
      <c r="D68" s="1292"/>
      <c r="E68" s="1292"/>
      <c r="F68" s="1292"/>
      <c r="G68" s="1292"/>
      <c r="H68" s="1292"/>
      <c r="I68" s="1293"/>
    </row>
    <row r="69" spans="1:9">
      <c r="A69" s="552" t="s">
        <v>692</v>
      </c>
      <c r="B69" s="558"/>
      <c r="C69" s="558"/>
      <c r="D69" s="558"/>
      <c r="E69" s="558"/>
      <c r="F69" s="558"/>
      <c r="G69" s="558"/>
      <c r="H69" s="559"/>
      <c r="I69" s="249"/>
    </row>
    <row r="70" spans="1:9">
      <c r="A70" s="552" t="s">
        <v>693</v>
      </c>
      <c r="B70" s="558"/>
      <c r="C70" s="558"/>
      <c r="D70" s="558"/>
      <c r="E70" s="558"/>
      <c r="F70" s="558"/>
      <c r="G70" s="558"/>
      <c r="H70" s="559"/>
      <c r="I70" s="249"/>
    </row>
    <row r="71" spans="1:9">
      <c r="A71" s="552" t="s">
        <v>694</v>
      </c>
      <c r="B71" s="558"/>
      <c r="C71" s="558"/>
      <c r="D71" s="558"/>
      <c r="E71" s="558"/>
      <c r="F71" s="558"/>
      <c r="G71" s="558"/>
      <c r="H71" s="559"/>
      <c r="I71" s="249"/>
    </row>
    <row r="72" spans="1:9">
      <c r="A72" s="552" t="s">
        <v>695</v>
      </c>
      <c r="B72" s="558"/>
      <c r="C72" s="558"/>
      <c r="D72" s="558"/>
      <c r="E72" s="558"/>
      <c r="F72" s="558"/>
      <c r="G72" s="558"/>
      <c r="H72" s="559"/>
      <c r="I72" s="249"/>
    </row>
    <row r="73" spans="1:9">
      <c r="A73" s="552" t="s">
        <v>267</v>
      </c>
      <c r="B73" s="558"/>
      <c r="C73" s="558"/>
      <c r="D73" s="558"/>
      <c r="E73" s="558"/>
      <c r="F73" s="558"/>
      <c r="G73" s="558"/>
      <c r="H73" s="559"/>
      <c r="I73" s="249"/>
    </row>
    <row r="74" spans="1:9">
      <c r="A74" s="1291" t="s">
        <v>705</v>
      </c>
      <c r="B74" s="1292"/>
      <c r="C74" s="1292"/>
      <c r="D74" s="1292"/>
      <c r="E74" s="1292"/>
      <c r="F74" s="1292"/>
      <c r="G74" s="1292"/>
      <c r="H74" s="1292"/>
      <c r="I74" s="1293"/>
    </row>
    <row r="75" spans="1:9">
      <c r="A75" s="552" t="s">
        <v>692</v>
      </c>
      <c r="B75" s="558">
        <v>39000</v>
      </c>
      <c r="C75" s="558">
        <v>0</v>
      </c>
      <c r="D75" s="558">
        <v>0</v>
      </c>
      <c r="E75" s="558">
        <v>0</v>
      </c>
      <c r="F75" s="558">
        <v>0</v>
      </c>
      <c r="G75" s="558">
        <v>0</v>
      </c>
      <c r="H75" s="559">
        <v>0</v>
      </c>
      <c r="I75" s="249">
        <v>0</v>
      </c>
    </row>
    <row r="76" spans="1:9">
      <c r="A76" s="552" t="s">
        <v>693</v>
      </c>
      <c r="B76" s="558">
        <v>26299</v>
      </c>
      <c r="C76" s="558">
        <v>28839.200000000001</v>
      </c>
      <c r="D76" s="558">
        <v>33468.466517087814</v>
      </c>
      <c r="E76" s="558">
        <v>30892.721090631421</v>
      </c>
      <c r="F76" s="558">
        <v>33223.805656598954</v>
      </c>
      <c r="G76" s="558">
        <v>27879.27810022077</v>
      </c>
      <c r="H76" s="559">
        <v>38186.650863957999</v>
      </c>
      <c r="I76" s="249">
        <v>28346.384529480671</v>
      </c>
    </row>
    <row r="77" spans="1:9">
      <c r="A77" s="552" t="s">
        <v>694</v>
      </c>
      <c r="B77" s="558">
        <v>16683</v>
      </c>
      <c r="C77" s="558">
        <v>16683</v>
      </c>
      <c r="D77" s="558">
        <v>17276.474653575595</v>
      </c>
      <c r="E77" s="558">
        <v>16781.436751126686</v>
      </c>
      <c r="F77" s="558">
        <v>17870.020932874817</v>
      </c>
      <c r="G77" s="558">
        <v>19594.930219531423</v>
      </c>
      <c r="H77" s="559">
        <v>21010.571707847925</v>
      </c>
      <c r="I77" s="249">
        <v>19006.643232850776</v>
      </c>
    </row>
    <row r="78" spans="1:9">
      <c r="A78" s="552" t="s">
        <v>695</v>
      </c>
      <c r="B78" s="558">
        <v>17567</v>
      </c>
      <c r="C78" s="558">
        <v>17567</v>
      </c>
      <c r="D78" s="558">
        <v>16760.238571539488</v>
      </c>
      <c r="E78" s="558">
        <v>16601.078858135334</v>
      </c>
      <c r="F78" s="558">
        <v>18636.390381235815</v>
      </c>
      <c r="G78" s="558">
        <v>18800.871415451846</v>
      </c>
      <c r="H78" s="559">
        <v>22129.730954546234</v>
      </c>
      <c r="I78" s="249">
        <v>19764.073785003966</v>
      </c>
    </row>
    <row r="79" spans="1:9">
      <c r="A79" s="552" t="s">
        <v>267</v>
      </c>
      <c r="B79" s="558"/>
      <c r="C79" s="558"/>
      <c r="D79" s="558"/>
      <c r="E79" s="558"/>
      <c r="F79" s="558"/>
      <c r="G79" s="558"/>
      <c r="H79" s="559"/>
      <c r="I79" s="249"/>
    </row>
    <row r="80" spans="1:9">
      <c r="A80" s="1297"/>
      <c r="B80" s="1298"/>
      <c r="C80" s="1298"/>
      <c r="D80" s="1298"/>
      <c r="E80" s="1298"/>
      <c r="F80" s="1298"/>
      <c r="G80" s="1298"/>
      <c r="H80" s="1298"/>
      <c r="I80" s="1299"/>
    </row>
    <row r="81" spans="1:9">
      <c r="A81" s="567" t="s">
        <v>706</v>
      </c>
      <c r="B81" s="562">
        <f t="shared" ref="B81:I81" si="7">SUM(B51:B54)</f>
        <v>11252993</v>
      </c>
      <c r="C81" s="562">
        <f t="shared" si="7"/>
        <v>9277161</v>
      </c>
      <c r="D81" s="562">
        <f t="shared" si="7"/>
        <v>9484254.7700150441</v>
      </c>
      <c r="E81" s="562">
        <f t="shared" si="7"/>
        <v>9471925.3051118292</v>
      </c>
      <c r="F81" s="562">
        <f t="shared" si="7"/>
        <v>10083729.75426488</v>
      </c>
      <c r="G81" s="562">
        <f t="shared" si="7"/>
        <v>10414589.406654324</v>
      </c>
      <c r="H81" s="562">
        <f t="shared" si="7"/>
        <v>10139404.518467085</v>
      </c>
      <c r="I81" s="563">
        <f t="shared" si="7"/>
        <v>10385110.514054451</v>
      </c>
    </row>
    <row r="82" spans="1:9" ht="25.5">
      <c r="A82" s="568" t="s">
        <v>707</v>
      </c>
      <c r="B82" s="558">
        <v>3291810</v>
      </c>
      <c r="C82" s="558">
        <v>1922860</v>
      </c>
      <c r="D82" s="558">
        <v>1773437.2344548255</v>
      </c>
      <c r="E82" s="558">
        <v>2061400.958260949</v>
      </c>
      <c r="F82" s="558">
        <v>2212461.6527746432</v>
      </c>
      <c r="G82" s="558">
        <v>2933495.5853046402</v>
      </c>
      <c r="H82" s="559">
        <v>2864377.53</v>
      </c>
      <c r="I82" s="559">
        <v>2373540.1263954244</v>
      </c>
    </row>
    <row r="83" spans="1:9" ht="26.25" thickBot="1">
      <c r="A83" s="569" t="s">
        <v>708</v>
      </c>
      <c r="B83" s="570">
        <f t="shared" ref="B83:I83" si="8">B81-B82</f>
        <v>7961183</v>
      </c>
      <c r="C83" s="570">
        <f t="shared" si="8"/>
        <v>7354301</v>
      </c>
      <c r="D83" s="570">
        <f t="shared" si="8"/>
        <v>7710817.5355602186</v>
      </c>
      <c r="E83" s="570">
        <f t="shared" si="8"/>
        <v>7410524.3468508804</v>
      </c>
      <c r="F83" s="570">
        <f t="shared" si="8"/>
        <v>7871268.1014902368</v>
      </c>
      <c r="G83" s="570">
        <f t="shared" si="8"/>
        <v>7481093.8213496841</v>
      </c>
      <c r="H83" s="570">
        <f t="shared" si="8"/>
        <v>7275026.9884670861</v>
      </c>
      <c r="I83" s="571">
        <f t="shared" si="8"/>
        <v>8011570.3876590263</v>
      </c>
    </row>
    <row r="84" spans="1:9" ht="5.25" customHeight="1">
      <c r="A84" s="572"/>
      <c r="B84" s="573"/>
      <c r="C84" s="573"/>
      <c r="D84" s="573"/>
      <c r="E84" s="573"/>
      <c r="F84" s="573"/>
      <c r="G84" s="573"/>
      <c r="H84" s="574"/>
      <c r="I84" s="575"/>
    </row>
    <row r="85" spans="1:9" ht="25.5" hidden="1">
      <c r="A85" s="568" t="s">
        <v>709</v>
      </c>
      <c r="B85" s="576"/>
      <c r="C85" s="576"/>
      <c r="D85" s="576"/>
      <c r="E85" s="576"/>
      <c r="F85" s="558"/>
      <c r="G85" s="558"/>
      <c r="H85" s="559"/>
      <c r="I85" s="249"/>
    </row>
    <row r="86" spans="1:9" ht="26.25" hidden="1" thickBot="1">
      <c r="A86" s="569" t="s">
        <v>710</v>
      </c>
      <c r="B86" s="577"/>
      <c r="C86" s="577"/>
      <c r="D86" s="577"/>
      <c r="E86" s="577"/>
      <c r="F86" s="570">
        <f>F81-F85</f>
        <v>10083729.75426488</v>
      </c>
      <c r="G86" s="570">
        <f>G81-G85</f>
        <v>10414589.406654324</v>
      </c>
      <c r="H86" s="578"/>
      <c r="I86" s="571">
        <f>I81-I85</f>
        <v>10385110.514054451</v>
      </c>
    </row>
    <row r="89" spans="1:9" ht="14.25">
      <c r="A89" s="579" t="s">
        <v>711</v>
      </c>
    </row>
    <row r="90" spans="1:9" ht="14.25">
      <c r="A90" s="10" t="s">
        <v>712</v>
      </c>
    </row>
    <row r="91" spans="1:9">
      <c r="A91" s="580" t="s">
        <v>713</v>
      </c>
    </row>
    <row r="92" spans="1:9">
      <c r="A92" s="580" t="s">
        <v>714</v>
      </c>
    </row>
    <row r="93" spans="1:9">
      <c r="A93" s="581" t="s">
        <v>617</v>
      </c>
    </row>
    <row r="94" spans="1:9">
      <c r="A94" s="10" t="s">
        <v>715</v>
      </c>
    </row>
  </sheetData>
  <mergeCells count="14">
    <mergeCell ref="A74:I74"/>
    <mergeCell ref="A80:I80"/>
    <mergeCell ref="A38:I38"/>
    <mergeCell ref="A44:I44"/>
    <mergeCell ref="A50:I50"/>
    <mergeCell ref="A56:I56"/>
    <mergeCell ref="A62:I62"/>
    <mergeCell ref="A68:I68"/>
    <mergeCell ref="A32:I32"/>
    <mergeCell ref="A9:I9"/>
    <mergeCell ref="A10:I10"/>
    <mergeCell ref="A14:I14"/>
    <mergeCell ref="A20:I20"/>
    <mergeCell ref="A26:I26"/>
  </mergeCells>
  <dataValidations count="2">
    <dataValidation allowBlank="1" showInputMessage="1" showErrorMessage="1" promptTitle="Date Format" prompt="E.g:  &quot;August 1, 2011&quot;" sqref="I7"/>
    <dataValidation type="list" allowBlank="1" showInputMessage="1" showErrorMessage="1" sqref="B13:I13">
      <formula1>"CGAAP, MIFRS, USGAAP, ASPE"</formula1>
    </dataValidation>
  </dataValidations>
  <printOptions horizontalCentered="1"/>
  <pageMargins left="0.74803149606299213" right="0.74803149606299213" top="0.59055118110236227" bottom="0.59055118110236227" header="0.31496062992125984" footer="0.31496062992125984"/>
  <pageSetup scale="53" orientation="portrait" r:id="rId1"/>
  <headerFooter alignWithMargins="0"/>
</worksheet>
</file>

<file path=xl/worksheets/sheet21.xml><?xml version="1.0" encoding="utf-8"?>
<worksheet xmlns="http://schemas.openxmlformats.org/spreadsheetml/2006/main" xmlns:r="http://schemas.openxmlformats.org/officeDocument/2006/relationships">
  <sheetPr>
    <pageSetUpPr fitToPage="1"/>
  </sheetPr>
  <dimension ref="A1:H30"/>
  <sheetViews>
    <sheetView showGridLines="0" zoomScaleNormal="100" workbookViewId="0">
      <selection activeCell="J24" sqref="J24"/>
    </sheetView>
  </sheetViews>
  <sheetFormatPr defaultRowHeight="12.75"/>
  <cols>
    <col min="1" max="1" width="6" customWidth="1"/>
    <col min="2" max="2" width="20.28515625" customWidth="1"/>
    <col min="3" max="7" width="13.7109375" customWidth="1"/>
    <col min="8" max="8" width="13" customWidth="1"/>
  </cols>
  <sheetData>
    <row r="1" spans="1:8">
      <c r="G1" s="31" t="s">
        <v>131</v>
      </c>
      <c r="H1" s="32" t="str">
        <f>'LDC Info'!$E$18</f>
        <v>EB-2012-0126</v>
      </c>
    </row>
    <row r="2" spans="1:8">
      <c r="G2" s="31" t="s">
        <v>132</v>
      </c>
      <c r="H2" s="33"/>
    </row>
    <row r="3" spans="1:8">
      <c r="G3" s="31" t="s">
        <v>133</v>
      </c>
      <c r="H3" s="33"/>
    </row>
    <row r="4" spans="1:8">
      <c r="G4" s="31" t="s">
        <v>134</v>
      </c>
      <c r="H4" s="33"/>
    </row>
    <row r="5" spans="1:8">
      <c r="G5" s="31" t="s">
        <v>135</v>
      </c>
      <c r="H5" s="34"/>
    </row>
    <row r="6" spans="1:8">
      <c r="G6" s="31"/>
      <c r="H6" s="32"/>
    </row>
    <row r="7" spans="1:8">
      <c r="G7" s="31" t="s">
        <v>136</v>
      </c>
      <c r="H7" s="34" t="s">
        <v>1171</v>
      </c>
    </row>
    <row r="9" spans="1:8" ht="18">
      <c r="A9" s="1215" t="s">
        <v>716</v>
      </c>
      <c r="B9" s="1215"/>
      <c r="C9" s="1215"/>
      <c r="D9" s="1215"/>
      <c r="E9" s="1215"/>
      <c r="F9" s="1215"/>
      <c r="G9" s="1215"/>
      <c r="H9" s="1215"/>
    </row>
    <row r="10" spans="1:8" ht="18">
      <c r="A10" s="1215" t="s">
        <v>717</v>
      </c>
      <c r="B10" s="1215"/>
      <c r="C10" s="1215"/>
      <c r="D10" s="1215"/>
      <c r="E10" s="1215"/>
      <c r="F10" s="1215"/>
      <c r="G10" s="1215"/>
      <c r="H10" s="1215"/>
    </row>
    <row r="11" spans="1:8" ht="13.5" thickBot="1"/>
    <row r="12" spans="1:8" ht="64.5" thickBot="1">
      <c r="A12" s="582"/>
      <c r="B12" s="583"/>
      <c r="C12" s="455" t="str">
        <f>"Last Rebasing Year (" &amp; 'LDC Info'!E30 &amp; " Board-Approved)"</f>
        <v>Last Rebasing Year (2009 Board-Approved)</v>
      </c>
      <c r="D12" s="455" t="str">
        <f>"Last Rebasing Year (" &amp; 'LDC Info'!E30 &amp; " Actuals)"</f>
        <v>Last Rebasing Year (2009 Actuals)</v>
      </c>
      <c r="E12" s="455" t="str">
        <f>'LDC Info'!E26 -2 &amp; " Actuals"</f>
        <v>2010 Actuals</v>
      </c>
      <c r="F12" s="455" t="str">
        <f>'LDC Info'!E26 -1 &amp; " Actuals"</f>
        <v>2011 Actuals</v>
      </c>
      <c r="G12" s="455" t="str">
        <f>'LDC Info'!E26 &amp; " Bridge Year"</f>
        <v>2012 Bridge Year</v>
      </c>
      <c r="H12" s="584" t="str">
        <f>'LDC Info'!E28 &amp; " Test Year"</f>
        <v>2013 Test Year</v>
      </c>
    </row>
    <row r="13" spans="1:8" ht="13.5" thickBot="1">
      <c r="A13" s="1302" t="s">
        <v>142</v>
      </c>
      <c r="B13" s="1303"/>
      <c r="C13" s="459" t="s">
        <v>143</v>
      </c>
      <c r="D13" s="459" t="s">
        <v>143</v>
      </c>
      <c r="E13" s="459" t="s">
        <v>143</v>
      </c>
      <c r="F13" s="459" t="s">
        <v>143</v>
      </c>
      <c r="G13" s="459" t="s">
        <v>143</v>
      </c>
      <c r="H13" s="460" t="s">
        <v>143</v>
      </c>
    </row>
    <row r="14" spans="1:8">
      <c r="A14" s="1231" t="s">
        <v>718</v>
      </c>
      <c r="B14" s="1232"/>
      <c r="C14" s="585">
        <v>56751</v>
      </c>
      <c r="D14" s="585">
        <v>56650</v>
      </c>
      <c r="E14" s="585">
        <v>57011</v>
      </c>
      <c r="F14" s="585">
        <v>57102</v>
      </c>
      <c r="G14" s="585">
        <v>57256</v>
      </c>
      <c r="H14" s="586">
        <v>57463</v>
      </c>
    </row>
    <row r="15" spans="1:8" ht="27" customHeight="1">
      <c r="A15" s="1304" t="s">
        <v>719</v>
      </c>
      <c r="B15" s="1305"/>
      <c r="C15" s="587">
        <v>11669545</v>
      </c>
      <c r="D15" s="587">
        <v>11636818.07</v>
      </c>
      <c r="E15" s="587">
        <v>8139880.5999999996</v>
      </c>
      <c r="F15" s="587">
        <v>13117276.84</v>
      </c>
      <c r="G15" s="587">
        <f>'App.2-I_OM&amp;A_Summary'!F26</f>
        <v>13049079.51</v>
      </c>
      <c r="H15" s="588">
        <f>'App.2-I_OM&amp;A_Summary'!G36</f>
        <v>14189616.76282287</v>
      </c>
    </row>
    <row r="16" spans="1:8">
      <c r="A16" s="1300" t="s">
        <v>720</v>
      </c>
      <c r="B16" s="1301"/>
      <c r="C16" s="589">
        <f t="shared" ref="C16:H16" si="0">IF(C14=0,"",C15/C14)</f>
        <v>205.62712551320681</v>
      </c>
      <c r="D16" s="590">
        <f t="shared" si="0"/>
        <v>205.41602947925861</v>
      </c>
      <c r="E16" s="590">
        <f t="shared" si="0"/>
        <v>142.77736927961271</v>
      </c>
      <c r="F16" s="590">
        <f t="shared" si="0"/>
        <v>229.71659206332527</v>
      </c>
      <c r="G16" s="590">
        <f t="shared" si="0"/>
        <v>227.90763430906804</v>
      </c>
      <c r="H16" s="591">
        <f t="shared" si="0"/>
        <v>246.93484090323983</v>
      </c>
    </row>
    <row r="17" spans="1:8">
      <c r="A17" s="1300" t="s">
        <v>721</v>
      </c>
      <c r="B17" s="1301"/>
      <c r="C17" s="592">
        <v>103</v>
      </c>
      <c r="D17" s="593">
        <v>100.30188015333616</v>
      </c>
      <c r="E17" s="593">
        <v>98.04795004012712</v>
      </c>
      <c r="F17" s="593">
        <v>100.15289748870069</v>
      </c>
      <c r="G17" s="593">
        <v>92.554095932943667</v>
      </c>
      <c r="H17" s="594">
        <f>'App.2-K_Employee Costs'!I19</f>
        <v>102.4278399303478</v>
      </c>
    </row>
    <row r="18" spans="1:8">
      <c r="A18" s="1300" t="s">
        <v>722</v>
      </c>
      <c r="B18" s="1301"/>
      <c r="C18" s="595">
        <f t="shared" ref="C18:H18" si="1">IF(C17=0,"",C14/C17)</f>
        <v>550.98058252427188</v>
      </c>
      <c r="D18" s="595">
        <f t="shared" si="1"/>
        <v>564.7949960000401</v>
      </c>
      <c r="E18" s="595">
        <f t="shared" si="1"/>
        <v>581.4603974552009</v>
      </c>
      <c r="F18" s="595">
        <f t="shared" si="1"/>
        <v>570.14825763220961</v>
      </c>
      <c r="G18" s="595">
        <f t="shared" si="1"/>
        <v>618.62200071061704</v>
      </c>
      <c r="H18" s="596">
        <f t="shared" si="1"/>
        <v>561.00958527560033</v>
      </c>
    </row>
    <row r="19" spans="1:8" ht="13.5" thickBot="1">
      <c r="A19" s="1306" t="s">
        <v>723</v>
      </c>
      <c r="B19" s="1307"/>
      <c r="C19" s="597">
        <f t="shared" ref="C19:H19" si="2">IF(C17=0,"",C15/C17)</f>
        <v>113296.55339805825</v>
      </c>
      <c r="D19" s="597">
        <f t="shared" si="2"/>
        <v>116017.94554808199</v>
      </c>
      <c r="E19" s="597">
        <f t="shared" si="2"/>
        <v>83019.385888931603</v>
      </c>
      <c r="F19" s="597">
        <f t="shared" si="2"/>
        <v>130972.51471411398</v>
      </c>
      <c r="G19" s="597">
        <f t="shared" si="2"/>
        <v>140988.67671349936</v>
      </c>
      <c r="H19" s="598">
        <f t="shared" si="2"/>
        <v>138532.81268522295</v>
      </c>
    </row>
    <row r="21" spans="1:8">
      <c r="A21" s="599" t="s">
        <v>270</v>
      </c>
    </row>
    <row r="23" spans="1:8" ht="12.75" customHeight="1">
      <c r="A23" s="600">
        <v>1</v>
      </c>
      <c r="B23" s="1102" t="s">
        <v>618</v>
      </c>
      <c r="C23" s="1102"/>
      <c r="D23" s="1102"/>
      <c r="E23" s="1102"/>
      <c r="F23" s="1102"/>
      <c r="G23" s="1102"/>
    </row>
    <row r="24" spans="1:8">
      <c r="A24" s="451"/>
      <c r="B24" s="1102"/>
      <c r="C24" s="1102"/>
      <c r="D24" s="1102"/>
      <c r="E24" s="1102"/>
      <c r="F24" s="1102"/>
      <c r="G24" s="1102"/>
    </row>
    <row r="25" spans="1:8">
      <c r="A25" s="451"/>
      <c r="B25" s="1102"/>
      <c r="C25" s="1102"/>
      <c r="D25" s="1102"/>
      <c r="E25" s="1102"/>
      <c r="F25" s="1102"/>
      <c r="G25" s="1102"/>
    </row>
    <row r="26" spans="1:8">
      <c r="A26" s="451"/>
      <c r="B26" s="1102"/>
      <c r="C26" s="1102"/>
      <c r="D26" s="1102"/>
      <c r="E26" s="1102"/>
      <c r="F26" s="1102"/>
      <c r="G26" s="1102"/>
    </row>
    <row r="27" spans="1:8">
      <c r="A27" s="600">
        <v>2</v>
      </c>
      <c r="B27" s="1119" t="s">
        <v>724</v>
      </c>
      <c r="C27" s="1119"/>
      <c r="D27" s="1119"/>
      <c r="E27" s="1119"/>
      <c r="F27" s="1119"/>
      <c r="G27" s="1119"/>
    </row>
    <row r="28" spans="1:8">
      <c r="A28" s="600">
        <v>3</v>
      </c>
      <c r="B28" s="1308" t="s">
        <v>725</v>
      </c>
      <c r="C28" s="1119"/>
      <c r="D28" s="1119"/>
      <c r="E28" s="1119"/>
      <c r="F28" s="1119"/>
      <c r="G28" s="1119"/>
    </row>
    <row r="29" spans="1:8">
      <c r="A29" s="600">
        <v>4</v>
      </c>
      <c r="B29" s="1228" t="s">
        <v>726</v>
      </c>
      <c r="C29" s="1228"/>
      <c r="D29" s="1228"/>
      <c r="E29" s="1228"/>
      <c r="F29" s="1228"/>
      <c r="G29" s="1228"/>
    </row>
    <row r="30" spans="1:8">
      <c r="A30" s="450"/>
      <c r="B30" s="1228"/>
      <c r="C30" s="1228"/>
      <c r="D30" s="1228"/>
      <c r="E30" s="1228"/>
      <c r="F30" s="1228"/>
      <c r="G30" s="1228"/>
    </row>
  </sheetData>
  <mergeCells count="13">
    <mergeCell ref="B29:G30"/>
    <mergeCell ref="A17:B17"/>
    <mergeCell ref="A18:B18"/>
    <mergeCell ref="A19:B19"/>
    <mergeCell ref="B23:G26"/>
    <mergeCell ref="B27:G27"/>
    <mergeCell ref="B28:G28"/>
    <mergeCell ref="A16:B16"/>
    <mergeCell ref="A9:H9"/>
    <mergeCell ref="A10:H10"/>
    <mergeCell ref="A13:B13"/>
    <mergeCell ref="A14:B14"/>
    <mergeCell ref="A15:B15"/>
  </mergeCells>
  <dataValidations count="1">
    <dataValidation type="list" allowBlank="1" showInputMessage="1" showErrorMessage="1" sqref="C13:H13">
      <formula1>"CGAAP, MIFRS, USGAAP, ASPE"</formula1>
    </dataValidation>
  </dataValidations>
  <pageMargins left="0.75" right="0.75" top="1" bottom="1" header="0.5" footer="0.5"/>
  <pageSetup scale="84" orientation="portrait" r:id="rId1"/>
  <headerFooter alignWithMargins="0"/>
</worksheet>
</file>

<file path=xl/worksheets/sheet22.xml><?xml version="1.0" encoding="utf-8"?>
<worksheet xmlns="http://schemas.openxmlformats.org/spreadsheetml/2006/main" xmlns:r="http://schemas.openxmlformats.org/officeDocument/2006/relationships">
  <sheetPr>
    <pageSetUpPr fitToPage="1"/>
  </sheetPr>
  <dimension ref="A1:L47"/>
  <sheetViews>
    <sheetView showGridLines="0" zoomScaleNormal="100" workbookViewId="0">
      <selection activeCell="J24" sqref="J24"/>
    </sheetView>
  </sheetViews>
  <sheetFormatPr defaultRowHeight="12.75"/>
  <cols>
    <col min="1" max="1" width="4.140625" style="30" customWidth="1"/>
    <col min="2" max="2" width="40.7109375" style="30" customWidth="1"/>
    <col min="3" max="3" width="16.42578125" style="30" bestFit="1" customWidth="1"/>
    <col min="4" max="4" width="15" style="30" customWidth="1"/>
    <col min="5" max="8" width="13.7109375" style="30" customWidth="1"/>
    <col min="9" max="9" width="15" style="30" customWidth="1"/>
    <col min="10" max="10" width="12.85546875" style="30" customWidth="1"/>
    <col min="11" max="11" width="13.7109375" style="30" customWidth="1"/>
    <col min="12" max="12" width="10.7109375" style="30" customWidth="1"/>
    <col min="13" max="16384" width="9.140625" style="30"/>
  </cols>
  <sheetData>
    <row r="1" spans="1:12">
      <c r="J1" s="31" t="s">
        <v>131</v>
      </c>
      <c r="K1" s="32" t="str">
        <f>'LDC Info'!$E$18</f>
        <v>EB-2012-0126</v>
      </c>
    </row>
    <row r="2" spans="1:12">
      <c r="J2" s="31" t="s">
        <v>132</v>
      </c>
      <c r="K2" s="33"/>
    </row>
    <row r="3" spans="1:12">
      <c r="J3" s="31" t="s">
        <v>133</v>
      </c>
      <c r="K3" s="33"/>
    </row>
    <row r="4" spans="1:12">
      <c r="J4" s="31" t="s">
        <v>134</v>
      </c>
      <c r="K4" s="33"/>
    </row>
    <row r="5" spans="1:12">
      <c r="J5" s="31" t="s">
        <v>135</v>
      </c>
      <c r="K5" s="34"/>
    </row>
    <row r="6" spans="1:12">
      <c r="J6" s="31"/>
      <c r="K6" s="32"/>
    </row>
    <row r="7" spans="1:12">
      <c r="J7" s="31" t="s">
        <v>136</v>
      </c>
      <c r="K7" s="34" t="s">
        <v>1171</v>
      </c>
    </row>
    <row r="9" spans="1:12" ht="18">
      <c r="A9" s="1144" t="s">
        <v>727</v>
      </c>
      <c r="B9" s="1144"/>
      <c r="C9" s="1144"/>
      <c r="D9" s="1144"/>
      <c r="E9" s="1144"/>
      <c r="F9" s="1144"/>
      <c r="G9" s="1144"/>
      <c r="H9" s="1144"/>
      <c r="I9" s="1144"/>
      <c r="J9" s="1144"/>
      <c r="K9" s="1144"/>
    </row>
    <row r="10" spans="1:12" ht="18">
      <c r="A10" s="1144" t="s">
        <v>728</v>
      </c>
      <c r="B10" s="1144"/>
      <c r="C10" s="1144"/>
      <c r="D10" s="1144"/>
      <c r="E10" s="1144"/>
      <c r="F10" s="1144"/>
      <c r="G10" s="1144"/>
      <c r="H10" s="1144"/>
      <c r="I10" s="1144"/>
      <c r="J10" s="1144"/>
      <c r="K10" s="1144"/>
    </row>
    <row r="11" spans="1:12">
      <c r="E11" s="601" t="s">
        <v>729</v>
      </c>
    </row>
    <row r="12" spans="1:12" ht="13.5" thickBot="1">
      <c r="E12" s="601" t="s">
        <v>730</v>
      </c>
    </row>
    <row r="13" spans="1:12" ht="63.75">
      <c r="A13" s="1309" t="s">
        <v>731</v>
      </c>
      <c r="B13" s="1310"/>
      <c r="C13" s="602" t="s">
        <v>732</v>
      </c>
      <c r="D13" s="602" t="s">
        <v>733</v>
      </c>
      <c r="E13" s="602" t="s">
        <v>734</v>
      </c>
      <c r="F13" s="40" t="str">
        <f>"Last Rebasing Year (" &amp; 'LDC Info'!E30 &amp; " Board Approved)"</f>
        <v>Last Rebasing Year (2009 Board Approved)</v>
      </c>
      <c r="G13" s="40" t="s">
        <v>621</v>
      </c>
      <c r="H13" s="40" t="str">
        <f>'LDC Info'!E26 &amp; " Bridge Year"</f>
        <v>2012 Bridge Year</v>
      </c>
      <c r="I13" s="602" t="s">
        <v>735</v>
      </c>
      <c r="J13" s="40" t="str">
        <f>'LDC Info'!E28 &amp; " Test Year"</f>
        <v>2013 Test Year</v>
      </c>
      <c r="K13" s="603" t="s">
        <v>735</v>
      </c>
    </row>
    <row r="14" spans="1:12">
      <c r="A14" s="1311" t="s">
        <v>736</v>
      </c>
      <c r="B14" s="1312"/>
      <c r="C14" s="604" t="s">
        <v>400</v>
      </c>
      <c r="D14" s="604" t="s">
        <v>737</v>
      </c>
      <c r="E14" s="604" t="s">
        <v>402</v>
      </c>
      <c r="F14" s="604" t="s">
        <v>738</v>
      </c>
      <c r="G14" s="604" t="s">
        <v>404</v>
      </c>
      <c r="H14" s="604" t="s">
        <v>405</v>
      </c>
      <c r="I14" s="604" t="s">
        <v>739</v>
      </c>
      <c r="J14" s="604" t="s">
        <v>740</v>
      </c>
      <c r="K14" s="605" t="s">
        <v>741</v>
      </c>
    </row>
    <row r="15" spans="1:12">
      <c r="A15" s="606">
        <v>1</v>
      </c>
      <c r="B15" s="607" t="s">
        <v>742</v>
      </c>
      <c r="C15" s="608">
        <v>5655</v>
      </c>
      <c r="D15" s="609"/>
      <c r="E15" s="610" t="s">
        <v>729</v>
      </c>
      <c r="F15" s="609">
        <v>158100</v>
      </c>
      <c r="G15" s="609">
        <v>150202</v>
      </c>
      <c r="H15" s="609">
        <v>152000</v>
      </c>
      <c r="I15" s="611">
        <f>IF(G15=0,"",(H15-G15)/G15)</f>
        <v>1.1970546330940999E-2</v>
      </c>
      <c r="J15" s="609">
        <v>160000</v>
      </c>
      <c r="K15" s="612">
        <f>IF(H15=0,"",(J15-H15)/H15)</f>
        <v>5.2631578947368418E-2</v>
      </c>
      <c r="L15" s="613"/>
    </row>
    <row r="16" spans="1:12">
      <c r="A16" s="606">
        <v>2</v>
      </c>
      <c r="B16" s="607" t="s">
        <v>743</v>
      </c>
      <c r="C16" s="608">
        <v>5655</v>
      </c>
      <c r="D16" s="609"/>
      <c r="E16" s="610" t="s">
        <v>729</v>
      </c>
      <c r="F16" s="609"/>
      <c r="G16" s="609"/>
      <c r="H16" s="609"/>
      <c r="I16" s="611" t="str">
        <f t="shared" ref="I16:I29" si="0">IF(G16=0,"",(H16-G16)/G16)</f>
        <v/>
      </c>
      <c r="J16" s="609"/>
      <c r="K16" s="612" t="str">
        <f t="shared" ref="K16:K29" si="1">IF(H16=0,"",(J16-H16)/H16)</f>
        <v/>
      </c>
      <c r="L16" s="613"/>
    </row>
    <row r="17" spans="1:12">
      <c r="A17" s="606">
        <v>3</v>
      </c>
      <c r="B17" s="607" t="s">
        <v>744</v>
      </c>
      <c r="C17" s="608">
        <v>5655</v>
      </c>
      <c r="D17" s="609"/>
      <c r="E17" s="610" t="s">
        <v>729</v>
      </c>
      <c r="F17" s="609">
        <v>60000</v>
      </c>
      <c r="G17" s="609">
        <v>6486</v>
      </c>
      <c r="H17" s="609">
        <v>8000</v>
      </c>
      <c r="I17" s="611">
        <f t="shared" si="0"/>
        <v>0.23342584027135369</v>
      </c>
      <c r="J17" s="609">
        <v>15000</v>
      </c>
      <c r="K17" s="612">
        <f t="shared" si="1"/>
        <v>0.875</v>
      </c>
      <c r="L17" s="613"/>
    </row>
    <row r="18" spans="1:12" ht="12.75" customHeight="1">
      <c r="A18" s="606">
        <v>4</v>
      </c>
      <c r="B18" s="607" t="s">
        <v>745</v>
      </c>
      <c r="C18" s="608"/>
      <c r="D18" s="609"/>
      <c r="E18" s="610" t="s">
        <v>730</v>
      </c>
      <c r="F18" s="609"/>
      <c r="G18" s="609"/>
      <c r="H18" s="609"/>
      <c r="I18" s="611" t="str">
        <f t="shared" si="0"/>
        <v/>
      </c>
      <c r="J18" s="609">
        <v>20000</v>
      </c>
      <c r="K18" s="612" t="str">
        <f t="shared" si="1"/>
        <v/>
      </c>
      <c r="L18" s="613"/>
    </row>
    <row r="19" spans="1:12">
      <c r="A19" s="606">
        <v>5</v>
      </c>
      <c r="B19" s="607" t="s">
        <v>746</v>
      </c>
      <c r="C19" s="608">
        <v>5655</v>
      </c>
      <c r="D19" s="609"/>
      <c r="E19" s="610" t="s">
        <v>730</v>
      </c>
      <c r="F19" s="609">
        <v>65000</v>
      </c>
      <c r="G19" s="609"/>
      <c r="H19" s="609">
        <v>40000</v>
      </c>
      <c r="I19" s="611" t="str">
        <f t="shared" si="0"/>
        <v/>
      </c>
      <c r="J19" s="609">
        <v>175000</v>
      </c>
      <c r="K19" s="612">
        <f t="shared" si="1"/>
        <v>3.375</v>
      </c>
      <c r="L19" s="613"/>
    </row>
    <row r="20" spans="1:12">
      <c r="A20" s="606">
        <v>6</v>
      </c>
      <c r="B20" s="607" t="s">
        <v>747</v>
      </c>
      <c r="C20" s="608">
        <v>5655</v>
      </c>
      <c r="D20" s="609"/>
      <c r="E20" s="610" t="s">
        <v>730</v>
      </c>
      <c r="F20" s="609"/>
      <c r="G20" s="609">
        <v>14500</v>
      </c>
      <c r="H20" s="609">
        <v>22000</v>
      </c>
      <c r="I20" s="611">
        <f t="shared" si="0"/>
        <v>0.51724137931034486</v>
      </c>
      <c r="J20" s="609">
        <v>8000</v>
      </c>
      <c r="K20" s="612">
        <f t="shared" si="1"/>
        <v>-0.63636363636363635</v>
      </c>
      <c r="L20" s="613"/>
    </row>
    <row r="21" spans="1:12" ht="25.5" customHeight="1">
      <c r="A21" s="606">
        <v>7</v>
      </c>
      <c r="B21" s="607" t="s">
        <v>748</v>
      </c>
      <c r="C21" s="608">
        <v>5655</v>
      </c>
      <c r="D21" s="609"/>
      <c r="E21" s="610" t="s">
        <v>729</v>
      </c>
      <c r="F21" s="609">
        <v>40000</v>
      </c>
      <c r="G21" s="609">
        <v>54973</v>
      </c>
      <c r="H21" s="609">
        <v>146927</v>
      </c>
      <c r="I21" s="611">
        <f t="shared" si="0"/>
        <v>1.6727120586469721</v>
      </c>
      <c r="J21" s="609">
        <v>144339</v>
      </c>
      <c r="K21" s="612">
        <f t="shared" si="1"/>
        <v>-1.7614189359341715E-2</v>
      </c>
      <c r="L21" s="613"/>
    </row>
    <row r="22" spans="1:12" ht="26.25" customHeight="1">
      <c r="A22" s="606">
        <v>8</v>
      </c>
      <c r="B22" s="607" t="s">
        <v>749</v>
      </c>
      <c r="C22" s="608"/>
      <c r="D22" s="609"/>
      <c r="E22" s="610"/>
      <c r="F22" s="609"/>
      <c r="G22" s="609"/>
      <c r="H22" s="609"/>
      <c r="I22" s="611" t="str">
        <f t="shared" si="0"/>
        <v/>
      </c>
      <c r="J22" s="609"/>
      <c r="K22" s="612" t="str">
        <f t="shared" si="1"/>
        <v/>
      </c>
      <c r="L22" s="613"/>
    </row>
    <row r="23" spans="1:12" ht="26.25" customHeight="1">
      <c r="A23" s="606">
        <v>9</v>
      </c>
      <c r="B23" s="607" t="s">
        <v>750</v>
      </c>
      <c r="C23" s="608">
        <v>5655</v>
      </c>
      <c r="D23" s="609"/>
      <c r="E23" s="610" t="s">
        <v>730</v>
      </c>
      <c r="F23" s="609"/>
      <c r="G23" s="609"/>
      <c r="H23" s="609"/>
      <c r="I23" s="611"/>
      <c r="J23" s="609">
        <v>40000</v>
      </c>
      <c r="K23" s="612"/>
      <c r="L23" s="613"/>
    </row>
    <row r="24" spans="1:12" ht="13.5" customHeight="1">
      <c r="A24" s="606">
        <v>10</v>
      </c>
      <c r="B24" s="607" t="s">
        <v>751</v>
      </c>
      <c r="C24" s="608"/>
      <c r="D24" s="609"/>
      <c r="E24" s="610"/>
      <c r="F24" s="609"/>
      <c r="G24" s="609"/>
      <c r="H24" s="609"/>
      <c r="I24" s="611" t="str">
        <f t="shared" si="0"/>
        <v/>
      </c>
      <c r="J24" s="609"/>
      <c r="K24" s="612" t="str">
        <f t="shared" si="1"/>
        <v/>
      </c>
      <c r="L24" s="613"/>
    </row>
    <row r="25" spans="1:12" ht="38.25">
      <c r="A25" s="606">
        <v>11</v>
      </c>
      <c r="B25" s="614" t="s">
        <v>752</v>
      </c>
      <c r="C25" s="608">
        <v>5655</v>
      </c>
      <c r="D25" s="609"/>
      <c r="E25" s="610" t="s">
        <v>729</v>
      </c>
      <c r="F25" s="609"/>
      <c r="G25" s="609">
        <v>49080</v>
      </c>
      <c r="H25" s="609">
        <v>52000</v>
      </c>
      <c r="I25" s="611">
        <f t="shared" si="0"/>
        <v>5.9494702526487364E-2</v>
      </c>
      <c r="J25" s="609">
        <v>55000</v>
      </c>
      <c r="K25" s="612">
        <f t="shared" si="1"/>
        <v>5.7692307692307696E-2</v>
      </c>
      <c r="L25" s="613"/>
    </row>
    <row r="26" spans="1:12" ht="13.5" thickBot="1">
      <c r="A26" s="615">
        <v>12</v>
      </c>
      <c r="B26" s="616" t="s">
        <v>753</v>
      </c>
      <c r="C26" s="617">
        <v>5655</v>
      </c>
      <c r="D26" s="618"/>
      <c r="E26" s="619" t="s">
        <v>730</v>
      </c>
      <c r="F26" s="618"/>
      <c r="G26" s="618"/>
      <c r="H26" s="618"/>
      <c r="I26" s="620" t="str">
        <f t="shared" si="0"/>
        <v/>
      </c>
      <c r="J26" s="618">
        <v>145000</v>
      </c>
      <c r="K26" s="621" t="str">
        <f t="shared" si="1"/>
        <v/>
      </c>
      <c r="L26" s="613"/>
    </row>
    <row r="27" spans="1:12" ht="14.25">
      <c r="A27" s="622">
        <v>13</v>
      </c>
      <c r="B27" s="623" t="s">
        <v>754</v>
      </c>
      <c r="C27" s="624"/>
      <c r="D27" s="625">
        <f>SUMIF($E15:$E26,$E11,D15:D26)</f>
        <v>0</v>
      </c>
      <c r="E27" s="624"/>
      <c r="F27" s="625">
        <f>SUMIF($E15:$E26,$E11,F15:F26)</f>
        <v>258100</v>
      </c>
      <c r="G27" s="625">
        <f>SUMIF($E15:$E26,$E11,G15:G26)</f>
        <v>260741</v>
      </c>
      <c r="H27" s="625">
        <f>SUMIF($E15:$E26,$E11,H15:H26)</f>
        <v>358927</v>
      </c>
      <c r="I27" s="626">
        <f t="shared" si="0"/>
        <v>0.37656525057432472</v>
      </c>
      <c r="J27" s="625">
        <f>SUMIF($E15:$E26,$E11,J15:J26)</f>
        <v>374339</v>
      </c>
      <c r="K27" s="627">
        <f t="shared" si="1"/>
        <v>4.2939093464687807E-2</v>
      </c>
      <c r="L27" s="613"/>
    </row>
    <row r="28" spans="1:12" ht="15" thickBot="1">
      <c r="A28" s="628">
        <v>14</v>
      </c>
      <c r="B28" s="629" t="s">
        <v>755</v>
      </c>
      <c r="C28" s="630"/>
      <c r="D28" s="631">
        <f>SUMIF($E15:$E26,$E12,D15:D26)</f>
        <v>0</v>
      </c>
      <c r="E28" s="630"/>
      <c r="F28" s="631">
        <f>SUMIF($E15:$E26,$E12,F15:F26)</f>
        <v>65000</v>
      </c>
      <c r="G28" s="631">
        <f>SUMIF($E15:$E26,$E12,G15:G26)</f>
        <v>14500</v>
      </c>
      <c r="H28" s="631">
        <f>SUMIF($E15:$E26,$E12,H15:H26)</f>
        <v>62000</v>
      </c>
      <c r="I28" s="632">
        <f>IF(G28=0,"",(H28-G28)/G28)</f>
        <v>3.2758620689655173</v>
      </c>
      <c r="J28" s="631">
        <f>SUMIF($E15:$E26,$E12,J15:J26)</f>
        <v>388000</v>
      </c>
      <c r="K28" s="633">
        <f t="shared" si="1"/>
        <v>5.258064516129032</v>
      </c>
      <c r="L28" s="613"/>
    </row>
    <row r="29" spans="1:12" ht="14.25" thickTop="1" thickBot="1">
      <c r="A29" s="634">
        <v>15</v>
      </c>
      <c r="B29" s="635" t="s">
        <v>267</v>
      </c>
      <c r="C29" s="636"/>
      <c r="D29" s="637">
        <f>D27+D28</f>
        <v>0</v>
      </c>
      <c r="E29" s="636"/>
      <c r="F29" s="637">
        <f>F27+F28</f>
        <v>323100</v>
      </c>
      <c r="G29" s="637">
        <f>G27+G28</f>
        <v>275241</v>
      </c>
      <c r="H29" s="637">
        <f>H27+H28</f>
        <v>420927</v>
      </c>
      <c r="I29" s="638">
        <f t="shared" si="0"/>
        <v>0.52930341046573726</v>
      </c>
      <c r="J29" s="637">
        <f>J27+J28</f>
        <v>762339</v>
      </c>
      <c r="K29" s="639">
        <f t="shared" si="1"/>
        <v>0.81109551062298213</v>
      </c>
      <c r="L29" s="613"/>
    </row>
    <row r="31" spans="1:12" ht="14.25">
      <c r="A31" s="640" t="s">
        <v>756</v>
      </c>
      <c r="B31" s="30" t="s">
        <v>757</v>
      </c>
    </row>
    <row r="32" spans="1:12" ht="14.25">
      <c r="A32" s="640" t="s">
        <v>758</v>
      </c>
      <c r="B32" s="30" t="s">
        <v>759</v>
      </c>
    </row>
    <row r="33" spans="1:6" ht="14.25">
      <c r="A33" s="640" t="s">
        <v>760</v>
      </c>
      <c r="B33" s="30" t="s">
        <v>761</v>
      </c>
    </row>
    <row r="34" spans="1:6" ht="14.25">
      <c r="A34" s="640" t="s">
        <v>762</v>
      </c>
      <c r="B34" s="30" t="s">
        <v>763</v>
      </c>
    </row>
    <row r="36" spans="1:6">
      <c r="A36" s="31" t="s">
        <v>764</v>
      </c>
    </row>
    <row r="37" spans="1:6" ht="13.5" thickBot="1"/>
    <row r="38" spans="1:6" ht="26.25" thickBot="1">
      <c r="C38" s="641" t="str">
        <f>H13</f>
        <v>2012 Bridge Year</v>
      </c>
      <c r="D38" s="642" t="str">
        <f>J13</f>
        <v>2013 Test Year</v>
      </c>
      <c r="E38" s="643" t="s">
        <v>267</v>
      </c>
      <c r="F38" s="643" t="s">
        <v>765</v>
      </c>
    </row>
    <row r="39" spans="1:6">
      <c r="A39" s="644">
        <v>4</v>
      </c>
      <c r="B39" s="645" t="s">
        <v>745</v>
      </c>
      <c r="C39" s="646">
        <f>H18</f>
        <v>0</v>
      </c>
      <c r="D39" s="647">
        <f>J18</f>
        <v>20000</v>
      </c>
      <c r="E39" s="648">
        <f>C39+D39</f>
        <v>20000</v>
      </c>
      <c r="F39" s="648"/>
    </row>
    <row r="40" spans="1:6">
      <c r="A40" s="622">
        <v>5</v>
      </c>
      <c r="B40" s="649" t="str">
        <f>B19</f>
        <v>Legal costs for regulatory matters</v>
      </c>
      <c r="C40" s="650">
        <f>H19</f>
        <v>40000</v>
      </c>
      <c r="D40" s="651">
        <f>J19</f>
        <v>175000</v>
      </c>
      <c r="E40" s="652">
        <f>C40+D40</f>
        <v>215000</v>
      </c>
      <c r="F40" s="652">
        <v>223719.44</v>
      </c>
    </row>
    <row r="41" spans="1:6">
      <c r="A41" s="606">
        <v>6</v>
      </c>
      <c r="B41" s="653" t="s">
        <v>747</v>
      </c>
      <c r="C41" s="654">
        <f>H20</f>
        <v>22000</v>
      </c>
      <c r="D41" s="655">
        <f>J20</f>
        <v>8000</v>
      </c>
      <c r="E41" s="652">
        <f t="shared" ref="E41:E44" si="2">C41+D41</f>
        <v>30000</v>
      </c>
      <c r="F41" s="652">
        <v>14293.95</v>
      </c>
    </row>
    <row r="42" spans="1:6" ht="25.5">
      <c r="A42" s="606">
        <v>7</v>
      </c>
      <c r="B42" s="653" t="s">
        <v>748</v>
      </c>
      <c r="C42" s="654">
        <v>0</v>
      </c>
      <c r="D42" s="655">
        <v>0</v>
      </c>
      <c r="E42" s="652">
        <f t="shared" si="2"/>
        <v>0</v>
      </c>
      <c r="F42" s="652"/>
    </row>
    <row r="43" spans="1:6" ht="27">
      <c r="A43" s="606">
        <v>8</v>
      </c>
      <c r="B43" s="653" t="s">
        <v>749</v>
      </c>
      <c r="C43" s="654">
        <f>H22</f>
        <v>0</v>
      </c>
      <c r="D43" s="655">
        <f>J22</f>
        <v>0</v>
      </c>
      <c r="E43" s="652">
        <f t="shared" si="2"/>
        <v>0</v>
      </c>
      <c r="F43" s="652"/>
    </row>
    <row r="44" spans="1:6" ht="25.5">
      <c r="A44" s="656">
        <v>9</v>
      </c>
      <c r="B44" s="657" t="str">
        <f>B23</f>
        <v>Travel costs associated with cost of service related hearings/conferences</v>
      </c>
      <c r="C44" s="658">
        <f>H23</f>
        <v>0</v>
      </c>
      <c r="D44" s="659">
        <f>J23</f>
        <v>40000</v>
      </c>
      <c r="E44" s="652">
        <f t="shared" si="2"/>
        <v>40000</v>
      </c>
      <c r="F44" s="652">
        <v>26971.23</v>
      </c>
    </row>
    <row r="45" spans="1:6" ht="13.5" thickBot="1">
      <c r="A45" s="615">
        <v>12</v>
      </c>
      <c r="B45" s="660" t="s">
        <v>753</v>
      </c>
      <c r="C45" s="661"/>
      <c r="D45" s="662">
        <f>J26</f>
        <v>145000</v>
      </c>
      <c r="E45" s="663">
        <f>C45+D45</f>
        <v>145000</v>
      </c>
      <c r="F45" s="663">
        <v>140576.95000000001</v>
      </c>
    </row>
    <row r="46" spans="1:6" ht="13.5" thickBot="1">
      <c r="A46" s="615"/>
      <c r="B46" s="660" t="s">
        <v>267</v>
      </c>
      <c r="C46" s="661">
        <f>SUM(C39:C45)</f>
        <v>62000</v>
      </c>
      <c r="D46" s="661">
        <f>SUM(D39:D45)</f>
        <v>388000</v>
      </c>
      <c r="E46" s="663">
        <f>C46+D46</f>
        <v>450000</v>
      </c>
      <c r="F46" s="663">
        <f>SUM(F39:F45)</f>
        <v>405561.57</v>
      </c>
    </row>
    <row r="47" spans="1:6" ht="13.5" thickBot="1">
      <c r="A47" s="664" t="s">
        <v>766</v>
      </c>
      <c r="B47" s="665"/>
      <c r="C47" s="665"/>
      <c r="D47" s="665"/>
      <c r="E47" s="666">
        <f>E46*0.25</f>
        <v>112500</v>
      </c>
      <c r="F47" s="667">
        <f>F46*0.25</f>
        <v>101390.3925</v>
      </c>
    </row>
  </sheetData>
  <mergeCells count="4">
    <mergeCell ref="A9:K9"/>
    <mergeCell ref="A10:K10"/>
    <mergeCell ref="A13:B13"/>
    <mergeCell ref="A14:B14"/>
  </mergeCells>
  <dataValidations count="2">
    <dataValidation type="list" allowBlank="1" showInputMessage="1" showErrorMessage="1" prompt="Please identify costs as One-time or ongoing by selecting from the drop-down list." sqref="E15:E17 E21:E22 E24:E25">
      <formula1>"On-Time, On-Going"</formula1>
    </dataValidation>
    <dataValidation type="list" allowBlank="1" showInputMessage="1" showErrorMessage="1" prompt="Please identify costs as One-time or ongoing by selecting from the drop-down list." sqref="E26 E18:E20 E23">
      <formula1>"One-Time, On-Going"</formula1>
    </dataValidation>
  </dataValidations>
  <printOptions horizontalCentered="1"/>
  <pageMargins left="0.35433070866141736" right="0.35433070866141736" top="0.39370078740157483" bottom="0.39370078740157483" header="0.11811023622047245" footer="0.11811023622047245"/>
  <pageSetup scale="70" orientation="landscape" r:id="rId1"/>
  <headerFooter alignWithMargins="0"/>
</worksheet>
</file>

<file path=xl/worksheets/sheet23.xml><?xml version="1.0" encoding="utf-8"?>
<worksheet xmlns="http://schemas.openxmlformats.org/spreadsheetml/2006/main" xmlns:r="http://schemas.openxmlformats.org/officeDocument/2006/relationships">
  <dimension ref="A1:H189"/>
  <sheetViews>
    <sheetView showGridLines="0" zoomScaleNormal="100" workbookViewId="0">
      <selection activeCell="J24" sqref="J24"/>
    </sheetView>
  </sheetViews>
  <sheetFormatPr defaultRowHeight="12.75"/>
  <cols>
    <col min="1" max="2" width="20.7109375" customWidth="1"/>
    <col min="3" max="3" width="24.85546875" customWidth="1"/>
    <col min="4" max="4" width="18.7109375" customWidth="1"/>
    <col min="5" max="5" width="14.85546875" customWidth="1"/>
    <col min="6" max="7" width="17.28515625" customWidth="1"/>
  </cols>
  <sheetData>
    <row r="1" spans="1:7">
      <c r="F1" s="31" t="s">
        <v>131</v>
      </c>
      <c r="G1" s="32" t="str">
        <f>'LDC Info'!$E$18</f>
        <v>EB-2012-0126</v>
      </c>
    </row>
    <row r="2" spans="1:7">
      <c r="F2" s="31" t="s">
        <v>132</v>
      </c>
      <c r="G2" s="33"/>
    </row>
    <row r="3" spans="1:7">
      <c r="F3" s="31" t="s">
        <v>133</v>
      </c>
      <c r="G3" s="33"/>
    </row>
    <row r="4" spans="1:7">
      <c r="F4" s="31" t="s">
        <v>134</v>
      </c>
      <c r="G4" s="33"/>
    </row>
    <row r="5" spans="1:7">
      <c r="F5" s="31" t="s">
        <v>135</v>
      </c>
      <c r="G5" s="34"/>
    </row>
    <row r="6" spans="1:7">
      <c r="F6" s="31"/>
      <c r="G6" s="32"/>
    </row>
    <row r="7" spans="1:7">
      <c r="F7" s="31" t="s">
        <v>136</v>
      </c>
      <c r="G7" s="34" t="s">
        <v>1171</v>
      </c>
    </row>
    <row r="9" spans="1:7" ht="18">
      <c r="A9" s="1280" t="s">
        <v>767</v>
      </c>
      <c r="B9" s="1280"/>
      <c r="C9" s="1280"/>
      <c r="D9" s="1280"/>
      <c r="E9" s="1280"/>
      <c r="F9" s="1280"/>
      <c r="G9" s="1280"/>
    </row>
    <row r="10" spans="1:7" ht="18">
      <c r="A10" s="1280" t="s">
        <v>768</v>
      </c>
      <c r="B10" s="1280"/>
      <c r="C10" s="1280"/>
      <c r="D10" s="1280"/>
      <c r="E10" s="1280"/>
      <c r="F10" s="1280"/>
      <c r="G10" s="1280"/>
    </row>
    <row r="11" spans="1:7">
      <c r="D11" s="450"/>
      <c r="E11" s="450"/>
    </row>
    <row r="12" spans="1:7">
      <c r="B12" s="668" t="s">
        <v>769</v>
      </c>
      <c r="C12" s="1313">
        <v>2013</v>
      </c>
      <c r="D12" s="1313"/>
      <c r="E12" s="669"/>
    </row>
    <row r="13" spans="1:7">
      <c r="C13" s="668"/>
      <c r="D13" s="670"/>
      <c r="E13" s="670"/>
    </row>
    <row r="14" spans="1:7" ht="15.75">
      <c r="A14" s="1314" t="s">
        <v>770</v>
      </c>
      <c r="B14" s="1314"/>
      <c r="C14" s="1314"/>
      <c r="D14" s="1314"/>
      <c r="E14" s="1314"/>
      <c r="F14" s="1314"/>
      <c r="G14" s="1314"/>
    </row>
    <row r="15" spans="1:7" ht="13.5" thickBot="1">
      <c r="D15" s="450"/>
      <c r="E15" s="450"/>
    </row>
    <row r="16" spans="1:7" ht="13.5" customHeight="1">
      <c r="A16" s="1315" t="s">
        <v>771</v>
      </c>
      <c r="B16" s="1316"/>
      <c r="C16" s="1317" t="s">
        <v>772</v>
      </c>
      <c r="D16" s="1317" t="s">
        <v>773</v>
      </c>
      <c r="E16" s="671"/>
      <c r="F16" s="1320" t="s">
        <v>774</v>
      </c>
      <c r="G16" s="1322" t="s">
        <v>775</v>
      </c>
    </row>
    <row r="17" spans="1:8" ht="17.25" customHeight="1">
      <c r="A17" s="1324" t="s">
        <v>776</v>
      </c>
      <c r="B17" s="1326" t="s">
        <v>777</v>
      </c>
      <c r="C17" s="1318"/>
      <c r="D17" s="1318"/>
      <c r="E17" s="672" t="s">
        <v>778</v>
      </c>
      <c r="F17" s="1321"/>
      <c r="G17" s="1323"/>
    </row>
    <row r="18" spans="1:8">
      <c r="A18" s="1325"/>
      <c r="B18" s="1327"/>
      <c r="C18" s="1319"/>
      <c r="D18" s="1319"/>
      <c r="E18" s="673"/>
      <c r="F18" s="674" t="s">
        <v>779</v>
      </c>
      <c r="G18" s="675" t="s">
        <v>779</v>
      </c>
    </row>
    <row r="19" spans="1:8" ht="25.5">
      <c r="A19" s="676" t="s">
        <v>780</v>
      </c>
      <c r="B19" s="677" t="s">
        <v>781</v>
      </c>
      <c r="C19" s="678" t="s">
        <v>782</v>
      </c>
      <c r="D19" s="679" t="s">
        <v>783</v>
      </c>
      <c r="E19" s="680">
        <f>+F19/G19</f>
        <v>0.8795123227460625</v>
      </c>
      <c r="F19" s="344">
        <f>452133+388285</f>
        <v>840418</v>
      </c>
      <c r="G19" s="382">
        <f>524216+431334</f>
        <v>955550</v>
      </c>
    </row>
    <row r="20" spans="1:8" ht="25.5">
      <c r="A20" s="676" t="s">
        <v>780</v>
      </c>
      <c r="B20" s="677" t="s">
        <v>781</v>
      </c>
      <c r="C20" s="678" t="s">
        <v>784</v>
      </c>
      <c r="D20" s="679" t="s">
        <v>783</v>
      </c>
      <c r="E20" s="680">
        <f t="shared" ref="E20:E30" si="0">+F20/G20</f>
        <v>0.76601113775218654</v>
      </c>
      <c r="F20" s="344">
        <f>627980+145476</f>
        <v>773456</v>
      </c>
      <c r="G20" s="382">
        <f>833569+176150</f>
        <v>1009719</v>
      </c>
    </row>
    <row r="21" spans="1:8">
      <c r="A21" s="676" t="s">
        <v>780</v>
      </c>
      <c r="B21" s="677" t="s">
        <v>781</v>
      </c>
      <c r="C21" s="678" t="s">
        <v>785</v>
      </c>
      <c r="D21" s="681" t="s">
        <v>786</v>
      </c>
      <c r="E21" s="680">
        <f t="shared" si="0"/>
        <v>0.85869380527807837</v>
      </c>
      <c r="F21" s="344">
        <v>288060</v>
      </c>
      <c r="G21" s="382">
        <v>335463</v>
      </c>
    </row>
    <row r="22" spans="1:8" ht="38.25">
      <c r="A22" s="676" t="s">
        <v>780</v>
      </c>
      <c r="B22" s="677" t="s">
        <v>781</v>
      </c>
      <c r="C22" s="678" t="s">
        <v>787</v>
      </c>
      <c r="D22" s="679" t="s">
        <v>788</v>
      </c>
      <c r="E22" s="680">
        <f t="shared" si="0"/>
        <v>1</v>
      </c>
      <c r="F22" s="344">
        <v>155842</v>
      </c>
      <c r="G22" s="382">
        <v>155842</v>
      </c>
    </row>
    <row r="23" spans="1:8" ht="38.25">
      <c r="A23" s="676" t="s">
        <v>780</v>
      </c>
      <c r="B23" s="677" t="s">
        <v>781</v>
      </c>
      <c r="C23" s="678" t="s">
        <v>789</v>
      </c>
      <c r="D23" s="679" t="s">
        <v>790</v>
      </c>
      <c r="E23" s="680">
        <f t="shared" si="0"/>
        <v>0.86520196332575483</v>
      </c>
      <c r="F23" s="344">
        <v>244314</v>
      </c>
      <c r="G23" s="382">
        <v>282378</v>
      </c>
    </row>
    <row r="24" spans="1:8" ht="25.5">
      <c r="A24" s="676" t="s">
        <v>780</v>
      </c>
      <c r="B24" s="677" t="s">
        <v>781</v>
      </c>
      <c r="C24" s="678" t="s">
        <v>791</v>
      </c>
      <c r="D24" s="679" t="s">
        <v>783</v>
      </c>
      <c r="E24" s="680">
        <f t="shared" si="0"/>
        <v>0.9888366919202235</v>
      </c>
      <c r="F24" s="344">
        <f>2928635+218229</f>
        <v>3146864</v>
      </c>
      <c r="G24" s="382">
        <f>2928635+253755</f>
        <v>3182390</v>
      </c>
    </row>
    <row r="25" spans="1:8">
      <c r="A25" s="676" t="s">
        <v>780</v>
      </c>
      <c r="B25" s="677" t="s">
        <v>781</v>
      </c>
      <c r="C25" s="678" t="s">
        <v>792</v>
      </c>
      <c r="D25" s="681" t="s">
        <v>793</v>
      </c>
      <c r="E25" s="680">
        <f t="shared" si="0"/>
        <v>0.89827625186358628</v>
      </c>
      <c r="F25" s="344">
        <v>568175</v>
      </c>
      <c r="G25" s="382">
        <v>632517</v>
      </c>
    </row>
    <row r="26" spans="1:8" ht="51">
      <c r="A26" s="676" t="s">
        <v>780</v>
      </c>
      <c r="B26" s="677" t="s">
        <v>781</v>
      </c>
      <c r="C26" s="678" t="s">
        <v>794</v>
      </c>
      <c r="D26" s="679" t="s">
        <v>795</v>
      </c>
      <c r="E26" s="680"/>
      <c r="F26" s="682" t="s">
        <v>796</v>
      </c>
      <c r="G26" s="382">
        <v>906585.92</v>
      </c>
    </row>
    <row r="27" spans="1:8">
      <c r="A27" s="676" t="s">
        <v>780</v>
      </c>
      <c r="B27" s="677" t="s">
        <v>781</v>
      </c>
      <c r="C27" s="678" t="s">
        <v>797</v>
      </c>
      <c r="D27" s="679" t="s">
        <v>798</v>
      </c>
      <c r="E27" s="680">
        <f t="shared" si="0"/>
        <v>0</v>
      </c>
      <c r="F27" s="682">
        <v>0</v>
      </c>
      <c r="G27" s="382">
        <v>74544</v>
      </c>
    </row>
    <row r="28" spans="1:8" ht="38.25">
      <c r="A28" s="676" t="s">
        <v>781</v>
      </c>
      <c r="B28" s="677" t="s">
        <v>799</v>
      </c>
      <c r="C28" s="678" t="s">
        <v>800</v>
      </c>
      <c r="D28" s="679" t="s">
        <v>801</v>
      </c>
      <c r="E28" s="680">
        <f t="shared" si="0"/>
        <v>0.13432927295120572</v>
      </c>
      <c r="F28" s="344">
        <f>1191103-1031103</f>
        <v>160000</v>
      </c>
      <c r="G28" s="382">
        <v>1191103</v>
      </c>
    </row>
    <row r="29" spans="1:8" ht="25.5">
      <c r="A29" s="676" t="s">
        <v>781</v>
      </c>
      <c r="B29" s="677" t="s">
        <v>799</v>
      </c>
      <c r="C29" s="678" t="s">
        <v>802</v>
      </c>
      <c r="D29" s="683" t="s">
        <v>803</v>
      </c>
      <c r="E29" s="680">
        <f>+F29/G29</f>
        <v>1</v>
      </c>
      <c r="F29" s="344">
        <v>680000</v>
      </c>
      <c r="G29" s="382">
        <v>680000</v>
      </c>
    </row>
    <row r="30" spans="1:8" ht="13.5" customHeight="1">
      <c r="A30" s="676" t="s">
        <v>781</v>
      </c>
      <c r="B30" s="677" t="s">
        <v>799</v>
      </c>
      <c r="C30" s="678" t="s">
        <v>804</v>
      </c>
      <c r="D30" s="679" t="s">
        <v>805</v>
      </c>
      <c r="E30" s="680">
        <f t="shared" si="0"/>
        <v>2.6043738145870452</v>
      </c>
      <c r="F30" s="344">
        <v>90627</v>
      </c>
      <c r="G30" s="382">
        <v>34798</v>
      </c>
      <c r="H30" s="566"/>
    </row>
    <row r="31" spans="1:8" ht="93.75" customHeight="1" thickBot="1">
      <c r="A31" s="684" t="s">
        <v>781</v>
      </c>
      <c r="B31" s="685" t="s">
        <v>799</v>
      </c>
      <c r="C31" s="686" t="s">
        <v>804</v>
      </c>
      <c r="D31" s="687" t="s">
        <v>806</v>
      </c>
      <c r="E31" s="688"/>
      <c r="F31" s="689" t="s">
        <v>807</v>
      </c>
      <c r="G31" s="690">
        <f>713018-34798</f>
        <v>678220</v>
      </c>
    </row>
    <row r="32" spans="1:8">
      <c r="D32" s="450"/>
      <c r="E32" s="450"/>
    </row>
    <row r="33" spans="1:7" ht="15.75">
      <c r="A33" s="1314" t="s">
        <v>808</v>
      </c>
      <c r="B33" s="1314"/>
      <c r="C33" s="1314"/>
      <c r="D33" s="1314"/>
      <c r="E33" s="1314"/>
      <c r="F33" s="1314"/>
      <c r="G33" s="1314"/>
    </row>
    <row r="34" spans="1:7" ht="13.5" thickBot="1">
      <c r="D34" s="450"/>
      <c r="E34" s="450"/>
    </row>
    <row r="35" spans="1:7">
      <c r="A35" s="1315" t="s">
        <v>771</v>
      </c>
      <c r="B35" s="1316"/>
      <c r="C35" s="1328" t="s">
        <v>772</v>
      </c>
      <c r="D35" s="1328" t="s">
        <v>773</v>
      </c>
      <c r="E35" s="1320" t="s">
        <v>809</v>
      </c>
      <c r="F35" s="1322" t="s">
        <v>810</v>
      </c>
    </row>
    <row r="36" spans="1:7">
      <c r="A36" s="1331" t="s">
        <v>776</v>
      </c>
      <c r="B36" s="1333" t="s">
        <v>777</v>
      </c>
      <c r="C36" s="1329"/>
      <c r="D36" s="1329"/>
      <c r="E36" s="1321"/>
      <c r="F36" s="1323"/>
    </row>
    <row r="37" spans="1:7">
      <c r="A37" s="1332"/>
      <c r="B37" s="1334"/>
      <c r="C37" s="1330"/>
      <c r="D37" s="1330"/>
      <c r="E37" s="674" t="s">
        <v>811</v>
      </c>
      <c r="F37" s="675" t="s">
        <v>779</v>
      </c>
    </row>
    <row r="38" spans="1:7" ht="39" thickBot="1">
      <c r="A38" s="691" t="s">
        <v>812</v>
      </c>
      <c r="B38" s="692" t="s">
        <v>781</v>
      </c>
      <c r="C38" s="685" t="s">
        <v>813</v>
      </c>
      <c r="D38" s="693" t="s">
        <v>814</v>
      </c>
      <c r="E38" s="694">
        <v>0.5</v>
      </c>
      <c r="F38" s="690">
        <v>44200</v>
      </c>
    </row>
    <row r="39" spans="1:7" hidden="1">
      <c r="A39" s="695"/>
      <c r="B39" s="696"/>
      <c r="C39" s="696"/>
      <c r="D39" s="697"/>
      <c r="E39" s="696"/>
      <c r="F39" s="698"/>
    </row>
    <row r="40" spans="1:7" ht="18" hidden="1" customHeight="1">
      <c r="A40" s="676"/>
      <c r="B40" s="677"/>
      <c r="C40" s="677"/>
      <c r="D40" s="681"/>
      <c r="E40" s="677"/>
      <c r="F40" s="699"/>
    </row>
    <row r="41" spans="1:7" ht="12.75" hidden="1" customHeight="1">
      <c r="A41" s="676"/>
      <c r="B41" s="677"/>
      <c r="C41" s="677"/>
      <c r="D41" s="681"/>
      <c r="E41" s="677"/>
      <c r="F41" s="699"/>
    </row>
    <row r="42" spans="1:7" hidden="1">
      <c r="A42" s="676"/>
      <c r="B42" s="677"/>
      <c r="C42" s="677"/>
      <c r="D42" s="681"/>
      <c r="E42" s="677"/>
      <c r="F42" s="699"/>
    </row>
    <row r="43" spans="1:7" hidden="1">
      <c r="A43" s="676"/>
      <c r="B43" s="677"/>
      <c r="C43" s="677"/>
      <c r="D43" s="681"/>
      <c r="E43" s="677"/>
      <c r="F43" s="699"/>
    </row>
    <row r="44" spans="1:7" hidden="1">
      <c r="A44" s="676"/>
      <c r="B44" s="677"/>
      <c r="C44" s="677"/>
      <c r="D44" s="681"/>
      <c r="E44" s="677"/>
      <c r="F44" s="699"/>
    </row>
    <row r="45" spans="1:7" ht="13.5" hidden="1" thickBot="1">
      <c r="A45" s="684"/>
      <c r="B45" s="685"/>
      <c r="C45" s="685"/>
      <c r="D45" s="700"/>
      <c r="E45" s="685"/>
      <c r="F45" s="701"/>
    </row>
    <row r="50" spans="1:7">
      <c r="B50" s="668" t="s">
        <v>769</v>
      </c>
      <c r="C50" s="1313">
        <v>2012</v>
      </c>
      <c r="D50" s="1313"/>
      <c r="E50" s="669"/>
    </row>
    <row r="51" spans="1:7">
      <c r="C51" s="668"/>
      <c r="D51" s="670"/>
      <c r="E51" s="670"/>
    </row>
    <row r="52" spans="1:7" ht="15.75">
      <c r="A52" s="1314" t="s">
        <v>770</v>
      </c>
      <c r="B52" s="1314"/>
      <c r="C52" s="1314"/>
      <c r="D52" s="1314"/>
      <c r="E52" s="1314"/>
      <c r="F52" s="1314"/>
      <c r="G52" s="1314"/>
    </row>
    <row r="53" spans="1:7" ht="13.5" thickBot="1">
      <c r="D53" s="450"/>
      <c r="E53" s="450"/>
    </row>
    <row r="54" spans="1:7">
      <c r="A54" s="1315" t="s">
        <v>771</v>
      </c>
      <c r="B54" s="1316"/>
      <c r="C54" s="1317" t="s">
        <v>772</v>
      </c>
      <c r="D54" s="1317" t="s">
        <v>773</v>
      </c>
      <c r="E54" s="671"/>
      <c r="F54" s="1320" t="s">
        <v>774</v>
      </c>
      <c r="G54" s="1322" t="s">
        <v>775</v>
      </c>
    </row>
    <row r="55" spans="1:7">
      <c r="A55" s="1324" t="s">
        <v>776</v>
      </c>
      <c r="B55" s="1326" t="s">
        <v>777</v>
      </c>
      <c r="C55" s="1318"/>
      <c r="D55" s="1318"/>
      <c r="E55" s="672" t="s">
        <v>778</v>
      </c>
      <c r="F55" s="1321"/>
      <c r="G55" s="1323"/>
    </row>
    <row r="56" spans="1:7">
      <c r="A56" s="1325"/>
      <c r="B56" s="1327"/>
      <c r="C56" s="1319"/>
      <c r="D56" s="1319"/>
      <c r="E56" s="673"/>
      <c r="F56" s="674" t="s">
        <v>779</v>
      </c>
      <c r="G56" s="675" t="s">
        <v>779</v>
      </c>
    </row>
    <row r="57" spans="1:7" ht="25.5">
      <c r="A57" s="676" t="s">
        <v>780</v>
      </c>
      <c r="B57" s="677" t="s">
        <v>781</v>
      </c>
      <c r="C57" s="678" t="s">
        <v>782</v>
      </c>
      <c r="D57" s="679" t="s">
        <v>783</v>
      </c>
      <c r="E57" s="680">
        <f>+F57/G57</f>
        <v>0.80515669500272913</v>
      </c>
      <c r="F57" s="344">
        <v>446961</v>
      </c>
      <c r="G57" s="382">
        <v>555123</v>
      </c>
    </row>
    <row r="58" spans="1:7" ht="25.5">
      <c r="A58" s="676" t="s">
        <v>780</v>
      </c>
      <c r="B58" s="677" t="s">
        <v>781</v>
      </c>
      <c r="C58" s="678" t="s">
        <v>784</v>
      </c>
      <c r="D58" s="679" t="s">
        <v>783</v>
      </c>
      <c r="E58" s="680">
        <f t="shared" ref="E58:E67" si="1">+F58/G58</f>
        <v>0.76698672951785618</v>
      </c>
      <c r="F58" s="344">
        <v>748464</v>
      </c>
      <c r="G58" s="382">
        <v>975850</v>
      </c>
    </row>
    <row r="59" spans="1:7">
      <c r="A59" s="676" t="s">
        <v>780</v>
      </c>
      <c r="B59" s="677" t="s">
        <v>781</v>
      </c>
      <c r="C59" s="678" t="s">
        <v>785</v>
      </c>
      <c r="D59" s="681" t="s">
        <v>786</v>
      </c>
      <c r="E59" s="680">
        <f t="shared" si="1"/>
        <v>0.90968412302576895</v>
      </c>
      <c r="F59" s="344">
        <v>306418</v>
      </c>
      <c r="G59" s="382">
        <v>336840</v>
      </c>
    </row>
    <row r="60" spans="1:7" ht="38.25">
      <c r="A60" s="676" t="s">
        <v>780</v>
      </c>
      <c r="B60" s="677" t="s">
        <v>781</v>
      </c>
      <c r="C60" s="678" t="s">
        <v>787</v>
      </c>
      <c r="D60" s="679" t="s">
        <v>788</v>
      </c>
      <c r="E60" s="680">
        <f t="shared" si="1"/>
        <v>1</v>
      </c>
      <c r="F60" s="344">
        <v>153391</v>
      </c>
      <c r="G60" s="382">
        <v>153391</v>
      </c>
    </row>
    <row r="61" spans="1:7" ht="38.25">
      <c r="A61" s="676" t="s">
        <v>780</v>
      </c>
      <c r="B61" s="677" t="s">
        <v>781</v>
      </c>
      <c r="C61" s="678" t="s">
        <v>789</v>
      </c>
      <c r="D61" s="679" t="s">
        <v>790</v>
      </c>
      <c r="E61" s="680">
        <f t="shared" si="1"/>
        <v>0.86572278696925886</v>
      </c>
      <c r="F61" s="344">
        <v>226364</v>
      </c>
      <c r="G61" s="382">
        <v>261474</v>
      </c>
    </row>
    <row r="62" spans="1:7" ht="25.5">
      <c r="A62" s="676" t="s">
        <v>780</v>
      </c>
      <c r="B62" s="677" t="s">
        <v>781</v>
      </c>
      <c r="C62" s="678" t="s">
        <v>791</v>
      </c>
      <c r="D62" s="679" t="s">
        <v>783</v>
      </c>
      <c r="E62" s="680">
        <f t="shared" si="1"/>
        <v>0.61945166148009756</v>
      </c>
      <c r="F62" s="344">
        <v>1864481.5274152241</v>
      </c>
      <c r="G62" s="382">
        <v>3009890.2680481845</v>
      </c>
    </row>
    <row r="63" spans="1:7">
      <c r="A63" s="676" t="s">
        <v>780</v>
      </c>
      <c r="B63" s="677" t="s">
        <v>781</v>
      </c>
      <c r="C63" s="678" t="s">
        <v>792</v>
      </c>
      <c r="D63" s="681" t="s">
        <v>793</v>
      </c>
      <c r="E63" s="680">
        <f t="shared" si="1"/>
        <v>0.80337667595149331</v>
      </c>
      <c r="F63" s="344">
        <v>531845</v>
      </c>
      <c r="G63" s="382">
        <v>662012</v>
      </c>
    </row>
    <row r="64" spans="1:7" ht="51">
      <c r="A64" s="676" t="s">
        <v>780</v>
      </c>
      <c r="B64" s="677" t="s">
        <v>781</v>
      </c>
      <c r="C64" s="678" t="s">
        <v>794</v>
      </c>
      <c r="D64" s="679" t="s">
        <v>795</v>
      </c>
      <c r="E64" s="680">
        <f t="shared" si="1"/>
        <v>0.40576832413544467</v>
      </c>
      <c r="F64" s="682">
        <v>438948</v>
      </c>
      <c r="G64" s="382">
        <v>1081770</v>
      </c>
    </row>
    <row r="65" spans="1:7">
      <c r="A65" s="676" t="s">
        <v>780</v>
      </c>
      <c r="B65" s="677" t="s">
        <v>781</v>
      </c>
      <c r="C65" s="678" t="s">
        <v>797</v>
      </c>
      <c r="D65" s="679" t="s">
        <v>798</v>
      </c>
      <c r="E65" s="680">
        <f t="shared" si="1"/>
        <v>0</v>
      </c>
      <c r="F65" s="682"/>
      <c r="G65" s="382">
        <v>37923</v>
      </c>
    </row>
    <row r="66" spans="1:7" ht="38.25">
      <c r="A66" s="676" t="s">
        <v>781</v>
      </c>
      <c r="B66" s="677" t="s">
        <v>799</v>
      </c>
      <c r="C66" s="678" t="s">
        <v>800</v>
      </c>
      <c r="D66" s="679" t="s">
        <v>801</v>
      </c>
      <c r="E66" s="680">
        <f t="shared" si="1"/>
        <v>0.89604750374577935</v>
      </c>
      <c r="F66" s="344">
        <f>+G66-161724.2</f>
        <v>1394026.8</v>
      </c>
      <c r="G66" s="382">
        <v>1555751</v>
      </c>
    </row>
    <row r="67" spans="1:7" ht="25.5">
      <c r="A67" s="676" t="s">
        <v>781</v>
      </c>
      <c r="B67" s="677" t="s">
        <v>799</v>
      </c>
      <c r="C67" s="678" t="s">
        <v>802</v>
      </c>
      <c r="D67" s="683" t="s">
        <v>803</v>
      </c>
      <c r="E67" s="680">
        <f t="shared" si="1"/>
        <v>1</v>
      </c>
      <c r="F67" s="344">
        <v>575212</v>
      </c>
      <c r="G67" s="382">
        <v>575212</v>
      </c>
    </row>
    <row r="68" spans="1:7" ht="25.5">
      <c r="A68" s="676" t="s">
        <v>781</v>
      </c>
      <c r="B68" s="677" t="s">
        <v>799</v>
      </c>
      <c r="C68" s="678" t="s">
        <v>804</v>
      </c>
      <c r="D68" s="679" t="s">
        <v>805</v>
      </c>
      <c r="E68" s="680">
        <f>+F68/G68</f>
        <v>0.66597150959427098</v>
      </c>
      <c r="F68" s="344">
        <v>60355</v>
      </c>
      <c r="G68" s="382">
        <v>90627</v>
      </c>
    </row>
    <row r="69" spans="1:7" ht="64.5" thickBot="1">
      <c r="A69" s="684" t="s">
        <v>781</v>
      </c>
      <c r="B69" s="685" t="s">
        <v>799</v>
      </c>
      <c r="C69" s="686" t="s">
        <v>804</v>
      </c>
      <c r="D69" s="693" t="s">
        <v>815</v>
      </c>
      <c r="E69" s="688"/>
      <c r="F69" s="689" t="s">
        <v>816</v>
      </c>
      <c r="G69" s="690">
        <v>648289</v>
      </c>
    </row>
    <row r="70" spans="1:7">
      <c r="D70" s="450"/>
      <c r="E70" s="450"/>
    </row>
    <row r="71" spans="1:7" ht="15.75">
      <c r="A71" s="1314" t="s">
        <v>808</v>
      </c>
      <c r="B71" s="1314"/>
      <c r="C71" s="1314"/>
      <c r="D71" s="1314"/>
      <c r="E71" s="1314"/>
      <c r="F71" s="1314"/>
      <c r="G71" s="1314"/>
    </row>
    <row r="72" spans="1:7" ht="13.5" thickBot="1">
      <c r="D72" s="450"/>
      <c r="E72" s="450"/>
    </row>
    <row r="73" spans="1:7">
      <c r="A73" s="1315" t="s">
        <v>771</v>
      </c>
      <c r="B73" s="1316"/>
      <c r="C73" s="1328" t="s">
        <v>772</v>
      </c>
      <c r="D73" s="1328" t="s">
        <v>773</v>
      </c>
      <c r="E73" s="1320" t="s">
        <v>809</v>
      </c>
      <c r="F73" s="1322" t="s">
        <v>810</v>
      </c>
    </row>
    <row r="74" spans="1:7">
      <c r="A74" s="1331" t="s">
        <v>776</v>
      </c>
      <c r="B74" s="1333" t="s">
        <v>777</v>
      </c>
      <c r="C74" s="1329"/>
      <c r="D74" s="1329"/>
      <c r="E74" s="1321"/>
      <c r="F74" s="1323"/>
    </row>
    <row r="75" spans="1:7">
      <c r="A75" s="1332"/>
      <c r="B75" s="1334"/>
      <c r="C75" s="1330"/>
      <c r="D75" s="1330"/>
      <c r="E75" s="674" t="s">
        <v>811</v>
      </c>
      <c r="F75" s="675" t="s">
        <v>779</v>
      </c>
    </row>
    <row r="76" spans="1:7" ht="39" thickBot="1">
      <c r="A76" s="691" t="s">
        <v>812</v>
      </c>
      <c r="B76" s="692" t="s">
        <v>781</v>
      </c>
      <c r="C76" s="685" t="s">
        <v>813</v>
      </c>
      <c r="D76" s="693" t="s">
        <v>814</v>
      </c>
      <c r="E76" s="694">
        <v>0.5</v>
      </c>
      <c r="F76" s="690">
        <v>44200</v>
      </c>
    </row>
    <row r="77" spans="1:7" hidden="1">
      <c r="A77" s="695"/>
      <c r="B77" s="696"/>
      <c r="C77" s="696"/>
      <c r="D77" s="697"/>
      <c r="E77" s="696"/>
      <c r="F77" s="698"/>
    </row>
    <row r="78" spans="1:7" hidden="1">
      <c r="A78" s="676"/>
      <c r="B78" s="677"/>
      <c r="C78" s="677"/>
      <c r="D78" s="681"/>
      <c r="E78" s="677"/>
      <c r="F78" s="699"/>
    </row>
    <row r="79" spans="1:7" hidden="1">
      <c r="A79" s="676"/>
      <c r="B79" s="677"/>
      <c r="C79" s="677"/>
      <c r="D79" s="681"/>
      <c r="E79" s="677"/>
      <c r="F79" s="699"/>
    </row>
    <row r="80" spans="1:7" hidden="1">
      <c r="A80" s="676"/>
      <c r="B80" s="677"/>
      <c r="C80" s="677"/>
      <c r="D80" s="681"/>
      <c r="E80" s="677"/>
      <c r="F80" s="699"/>
    </row>
    <row r="81" spans="1:7" hidden="1">
      <c r="A81" s="676"/>
      <c r="B81" s="677"/>
      <c r="C81" s="677"/>
      <c r="D81" s="681"/>
      <c r="E81" s="677"/>
      <c r="F81" s="699"/>
    </row>
    <row r="82" spans="1:7" hidden="1">
      <c r="A82" s="676"/>
      <c r="B82" s="677"/>
      <c r="C82" s="677"/>
      <c r="D82" s="681"/>
      <c r="E82" s="677"/>
      <c r="F82" s="699"/>
    </row>
    <row r="83" spans="1:7" ht="13.5" hidden="1" thickBot="1">
      <c r="A83" s="684"/>
      <c r="B83" s="685"/>
      <c r="C83" s="685"/>
      <c r="D83" s="700"/>
      <c r="E83" s="685"/>
      <c r="F83" s="701"/>
    </row>
    <row r="86" spans="1:7">
      <c r="B86" s="668" t="s">
        <v>769</v>
      </c>
      <c r="C86" s="1313">
        <v>2011</v>
      </c>
      <c r="D86" s="1313"/>
      <c r="E86" s="669"/>
    </row>
    <row r="87" spans="1:7">
      <c r="C87" s="668"/>
      <c r="D87" s="670"/>
      <c r="E87" s="670"/>
    </row>
    <row r="88" spans="1:7" ht="15.75">
      <c r="A88" s="1314" t="s">
        <v>770</v>
      </c>
      <c r="B88" s="1314"/>
      <c r="C88" s="1314"/>
      <c r="D88" s="1314"/>
      <c r="E88" s="1314"/>
      <c r="F88" s="1314"/>
      <c r="G88" s="1314"/>
    </row>
    <row r="89" spans="1:7" ht="13.5" thickBot="1">
      <c r="D89" s="450"/>
      <c r="E89" s="450"/>
    </row>
    <row r="90" spans="1:7">
      <c r="A90" s="1315" t="s">
        <v>771</v>
      </c>
      <c r="B90" s="1316"/>
      <c r="C90" s="1317" t="s">
        <v>772</v>
      </c>
      <c r="D90" s="1317" t="s">
        <v>773</v>
      </c>
      <c r="E90" s="671"/>
      <c r="F90" s="1320" t="s">
        <v>774</v>
      </c>
      <c r="G90" s="1322" t="s">
        <v>775</v>
      </c>
    </row>
    <row r="91" spans="1:7">
      <c r="A91" s="1324" t="s">
        <v>776</v>
      </c>
      <c r="B91" s="1326" t="s">
        <v>777</v>
      </c>
      <c r="C91" s="1318"/>
      <c r="D91" s="1318"/>
      <c r="E91" s="672" t="s">
        <v>778</v>
      </c>
      <c r="F91" s="1321"/>
      <c r="G91" s="1323"/>
    </row>
    <row r="92" spans="1:7">
      <c r="A92" s="1325"/>
      <c r="B92" s="1327"/>
      <c r="C92" s="1319"/>
      <c r="D92" s="1319"/>
      <c r="E92" s="673"/>
      <c r="F92" s="674" t="s">
        <v>779</v>
      </c>
      <c r="G92" s="675" t="s">
        <v>779</v>
      </c>
    </row>
    <row r="93" spans="1:7">
      <c r="A93" s="676" t="s">
        <v>780</v>
      </c>
      <c r="B93" s="677" t="s">
        <v>781</v>
      </c>
      <c r="C93" s="677" t="s">
        <v>782</v>
      </c>
      <c r="D93" s="679" t="s">
        <v>817</v>
      </c>
      <c r="E93" s="680">
        <f>+F93/G93</f>
        <v>0.96603904637602034</v>
      </c>
      <c r="F93" s="344">
        <v>602422.44199999992</v>
      </c>
      <c r="G93" s="382">
        <v>623600.51</v>
      </c>
    </row>
    <row r="94" spans="1:7">
      <c r="A94" s="676" t="s">
        <v>780</v>
      </c>
      <c r="B94" s="677" t="s">
        <v>781</v>
      </c>
      <c r="C94" s="677" t="s">
        <v>784</v>
      </c>
      <c r="D94" s="679" t="s">
        <v>817</v>
      </c>
      <c r="E94" s="680">
        <f t="shared" ref="E94:E103" si="2">+F94/G94</f>
        <v>0.91036919391421156</v>
      </c>
      <c r="F94" s="344">
        <v>566725.26100000006</v>
      </c>
      <c r="G94" s="382">
        <v>622522.44999999995</v>
      </c>
    </row>
    <row r="95" spans="1:7">
      <c r="A95" s="676" t="s">
        <v>780</v>
      </c>
      <c r="B95" s="677" t="s">
        <v>781</v>
      </c>
      <c r="C95" s="677" t="s">
        <v>785</v>
      </c>
      <c r="D95" s="679" t="s">
        <v>817</v>
      </c>
      <c r="E95" s="680">
        <f t="shared" si="2"/>
        <v>0.89795548322876706</v>
      </c>
      <c r="F95" s="344">
        <v>228275.14500000002</v>
      </c>
      <c r="G95" s="382">
        <v>254216.55</v>
      </c>
    </row>
    <row r="96" spans="1:7">
      <c r="A96" s="676" t="s">
        <v>780</v>
      </c>
      <c r="B96" s="677" t="s">
        <v>781</v>
      </c>
      <c r="C96" s="677" t="s">
        <v>787</v>
      </c>
      <c r="D96" s="679" t="s">
        <v>818</v>
      </c>
      <c r="E96" s="680"/>
      <c r="F96" s="344">
        <v>0</v>
      </c>
      <c r="G96" s="382">
        <v>0</v>
      </c>
    </row>
    <row r="97" spans="1:7">
      <c r="A97" s="676" t="s">
        <v>780</v>
      </c>
      <c r="B97" s="677" t="s">
        <v>781</v>
      </c>
      <c r="C97" s="677" t="s">
        <v>789</v>
      </c>
      <c r="D97" s="679" t="s">
        <v>817</v>
      </c>
      <c r="E97" s="680">
        <f t="shared" si="2"/>
        <v>0.92000000000000015</v>
      </c>
      <c r="F97" s="344">
        <v>234617.84800000003</v>
      </c>
      <c r="G97" s="382">
        <v>255019.4</v>
      </c>
    </row>
    <row r="98" spans="1:7">
      <c r="A98" s="676" t="s">
        <v>780</v>
      </c>
      <c r="B98" s="677" t="s">
        <v>781</v>
      </c>
      <c r="C98" s="677" t="s">
        <v>791</v>
      </c>
      <c r="D98" s="679" t="s">
        <v>817</v>
      </c>
      <c r="E98" s="680">
        <f t="shared" si="2"/>
        <v>0.70705482450752155</v>
      </c>
      <c r="F98" s="344">
        <v>2141578.7442500005</v>
      </c>
      <c r="G98" s="382">
        <v>3028872.2600000002</v>
      </c>
    </row>
    <row r="99" spans="1:7">
      <c r="A99" s="676" t="s">
        <v>780</v>
      </c>
      <c r="B99" s="677" t="s">
        <v>781</v>
      </c>
      <c r="C99" s="677" t="s">
        <v>792</v>
      </c>
      <c r="D99" s="681" t="s">
        <v>793</v>
      </c>
      <c r="E99" s="680">
        <f t="shared" si="2"/>
        <v>0.97241131984103124</v>
      </c>
      <c r="F99" s="344">
        <v>345989.15</v>
      </c>
      <c r="G99" s="382">
        <v>355805.35</v>
      </c>
    </row>
    <row r="100" spans="1:7">
      <c r="A100" s="676" t="s">
        <v>780</v>
      </c>
      <c r="B100" s="677" t="s">
        <v>781</v>
      </c>
      <c r="C100" s="677" t="s">
        <v>794</v>
      </c>
      <c r="D100" s="679" t="s">
        <v>817</v>
      </c>
      <c r="E100" s="680">
        <f t="shared" si="2"/>
        <v>0.94412099949146777</v>
      </c>
      <c r="F100" s="682">
        <v>507583.43000000005</v>
      </c>
      <c r="G100" s="382">
        <v>537625.39999999991</v>
      </c>
    </row>
    <row r="101" spans="1:7" ht="15">
      <c r="A101" s="676" t="s">
        <v>780</v>
      </c>
      <c r="B101" s="677" t="s">
        <v>781</v>
      </c>
      <c r="C101" s="677" t="s">
        <v>797</v>
      </c>
      <c r="D101" s="679" t="s">
        <v>798</v>
      </c>
      <c r="E101" s="680"/>
      <c r="F101" s="682">
        <v>0</v>
      </c>
      <c r="G101" s="702">
        <v>26513.97</v>
      </c>
    </row>
    <row r="102" spans="1:7" ht="38.25">
      <c r="A102" s="676" t="s">
        <v>781</v>
      </c>
      <c r="B102" s="677" t="s">
        <v>799</v>
      </c>
      <c r="C102" s="677" t="s">
        <v>800</v>
      </c>
      <c r="D102" s="679" t="s">
        <v>801</v>
      </c>
      <c r="E102" s="680">
        <f t="shared" si="2"/>
        <v>0.90851846696873084</v>
      </c>
      <c r="F102" s="344">
        <f>1052584.47+118308.02-107115.04</f>
        <v>1063777.45</v>
      </c>
      <c r="G102" s="382">
        <v>1170892.49</v>
      </c>
    </row>
    <row r="103" spans="1:7" ht="26.25" thickBot="1">
      <c r="A103" s="684" t="s">
        <v>781</v>
      </c>
      <c r="B103" s="685" t="s">
        <v>799</v>
      </c>
      <c r="C103" s="686" t="s">
        <v>804</v>
      </c>
      <c r="D103" s="700"/>
      <c r="E103" s="688">
        <f t="shared" si="2"/>
        <v>7.9999990165696602E-2</v>
      </c>
      <c r="F103" s="689">
        <v>55316.57</v>
      </c>
      <c r="G103" s="690">
        <v>691457.20999999985</v>
      </c>
    </row>
    <row r="104" spans="1:7">
      <c r="D104" s="450"/>
      <c r="E104" s="450"/>
    </row>
    <row r="105" spans="1:7" ht="15.75">
      <c r="A105" s="1314" t="s">
        <v>808</v>
      </c>
      <c r="B105" s="1314"/>
      <c r="C105" s="1314"/>
      <c r="D105" s="1314"/>
      <c r="E105" s="1314"/>
      <c r="F105" s="1314"/>
      <c r="G105" s="1314"/>
    </row>
    <row r="106" spans="1:7" ht="13.5" thickBot="1">
      <c r="D106" s="450"/>
      <c r="E106" s="450"/>
    </row>
    <row r="107" spans="1:7">
      <c r="A107" s="1315" t="s">
        <v>771</v>
      </c>
      <c r="B107" s="1316"/>
      <c r="C107" s="1328" t="s">
        <v>772</v>
      </c>
      <c r="D107" s="1328" t="s">
        <v>773</v>
      </c>
      <c r="E107" s="1320" t="s">
        <v>809</v>
      </c>
      <c r="F107" s="1322" t="s">
        <v>810</v>
      </c>
    </row>
    <row r="108" spans="1:7">
      <c r="A108" s="1331" t="s">
        <v>776</v>
      </c>
      <c r="B108" s="1333" t="s">
        <v>777</v>
      </c>
      <c r="C108" s="1329"/>
      <c r="D108" s="1329"/>
      <c r="E108" s="1321"/>
      <c r="F108" s="1323"/>
    </row>
    <row r="109" spans="1:7">
      <c r="A109" s="1332"/>
      <c r="B109" s="1334"/>
      <c r="C109" s="1330"/>
      <c r="D109" s="1330"/>
      <c r="E109" s="674" t="s">
        <v>811</v>
      </c>
      <c r="F109" s="675" t="s">
        <v>779</v>
      </c>
    </row>
    <row r="110" spans="1:7" ht="13.5" thickBot="1">
      <c r="A110" s="691" t="s">
        <v>812</v>
      </c>
      <c r="B110" s="692" t="s">
        <v>781</v>
      </c>
      <c r="C110" s="685" t="s">
        <v>813</v>
      </c>
      <c r="D110" s="693" t="s">
        <v>817</v>
      </c>
      <c r="E110" s="694">
        <v>0.86368960581860899</v>
      </c>
      <c r="F110" s="690">
        <v>56343.836500000005</v>
      </c>
    </row>
    <row r="111" spans="1:7" hidden="1">
      <c r="A111" s="695"/>
      <c r="B111" s="696"/>
      <c r="C111" s="696"/>
      <c r="D111" s="697"/>
      <c r="E111" s="696"/>
      <c r="F111" s="698"/>
    </row>
    <row r="112" spans="1:7" hidden="1">
      <c r="A112" s="676"/>
      <c r="B112" s="677"/>
      <c r="C112" s="677"/>
      <c r="D112" s="681"/>
      <c r="E112" s="677"/>
      <c r="F112" s="699"/>
    </row>
    <row r="113" spans="1:7" hidden="1">
      <c r="A113" s="676"/>
      <c r="B113" s="677"/>
      <c r="C113" s="677"/>
      <c r="D113" s="681"/>
      <c r="E113" s="677"/>
      <c r="F113" s="699"/>
    </row>
    <row r="114" spans="1:7" hidden="1">
      <c r="A114" s="676"/>
      <c r="B114" s="677"/>
      <c r="C114" s="677"/>
      <c r="D114" s="681"/>
      <c r="E114" s="677"/>
      <c r="F114" s="699"/>
    </row>
    <row r="115" spans="1:7" hidden="1">
      <c r="A115" s="676"/>
      <c r="B115" s="677"/>
      <c r="C115" s="677"/>
      <c r="D115" s="681"/>
      <c r="E115" s="677"/>
      <c r="F115" s="699"/>
    </row>
    <row r="116" spans="1:7" hidden="1">
      <c r="A116" s="676"/>
      <c r="B116" s="677"/>
      <c r="C116" s="677"/>
      <c r="D116" s="681"/>
      <c r="E116" s="677"/>
      <c r="F116" s="699"/>
    </row>
    <row r="117" spans="1:7" ht="13.5" hidden="1" thickBot="1">
      <c r="A117" s="684"/>
      <c r="B117" s="685"/>
      <c r="C117" s="685"/>
      <c r="D117" s="700"/>
      <c r="E117" s="685"/>
      <c r="F117" s="701"/>
    </row>
    <row r="122" spans="1:7">
      <c r="B122" s="668" t="s">
        <v>769</v>
      </c>
      <c r="C122" s="1313">
        <v>2010</v>
      </c>
      <c r="D122" s="1313"/>
      <c r="E122" s="669"/>
    </row>
    <row r="123" spans="1:7">
      <c r="C123" s="668"/>
      <c r="D123" s="670"/>
      <c r="E123" s="670"/>
    </row>
    <row r="124" spans="1:7" ht="15.75">
      <c r="A124" s="1314" t="s">
        <v>770</v>
      </c>
      <c r="B124" s="1314"/>
      <c r="C124" s="1314"/>
      <c r="D124" s="1314"/>
      <c r="E124" s="1314"/>
      <c r="F124" s="1314"/>
      <c r="G124" s="1314"/>
    </row>
    <row r="125" spans="1:7" ht="13.5" thickBot="1">
      <c r="D125" s="450"/>
      <c r="E125" s="450"/>
    </row>
    <row r="126" spans="1:7">
      <c r="A126" s="1315" t="s">
        <v>771</v>
      </c>
      <c r="B126" s="1316"/>
      <c r="C126" s="1317" t="s">
        <v>772</v>
      </c>
      <c r="D126" s="1317" t="s">
        <v>773</v>
      </c>
      <c r="E126" s="671"/>
      <c r="F126" s="1320" t="s">
        <v>774</v>
      </c>
      <c r="G126" s="1322" t="s">
        <v>775</v>
      </c>
    </row>
    <row r="127" spans="1:7">
      <c r="A127" s="1324" t="s">
        <v>776</v>
      </c>
      <c r="B127" s="1326" t="s">
        <v>777</v>
      </c>
      <c r="C127" s="1318"/>
      <c r="D127" s="1318"/>
      <c r="E127" s="672" t="s">
        <v>778</v>
      </c>
      <c r="F127" s="1321"/>
      <c r="G127" s="1323"/>
    </row>
    <row r="128" spans="1:7">
      <c r="A128" s="1325"/>
      <c r="B128" s="1327"/>
      <c r="C128" s="1319"/>
      <c r="D128" s="1319"/>
      <c r="E128" s="673"/>
      <c r="F128" s="674" t="s">
        <v>779</v>
      </c>
      <c r="G128" s="675" t="s">
        <v>779</v>
      </c>
    </row>
    <row r="129" spans="1:7">
      <c r="A129" s="676" t="s">
        <v>780</v>
      </c>
      <c r="B129" s="677" t="s">
        <v>781</v>
      </c>
      <c r="C129" s="678" t="s">
        <v>782</v>
      </c>
      <c r="D129" s="679" t="s">
        <v>817</v>
      </c>
      <c r="E129" s="680">
        <f>+F129/G129</f>
        <v>0.9074236819065794</v>
      </c>
      <c r="F129" s="344">
        <v>415062.18000000005</v>
      </c>
      <c r="G129" s="382">
        <v>457407.26</v>
      </c>
    </row>
    <row r="130" spans="1:7">
      <c r="A130" s="676" t="s">
        <v>780</v>
      </c>
      <c r="B130" s="677" t="s">
        <v>781</v>
      </c>
      <c r="C130" s="678" t="s">
        <v>784</v>
      </c>
      <c r="D130" s="679" t="s">
        <v>817</v>
      </c>
      <c r="E130" s="680">
        <f t="shared" ref="E130:E139" si="3">+F130/G130</f>
        <v>0.91620103563820021</v>
      </c>
      <c r="F130" s="344">
        <v>521530.59060000005</v>
      </c>
      <c r="G130" s="382">
        <v>569231.61</v>
      </c>
    </row>
    <row r="131" spans="1:7">
      <c r="A131" s="676" t="s">
        <v>780</v>
      </c>
      <c r="B131" s="677" t="s">
        <v>781</v>
      </c>
      <c r="C131" s="678" t="s">
        <v>785</v>
      </c>
      <c r="D131" s="679" t="s">
        <v>817</v>
      </c>
      <c r="E131" s="680">
        <f t="shared" si="3"/>
        <v>0.89854140993299836</v>
      </c>
      <c r="F131" s="344">
        <v>201812.81400000001</v>
      </c>
      <c r="G131" s="382">
        <v>224600.46000000002</v>
      </c>
    </row>
    <row r="132" spans="1:7">
      <c r="A132" s="676" t="s">
        <v>780</v>
      </c>
      <c r="B132" s="677" t="s">
        <v>781</v>
      </c>
      <c r="C132" s="678" t="s">
        <v>787</v>
      </c>
      <c r="D132" s="679" t="s">
        <v>818</v>
      </c>
      <c r="E132" s="680"/>
      <c r="F132" s="344">
        <v>0</v>
      </c>
      <c r="G132" s="382">
        <v>0</v>
      </c>
    </row>
    <row r="133" spans="1:7">
      <c r="A133" s="676" t="s">
        <v>780</v>
      </c>
      <c r="B133" s="677" t="s">
        <v>781</v>
      </c>
      <c r="C133" s="678" t="s">
        <v>789</v>
      </c>
      <c r="D133" s="679" t="s">
        <v>817</v>
      </c>
      <c r="E133" s="680">
        <f t="shared" si="3"/>
        <v>0.91999999999999993</v>
      </c>
      <c r="F133" s="344">
        <v>230929.16320000001</v>
      </c>
      <c r="G133" s="382">
        <v>251009.96000000002</v>
      </c>
    </row>
    <row r="134" spans="1:7">
      <c r="A134" s="676" t="s">
        <v>780</v>
      </c>
      <c r="B134" s="677" t="s">
        <v>781</v>
      </c>
      <c r="C134" s="678" t="s">
        <v>791</v>
      </c>
      <c r="D134" s="679" t="s">
        <v>817</v>
      </c>
      <c r="E134" s="680">
        <f t="shared" si="3"/>
        <v>0.71362039836225943</v>
      </c>
      <c r="F134" s="344">
        <v>2050662.1029499997</v>
      </c>
      <c r="G134" s="382">
        <v>2873603.540000001</v>
      </c>
    </row>
    <row r="135" spans="1:7">
      <c r="A135" s="676" t="s">
        <v>780</v>
      </c>
      <c r="B135" s="677" t="s">
        <v>781</v>
      </c>
      <c r="C135" s="678" t="s">
        <v>792</v>
      </c>
      <c r="D135" s="681" t="s">
        <v>793</v>
      </c>
      <c r="E135" s="680">
        <f t="shared" si="3"/>
        <v>0.95903416327501911</v>
      </c>
      <c r="F135" s="344">
        <v>328693.73</v>
      </c>
      <c r="G135" s="382">
        <v>342734.12</v>
      </c>
    </row>
    <row r="136" spans="1:7">
      <c r="A136" s="676" t="s">
        <v>780</v>
      </c>
      <c r="B136" s="677" t="s">
        <v>781</v>
      </c>
      <c r="C136" s="678" t="s">
        <v>794</v>
      </c>
      <c r="D136" s="679" t="s">
        <v>817</v>
      </c>
      <c r="E136" s="680">
        <f t="shared" si="3"/>
        <v>0.94277873274166168</v>
      </c>
      <c r="F136" s="682">
        <v>434742.19</v>
      </c>
      <c r="G136" s="382">
        <v>461128.55000000005</v>
      </c>
    </row>
    <row r="137" spans="1:7" ht="15">
      <c r="A137" s="676" t="s">
        <v>780</v>
      </c>
      <c r="B137" s="677" t="s">
        <v>781</v>
      </c>
      <c r="C137" s="678" t="s">
        <v>797</v>
      </c>
      <c r="D137" s="679" t="s">
        <v>798</v>
      </c>
      <c r="E137" s="680"/>
      <c r="F137" s="682">
        <v>0</v>
      </c>
      <c r="G137" s="703">
        <v>30437.31</v>
      </c>
    </row>
    <row r="138" spans="1:7" ht="38.25">
      <c r="A138" s="676" t="s">
        <v>781</v>
      </c>
      <c r="B138" s="677" t="s">
        <v>799</v>
      </c>
      <c r="C138" s="678" t="s">
        <v>800</v>
      </c>
      <c r="D138" s="679" t="s">
        <v>801</v>
      </c>
      <c r="E138" s="680">
        <f t="shared" si="3"/>
        <v>0.90404257647388298</v>
      </c>
      <c r="F138" s="344">
        <f>974867.08</f>
        <v>974867.08</v>
      </c>
      <c r="G138" s="382">
        <v>1078342</v>
      </c>
    </row>
    <row r="139" spans="1:7" ht="26.25" thickBot="1">
      <c r="A139" s="684" t="s">
        <v>781</v>
      </c>
      <c r="B139" s="685" t="s">
        <v>799</v>
      </c>
      <c r="C139" s="686" t="s">
        <v>804</v>
      </c>
      <c r="D139" s="693" t="s">
        <v>817</v>
      </c>
      <c r="E139" s="688">
        <f t="shared" si="3"/>
        <v>7.999998371306824E-2</v>
      </c>
      <c r="F139" s="388">
        <v>47154.36</v>
      </c>
      <c r="G139" s="690">
        <v>589429.62</v>
      </c>
    </row>
    <row r="140" spans="1:7">
      <c r="D140" s="450"/>
      <c r="E140" s="450"/>
    </row>
    <row r="141" spans="1:7" ht="15.75">
      <c r="A141" s="1314" t="s">
        <v>808</v>
      </c>
      <c r="B141" s="1314"/>
      <c r="C141" s="1314"/>
      <c r="D141" s="1314"/>
      <c r="E141" s="1314"/>
      <c r="F141" s="1314"/>
      <c r="G141" s="1314"/>
    </row>
    <row r="142" spans="1:7" ht="13.5" thickBot="1">
      <c r="D142" s="450"/>
      <c r="E142" s="450"/>
    </row>
    <row r="143" spans="1:7">
      <c r="A143" s="1315" t="s">
        <v>771</v>
      </c>
      <c r="B143" s="1316"/>
      <c r="C143" s="1328" t="s">
        <v>772</v>
      </c>
      <c r="D143" s="1328" t="s">
        <v>773</v>
      </c>
      <c r="E143" s="1320" t="s">
        <v>809</v>
      </c>
      <c r="F143" s="1322" t="s">
        <v>810</v>
      </c>
    </row>
    <row r="144" spans="1:7">
      <c r="A144" s="1331" t="s">
        <v>776</v>
      </c>
      <c r="B144" s="1333" t="s">
        <v>777</v>
      </c>
      <c r="C144" s="1329"/>
      <c r="D144" s="1329"/>
      <c r="E144" s="1321"/>
      <c r="F144" s="1323"/>
    </row>
    <row r="145" spans="1:7">
      <c r="A145" s="1332"/>
      <c r="B145" s="1334"/>
      <c r="C145" s="1330"/>
      <c r="D145" s="1330"/>
      <c r="E145" s="674" t="s">
        <v>811</v>
      </c>
      <c r="F145" s="675" t="s">
        <v>779</v>
      </c>
    </row>
    <row r="146" spans="1:7" ht="13.5" thickBot="1">
      <c r="A146" s="691" t="s">
        <v>812</v>
      </c>
      <c r="B146" s="692" t="s">
        <v>781</v>
      </c>
      <c r="C146" s="685" t="s">
        <v>813</v>
      </c>
      <c r="D146" s="693" t="s">
        <v>817</v>
      </c>
      <c r="E146" s="694">
        <v>0.85853353349301853</v>
      </c>
      <c r="F146" s="690">
        <v>63635.20949999999</v>
      </c>
    </row>
    <row r="147" spans="1:7" hidden="1">
      <c r="A147" s="695"/>
      <c r="B147" s="696"/>
      <c r="C147" s="696"/>
      <c r="D147" s="697"/>
      <c r="E147" s="696"/>
      <c r="F147" s="698"/>
    </row>
    <row r="148" spans="1:7" hidden="1">
      <c r="A148" s="676"/>
      <c r="B148" s="677"/>
      <c r="C148" s="677"/>
      <c r="D148" s="681"/>
      <c r="E148" s="677"/>
      <c r="F148" s="699"/>
    </row>
    <row r="149" spans="1:7" hidden="1">
      <c r="A149" s="676"/>
      <c r="B149" s="677"/>
      <c r="C149" s="677"/>
      <c r="D149" s="681"/>
      <c r="E149" s="677"/>
      <c r="F149" s="699"/>
    </row>
    <row r="150" spans="1:7" hidden="1">
      <c r="A150" s="676"/>
      <c r="B150" s="677"/>
      <c r="C150" s="677"/>
      <c r="D150" s="681"/>
      <c r="E150" s="677"/>
      <c r="F150" s="699"/>
    </row>
    <row r="151" spans="1:7" hidden="1">
      <c r="A151" s="676"/>
      <c r="B151" s="677"/>
      <c r="C151" s="677"/>
      <c r="D151" s="681"/>
      <c r="E151" s="677"/>
      <c r="F151" s="699"/>
    </row>
    <row r="152" spans="1:7" hidden="1">
      <c r="A152" s="676"/>
      <c r="B152" s="677"/>
      <c r="C152" s="677"/>
      <c r="D152" s="681"/>
      <c r="E152" s="677"/>
      <c r="F152" s="699"/>
    </row>
    <row r="153" spans="1:7" ht="13.5" hidden="1" thickBot="1">
      <c r="A153" s="684"/>
      <c r="B153" s="685"/>
      <c r="C153" s="685"/>
      <c r="D153" s="700"/>
      <c r="E153" s="685"/>
      <c r="F153" s="701"/>
    </row>
    <row r="158" spans="1:7">
      <c r="B158" s="668" t="s">
        <v>769</v>
      </c>
      <c r="C158" s="1313">
        <v>2009</v>
      </c>
      <c r="D158" s="1313"/>
      <c r="E158" s="669"/>
    </row>
    <row r="159" spans="1:7">
      <c r="C159" s="668"/>
      <c r="D159" s="670"/>
      <c r="E159" s="670"/>
    </row>
    <row r="160" spans="1:7" ht="15.75">
      <c r="A160" s="1314" t="s">
        <v>770</v>
      </c>
      <c r="B160" s="1314"/>
      <c r="C160" s="1314"/>
      <c r="D160" s="1314"/>
      <c r="E160" s="1314"/>
      <c r="F160" s="1314"/>
      <c r="G160" s="1314"/>
    </row>
    <row r="161" spans="1:8" ht="13.5" thickBot="1">
      <c r="D161" s="450"/>
      <c r="E161" s="450"/>
    </row>
    <row r="162" spans="1:8">
      <c r="A162" s="1315" t="s">
        <v>771</v>
      </c>
      <c r="B162" s="1316"/>
      <c r="C162" s="1317" t="s">
        <v>772</v>
      </c>
      <c r="D162" s="1317" t="s">
        <v>773</v>
      </c>
      <c r="E162" s="1317" t="s">
        <v>778</v>
      </c>
      <c r="F162" s="1320" t="s">
        <v>774</v>
      </c>
      <c r="G162" s="1322" t="s">
        <v>775</v>
      </c>
    </row>
    <row r="163" spans="1:8">
      <c r="A163" s="1324" t="s">
        <v>776</v>
      </c>
      <c r="B163" s="1326" t="s">
        <v>777</v>
      </c>
      <c r="C163" s="1318"/>
      <c r="D163" s="1318"/>
      <c r="E163" s="1318" t="s">
        <v>819</v>
      </c>
      <c r="F163" s="1321"/>
      <c r="G163" s="1323"/>
    </row>
    <row r="164" spans="1:8">
      <c r="A164" s="1325"/>
      <c r="B164" s="1327"/>
      <c r="C164" s="1319"/>
      <c r="D164" s="1319"/>
      <c r="E164" s="1319" t="s">
        <v>820</v>
      </c>
      <c r="F164" s="674" t="s">
        <v>779</v>
      </c>
      <c r="G164" s="675" t="s">
        <v>779</v>
      </c>
    </row>
    <row r="165" spans="1:8">
      <c r="A165" s="676" t="s">
        <v>780</v>
      </c>
      <c r="B165" s="677" t="s">
        <v>781</v>
      </c>
      <c r="C165" s="678" t="s">
        <v>782</v>
      </c>
      <c r="D165" s="679" t="s">
        <v>817</v>
      </c>
      <c r="E165" s="680">
        <f>+F165/G165</f>
        <v>0.99100491532219492</v>
      </c>
      <c r="F165" s="344">
        <v>844510.68400000012</v>
      </c>
      <c r="G165" s="382">
        <v>852176.08000000007</v>
      </c>
      <c r="H165" s="10"/>
    </row>
    <row r="166" spans="1:8">
      <c r="A166" s="676" t="s">
        <v>780</v>
      </c>
      <c r="B166" s="677" t="s">
        <v>781</v>
      </c>
      <c r="C166" s="678" t="s">
        <v>784</v>
      </c>
      <c r="D166" s="679" t="s">
        <v>817</v>
      </c>
      <c r="E166" s="680">
        <f>+F166/G166</f>
        <v>0.91848398032735123</v>
      </c>
      <c r="F166" s="344">
        <v>514634.73950000003</v>
      </c>
      <c r="G166" s="382">
        <v>560308.89</v>
      </c>
    </row>
    <row r="167" spans="1:8">
      <c r="A167" s="676" t="s">
        <v>780</v>
      </c>
      <c r="B167" s="677" t="s">
        <v>781</v>
      </c>
      <c r="C167" s="678" t="s">
        <v>785</v>
      </c>
      <c r="D167" s="679" t="s">
        <v>817</v>
      </c>
      <c r="E167" s="680">
        <f t="shared" ref="E167:E175" si="4">+F167/G167</f>
        <v>0.90000000000000013</v>
      </c>
      <c r="F167" s="344">
        <v>167563.78200000001</v>
      </c>
      <c r="G167" s="382">
        <v>186181.97999999998</v>
      </c>
    </row>
    <row r="168" spans="1:8">
      <c r="A168" s="676" t="s">
        <v>780</v>
      </c>
      <c r="B168" s="677" t="s">
        <v>781</v>
      </c>
      <c r="C168" s="678" t="s">
        <v>787</v>
      </c>
      <c r="D168" s="679" t="s">
        <v>818</v>
      </c>
      <c r="E168" s="680"/>
      <c r="F168" s="344"/>
      <c r="G168" s="382"/>
    </row>
    <row r="169" spans="1:8">
      <c r="A169" s="676" t="s">
        <v>780</v>
      </c>
      <c r="B169" s="677" t="s">
        <v>781</v>
      </c>
      <c r="C169" s="678" t="s">
        <v>789</v>
      </c>
      <c r="D169" s="679" t="s">
        <v>817</v>
      </c>
      <c r="E169" s="680">
        <f t="shared" si="4"/>
        <v>0.92</v>
      </c>
      <c r="F169" s="344">
        <v>185789.4828</v>
      </c>
      <c r="G169" s="382">
        <v>201945.09</v>
      </c>
    </row>
    <row r="170" spans="1:8">
      <c r="A170" s="676" t="s">
        <v>780</v>
      </c>
      <c r="B170" s="677" t="s">
        <v>781</v>
      </c>
      <c r="C170" s="678" t="s">
        <v>791</v>
      </c>
      <c r="D170" s="679" t="s">
        <v>817</v>
      </c>
      <c r="E170" s="680">
        <f t="shared" si="4"/>
        <v>0.73960308170616362</v>
      </c>
      <c r="F170" s="344">
        <v>2137255.9128500009</v>
      </c>
      <c r="G170" s="382">
        <v>2889733.6500000008</v>
      </c>
    </row>
    <row r="171" spans="1:8">
      <c r="A171" s="676" t="s">
        <v>780</v>
      </c>
      <c r="B171" s="677" t="s">
        <v>781</v>
      </c>
      <c r="C171" s="678" t="s">
        <v>792</v>
      </c>
      <c r="D171" s="681" t="s">
        <v>793</v>
      </c>
      <c r="E171" s="680">
        <f t="shared" si="4"/>
        <v>0.93416989037146192</v>
      </c>
      <c r="F171" s="344">
        <v>360010</v>
      </c>
      <c r="G171" s="382">
        <v>385379.57999999996</v>
      </c>
    </row>
    <row r="172" spans="1:8">
      <c r="A172" s="676" t="s">
        <v>780</v>
      </c>
      <c r="B172" s="677" t="s">
        <v>781</v>
      </c>
      <c r="C172" s="678" t="s">
        <v>794</v>
      </c>
      <c r="D172" s="679" t="s">
        <v>817</v>
      </c>
      <c r="E172" s="680">
        <f t="shared" si="4"/>
        <v>0.9458223581589198</v>
      </c>
      <c r="F172" s="682">
        <v>453312.45349999989</v>
      </c>
      <c r="G172" s="382">
        <v>479278.6399999999</v>
      </c>
    </row>
    <row r="173" spans="1:8" ht="15">
      <c r="A173" s="676" t="s">
        <v>780</v>
      </c>
      <c r="B173" s="677" t="s">
        <v>781</v>
      </c>
      <c r="C173" s="678" t="s">
        <v>797</v>
      </c>
      <c r="D173" s="679" t="s">
        <v>798</v>
      </c>
      <c r="E173" s="680">
        <f t="shared" si="4"/>
        <v>0</v>
      </c>
      <c r="F173" s="682"/>
      <c r="G173" s="703">
        <v>25699.68</v>
      </c>
    </row>
    <row r="174" spans="1:8" ht="38.25">
      <c r="A174" s="676" t="s">
        <v>781</v>
      </c>
      <c r="B174" s="677" t="s">
        <v>799</v>
      </c>
      <c r="C174" s="678" t="s">
        <v>800</v>
      </c>
      <c r="D174" s="679" t="s">
        <v>801</v>
      </c>
      <c r="E174" s="680">
        <f t="shared" si="4"/>
        <v>0.93746654124393292</v>
      </c>
      <c r="F174" s="344">
        <f>+G174-66573.93</f>
        <v>998039.02</v>
      </c>
      <c r="G174" s="382">
        <v>1064612.95</v>
      </c>
    </row>
    <row r="175" spans="1:8" ht="26.25" thickBot="1">
      <c r="A175" s="684" t="s">
        <v>781</v>
      </c>
      <c r="B175" s="685" t="s">
        <v>799</v>
      </c>
      <c r="C175" s="686" t="s">
        <v>804</v>
      </c>
      <c r="D175" s="693" t="s">
        <v>817</v>
      </c>
      <c r="E175" s="688">
        <f t="shared" si="4"/>
        <v>8.0000002863086395E-2</v>
      </c>
      <c r="F175" s="388">
        <v>44707</v>
      </c>
      <c r="G175" s="690">
        <v>558837.48000000021</v>
      </c>
      <c r="H175" s="566"/>
    </row>
    <row r="176" spans="1:8">
      <c r="D176" s="450"/>
      <c r="E176" s="450"/>
    </row>
    <row r="177" spans="1:7" ht="15.75">
      <c r="A177" s="1314" t="s">
        <v>808</v>
      </c>
      <c r="B177" s="1314"/>
      <c r="C177" s="1314"/>
      <c r="D177" s="1314"/>
      <c r="E177" s="1314"/>
      <c r="F177" s="1314"/>
      <c r="G177" s="1314"/>
    </row>
    <row r="178" spans="1:7" ht="13.5" thickBot="1">
      <c r="D178" s="450"/>
      <c r="E178" s="450"/>
    </row>
    <row r="179" spans="1:7">
      <c r="A179" s="1315" t="s">
        <v>771</v>
      </c>
      <c r="B179" s="1316"/>
      <c r="C179" s="1328" t="s">
        <v>772</v>
      </c>
      <c r="D179" s="1328" t="s">
        <v>773</v>
      </c>
      <c r="E179" s="1320" t="s">
        <v>809</v>
      </c>
      <c r="F179" s="1322" t="s">
        <v>810</v>
      </c>
    </row>
    <row r="180" spans="1:7">
      <c r="A180" s="1331" t="s">
        <v>776</v>
      </c>
      <c r="B180" s="1333" t="s">
        <v>777</v>
      </c>
      <c r="C180" s="1329"/>
      <c r="D180" s="1329"/>
      <c r="E180" s="1321"/>
      <c r="F180" s="1323"/>
    </row>
    <row r="181" spans="1:7">
      <c r="A181" s="1332"/>
      <c r="B181" s="1334"/>
      <c r="C181" s="1330"/>
      <c r="D181" s="1330"/>
      <c r="E181" s="674" t="s">
        <v>811</v>
      </c>
      <c r="F181" s="675" t="s">
        <v>779</v>
      </c>
    </row>
    <row r="182" spans="1:7" ht="13.5" thickBot="1">
      <c r="A182" s="691" t="s">
        <v>812</v>
      </c>
      <c r="B182" s="692" t="s">
        <v>781</v>
      </c>
      <c r="C182" s="685" t="s">
        <v>813</v>
      </c>
      <c r="D182" s="693" t="s">
        <v>817</v>
      </c>
      <c r="E182" s="704">
        <v>0.85643493424846018</v>
      </c>
      <c r="F182" s="690">
        <v>81530.045000000013</v>
      </c>
    </row>
    <row r="183" spans="1:7" hidden="1">
      <c r="A183" s="695"/>
      <c r="B183" s="696"/>
      <c r="C183" s="696"/>
      <c r="D183" s="697"/>
      <c r="E183" s="696"/>
      <c r="F183" s="698"/>
    </row>
    <row r="184" spans="1:7" hidden="1">
      <c r="A184" s="676"/>
      <c r="B184" s="677"/>
      <c r="C184" s="677"/>
      <c r="D184" s="681"/>
      <c r="E184" s="677"/>
      <c r="F184" s="699"/>
    </row>
    <row r="185" spans="1:7" hidden="1">
      <c r="A185" s="676"/>
      <c r="B185" s="677"/>
      <c r="C185" s="677"/>
      <c r="D185" s="681"/>
      <c r="E185" s="677"/>
      <c r="F185" s="699"/>
    </row>
    <row r="186" spans="1:7" hidden="1">
      <c r="A186" s="676"/>
      <c r="B186" s="677"/>
      <c r="C186" s="677"/>
      <c r="D186" s="681"/>
      <c r="E186" s="677"/>
      <c r="F186" s="699"/>
    </row>
    <row r="187" spans="1:7" hidden="1">
      <c r="A187" s="676"/>
      <c r="B187" s="677"/>
      <c r="C187" s="677"/>
      <c r="D187" s="681"/>
      <c r="E187" s="677"/>
      <c r="F187" s="699"/>
    </row>
    <row r="188" spans="1:7" hidden="1">
      <c r="A188" s="676"/>
      <c r="B188" s="677"/>
      <c r="C188" s="677"/>
      <c r="D188" s="681"/>
      <c r="E188" s="677"/>
      <c r="F188" s="699"/>
    </row>
    <row r="189" spans="1:7" ht="13.5" hidden="1" thickBot="1">
      <c r="A189" s="684"/>
      <c r="B189" s="685"/>
      <c r="C189" s="685"/>
      <c r="D189" s="700"/>
      <c r="E189" s="685"/>
      <c r="F189" s="701"/>
    </row>
  </sheetData>
  <mergeCells count="88">
    <mergeCell ref="A177:G177"/>
    <mergeCell ref="A179:B179"/>
    <mergeCell ref="C179:C181"/>
    <mergeCell ref="D179:D181"/>
    <mergeCell ref="E179:E180"/>
    <mergeCell ref="F179:F180"/>
    <mergeCell ref="A180:A181"/>
    <mergeCell ref="B180:B181"/>
    <mergeCell ref="C158:D158"/>
    <mergeCell ref="A160:G160"/>
    <mergeCell ref="A162:B162"/>
    <mergeCell ref="C162:C164"/>
    <mergeCell ref="D162:D164"/>
    <mergeCell ref="E162:E164"/>
    <mergeCell ref="F162:F163"/>
    <mergeCell ref="G162:G163"/>
    <mergeCell ref="A163:A164"/>
    <mergeCell ref="B163:B164"/>
    <mergeCell ref="A141:G141"/>
    <mergeCell ref="A143:B143"/>
    <mergeCell ref="C143:C145"/>
    <mergeCell ref="D143:D145"/>
    <mergeCell ref="E143:E144"/>
    <mergeCell ref="F143:F144"/>
    <mergeCell ref="A144:A145"/>
    <mergeCell ref="B144:B145"/>
    <mergeCell ref="C122:D122"/>
    <mergeCell ref="A124:G124"/>
    <mergeCell ref="A126:B126"/>
    <mergeCell ref="C126:C128"/>
    <mergeCell ref="D126:D128"/>
    <mergeCell ref="F126:F127"/>
    <mergeCell ref="G126:G127"/>
    <mergeCell ref="A127:A128"/>
    <mergeCell ref="B127:B128"/>
    <mergeCell ref="A105:G105"/>
    <mergeCell ref="A107:B107"/>
    <mergeCell ref="C107:C109"/>
    <mergeCell ref="D107:D109"/>
    <mergeCell ref="E107:E108"/>
    <mergeCell ref="F107:F108"/>
    <mergeCell ref="A108:A109"/>
    <mergeCell ref="B108:B109"/>
    <mergeCell ref="C86:D86"/>
    <mergeCell ref="A88:G88"/>
    <mergeCell ref="A90:B90"/>
    <mergeCell ref="C90:C92"/>
    <mergeCell ref="D90:D92"/>
    <mergeCell ref="F90:F91"/>
    <mergeCell ref="G90:G91"/>
    <mergeCell ref="A91:A92"/>
    <mergeCell ref="B91:B92"/>
    <mergeCell ref="A71:G71"/>
    <mergeCell ref="A73:B73"/>
    <mergeCell ref="C73:C75"/>
    <mergeCell ref="D73:D75"/>
    <mergeCell ref="E73:E74"/>
    <mergeCell ref="F73:F74"/>
    <mergeCell ref="A74:A75"/>
    <mergeCell ref="B74:B75"/>
    <mergeCell ref="C50:D50"/>
    <mergeCell ref="A52:G52"/>
    <mergeCell ref="A54:B54"/>
    <mergeCell ref="C54:C56"/>
    <mergeCell ref="D54:D56"/>
    <mergeCell ref="F54:F55"/>
    <mergeCell ref="G54:G55"/>
    <mergeCell ref="A55:A56"/>
    <mergeCell ref="B55:B56"/>
    <mergeCell ref="A33:G33"/>
    <mergeCell ref="A35:B35"/>
    <mergeCell ref="C35:C37"/>
    <mergeCell ref="D35:D37"/>
    <mergeCell ref="E35:E36"/>
    <mergeCell ref="F35:F36"/>
    <mergeCell ref="A36:A37"/>
    <mergeCell ref="B36:B37"/>
    <mergeCell ref="A9:G9"/>
    <mergeCell ref="A10:G10"/>
    <mergeCell ref="C12:D12"/>
    <mergeCell ref="A14:G14"/>
    <mergeCell ref="A16:B16"/>
    <mergeCell ref="C16:C18"/>
    <mergeCell ref="D16:D18"/>
    <mergeCell ref="F16:F17"/>
    <mergeCell ref="G16:G17"/>
    <mergeCell ref="A17:A18"/>
    <mergeCell ref="B17:B18"/>
  </mergeCells>
  <printOptions horizontalCentered="1"/>
  <pageMargins left="0.35433070866141736" right="0.35433070866141736" top="0.39370078740157483" bottom="0.39370078740157483" header="0.51181102362204722" footer="0.51181102362204722"/>
  <pageSetup scale="62" fitToHeight="5" orientation="landscape" r:id="rId1"/>
  <headerFooter alignWithMargins="0"/>
  <rowBreaks count="4" manualBreakCount="4">
    <brk id="45" max="6" man="1"/>
    <brk id="83" max="6" man="1"/>
    <brk id="117" max="16383" man="1"/>
    <brk id="153" max="16383" man="1"/>
  </rowBreaks>
</worksheet>
</file>

<file path=xl/worksheets/sheet24.xml><?xml version="1.0" encoding="utf-8"?>
<worksheet xmlns="http://schemas.openxmlformats.org/spreadsheetml/2006/main" xmlns:r="http://schemas.openxmlformats.org/officeDocument/2006/relationships">
  <sheetPr>
    <pageSetUpPr autoPageBreaks="0" fitToPage="1"/>
  </sheetPr>
  <dimension ref="A1:S121"/>
  <sheetViews>
    <sheetView showGridLines="0" zoomScaleNormal="100" workbookViewId="0">
      <selection activeCell="J24" sqref="J24"/>
    </sheetView>
  </sheetViews>
  <sheetFormatPr defaultRowHeight="12.75"/>
  <cols>
    <col min="1" max="1" width="6.42578125" style="30" customWidth="1"/>
    <col min="2" max="2" width="5.5703125" style="30" customWidth="1"/>
    <col min="3" max="3" width="16.5703125" style="30" customWidth="1"/>
    <col min="4" max="4" width="3" style="30" customWidth="1"/>
    <col min="5" max="5" width="11.140625" style="30" customWidth="1"/>
    <col min="6" max="6" width="1.42578125" style="30" customWidth="1"/>
    <col min="7" max="7" width="3.42578125" style="30" customWidth="1"/>
    <col min="8" max="8" width="1.42578125" style="30" customWidth="1"/>
    <col min="9" max="9" width="13.7109375" style="30" customWidth="1"/>
    <col min="10" max="10" width="3.28515625" style="30" customWidth="1"/>
    <col min="11" max="11" width="12.85546875" style="30" customWidth="1"/>
    <col min="12" max="12" width="1.42578125" style="30" customWidth="1"/>
    <col min="13" max="13" width="3.5703125" style="30" customWidth="1"/>
    <col min="14" max="14" width="1.7109375" style="30" customWidth="1"/>
    <col min="15" max="15" width="14" style="30" customWidth="1"/>
    <col min="16" max="16" width="2.140625" style="30" customWidth="1"/>
    <col min="17" max="17" width="9.140625" style="30"/>
    <col min="18" max="18" width="16.85546875" style="30" customWidth="1"/>
    <col min="19" max="19" width="10.28515625" style="30" bestFit="1" customWidth="1"/>
    <col min="20" max="255" width="9.140625" style="30"/>
    <col min="256" max="256" width="2.85546875" style="30" customWidth="1"/>
    <col min="257" max="257" width="6.42578125" style="30" customWidth="1"/>
    <col min="258" max="258" width="3.85546875" style="30" customWidth="1"/>
    <col min="259" max="259" width="16.5703125" style="30" customWidth="1"/>
    <col min="260" max="260" width="3" style="30" customWidth="1"/>
    <col min="261" max="261" width="11.140625" style="30" customWidth="1"/>
    <col min="262" max="262" width="1.42578125" style="30" customWidth="1"/>
    <col min="263" max="263" width="3.42578125" style="30" customWidth="1"/>
    <col min="264" max="264" width="1.42578125" style="30" customWidth="1"/>
    <col min="265" max="265" width="12.5703125" style="30" customWidth="1"/>
    <col min="266" max="266" width="3.28515625" style="30" customWidth="1"/>
    <col min="267" max="267" width="12.85546875" style="30" customWidth="1"/>
    <col min="268" max="268" width="1.42578125" style="30" customWidth="1"/>
    <col min="269" max="269" width="3.5703125" style="30" customWidth="1"/>
    <col min="270" max="270" width="1.7109375" style="30" customWidth="1"/>
    <col min="271" max="271" width="14" style="30" customWidth="1"/>
    <col min="272" max="272" width="2.140625" style="30" customWidth="1"/>
    <col min="273" max="511" width="9.140625" style="30"/>
    <col min="512" max="512" width="2.85546875" style="30" customWidth="1"/>
    <col min="513" max="513" width="6.42578125" style="30" customWidth="1"/>
    <col min="514" max="514" width="3.85546875" style="30" customWidth="1"/>
    <col min="515" max="515" width="16.5703125" style="30" customWidth="1"/>
    <col min="516" max="516" width="3" style="30" customWidth="1"/>
    <col min="517" max="517" width="11.140625" style="30" customWidth="1"/>
    <col min="518" max="518" width="1.42578125" style="30" customWidth="1"/>
    <col min="519" max="519" width="3.42578125" style="30" customWidth="1"/>
    <col min="520" max="520" width="1.42578125" style="30" customWidth="1"/>
    <col min="521" max="521" width="12.5703125" style="30" customWidth="1"/>
    <col min="522" max="522" width="3.28515625" style="30" customWidth="1"/>
    <col min="523" max="523" width="12.85546875" style="30" customWidth="1"/>
    <col min="524" max="524" width="1.42578125" style="30" customWidth="1"/>
    <col min="525" max="525" width="3.5703125" style="30" customWidth="1"/>
    <col min="526" max="526" width="1.7109375" style="30" customWidth="1"/>
    <col min="527" max="527" width="14" style="30" customWidth="1"/>
    <col min="528" max="528" width="2.140625" style="30" customWidth="1"/>
    <col min="529" max="767" width="9.140625" style="30"/>
    <col min="768" max="768" width="2.85546875" style="30" customWidth="1"/>
    <col min="769" max="769" width="6.42578125" style="30" customWidth="1"/>
    <col min="770" max="770" width="3.85546875" style="30" customWidth="1"/>
    <col min="771" max="771" width="16.5703125" style="30" customWidth="1"/>
    <col min="772" max="772" width="3" style="30" customWidth="1"/>
    <col min="773" max="773" width="11.140625" style="30" customWidth="1"/>
    <col min="774" max="774" width="1.42578125" style="30" customWidth="1"/>
    <col min="775" max="775" width="3.42578125" style="30" customWidth="1"/>
    <col min="776" max="776" width="1.42578125" style="30" customWidth="1"/>
    <col min="777" max="777" width="12.5703125" style="30" customWidth="1"/>
    <col min="778" max="778" width="3.28515625" style="30" customWidth="1"/>
    <col min="779" max="779" width="12.85546875" style="30" customWidth="1"/>
    <col min="780" max="780" width="1.42578125" style="30" customWidth="1"/>
    <col min="781" max="781" width="3.5703125" style="30" customWidth="1"/>
    <col min="782" max="782" width="1.7109375" style="30" customWidth="1"/>
    <col min="783" max="783" width="14" style="30" customWidth="1"/>
    <col min="784" max="784" width="2.140625" style="30" customWidth="1"/>
    <col min="785" max="1023" width="9.140625" style="30"/>
    <col min="1024" max="1024" width="2.85546875" style="30" customWidth="1"/>
    <col min="1025" max="1025" width="6.42578125" style="30" customWidth="1"/>
    <col min="1026" max="1026" width="3.85546875" style="30" customWidth="1"/>
    <col min="1027" max="1027" width="16.5703125" style="30" customWidth="1"/>
    <col min="1028" max="1028" width="3" style="30" customWidth="1"/>
    <col min="1029" max="1029" width="11.140625" style="30" customWidth="1"/>
    <col min="1030" max="1030" width="1.42578125" style="30" customWidth="1"/>
    <col min="1031" max="1031" width="3.42578125" style="30" customWidth="1"/>
    <col min="1032" max="1032" width="1.42578125" style="30" customWidth="1"/>
    <col min="1033" max="1033" width="12.5703125" style="30" customWidth="1"/>
    <col min="1034" max="1034" width="3.28515625" style="30" customWidth="1"/>
    <col min="1035" max="1035" width="12.85546875" style="30" customWidth="1"/>
    <col min="1036" max="1036" width="1.42578125" style="30" customWidth="1"/>
    <col min="1037" max="1037" width="3.5703125" style="30" customWidth="1"/>
    <col min="1038" max="1038" width="1.7109375" style="30" customWidth="1"/>
    <col min="1039" max="1039" width="14" style="30" customWidth="1"/>
    <col min="1040" max="1040" width="2.140625" style="30" customWidth="1"/>
    <col min="1041" max="1279" width="9.140625" style="30"/>
    <col min="1280" max="1280" width="2.85546875" style="30" customWidth="1"/>
    <col min="1281" max="1281" width="6.42578125" style="30" customWidth="1"/>
    <col min="1282" max="1282" width="3.85546875" style="30" customWidth="1"/>
    <col min="1283" max="1283" width="16.5703125" style="30" customWidth="1"/>
    <col min="1284" max="1284" width="3" style="30" customWidth="1"/>
    <col min="1285" max="1285" width="11.140625" style="30" customWidth="1"/>
    <col min="1286" max="1286" width="1.42578125" style="30" customWidth="1"/>
    <col min="1287" max="1287" width="3.42578125" style="30" customWidth="1"/>
    <col min="1288" max="1288" width="1.42578125" style="30" customWidth="1"/>
    <col min="1289" max="1289" width="12.5703125" style="30" customWidth="1"/>
    <col min="1290" max="1290" width="3.28515625" style="30" customWidth="1"/>
    <col min="1291" max="1291" width="12.85546875" style="30" customWidth="1"/>
    <col min="1292" max="1292" width="1.42578125" style="30" customWidth="1"/>
    <col min="1293" max="1293" width="3.5703125" style="30" customWidth="1"/>
    <col min="1294" max="1294" width="1.7109375" style="30" customWidth="1"/>
    <col min="1295" max="1295" width="14" style="30" customWidth="1"/>
    <col min="1296" max="1296" width="2.140625" style="30" customWidth="1"/>
    <col min="1297" max="1535" width="9.140625" style="30"/>
    <col min="1536" max="1536" width="2.85546875" style="30" customWidth="1"/>
    <col min="1537" max="1537" width="6.42578125" style="30" customWidth="1"/>
    <col min="1538" max="1538" width="3.85546875" style="30" customWidth="1"/>
    <col min="1539" max="1539" width="16.5703125" style="30" customWidth="1"/>
    <col min="1540" max="1540" width="3" style="30" customWidth="1"/>
    <col min="1541" max="1541" width="11.140625" style="30" customWidth="1"/>
    <col min="1542" max="1542" width="1.42578125" style="30" customWidth="1"/>
    <col min="1543" max="1543" width="3.42578125" style="30" customWidth="1"/>
    <col min="1544" max="1544" width="1.42578125" style="30" customWidth="1"/>
    <col min="1545" max="1545" width="12.5703125" style="30" customWidth="1"/>
    <col min="1546" max="1546" width="3.28515625" style="30" customWidth="1"/>
    <col min="1547" max="1547" width="12.85546875" style="30" customWidth="1"/>
    <col min="1548" max="1548" width="1.42578125" style="30" customWidth="1"/>
    <col min="1549" max="1549" width="3.5703125" style="30" customWidth="1"/>
    <col min="1550" max="1550" width="1.7109375" style="30" customWidth="1"/>
    <col min="1551" max="1551" width="14" style="30" customWidth="1"/>
    <col min="1552" max="1552" width="2.140625" style="30" customWidth="1"/>
    <col min="1553" max="1791" width="9.140625" style="30"/>
    <col min="1792" max="1792" width="2.85546875" style="30" customWidth="1"/>
    <col min="1793" max="1793" width="6.42578125" style="30" customWidth="1"/>
    <col min="1794" max="1794" width="3.85546875" style="30" customWidth="1"/>
    <col min="1795" max="1795" width="16.5703125" style="30" customWidth="1"/>
    <col min="1796" max="1796" width="3" style="30" customWidth="1"/>
    <col min="1797" max="1797" width="11.140625" style="30" customWidth="1"/>
    <col min="1798" max="1798" width="1.42578125" style="30" customWidth="1"/>
    <col min="1799" max="1799" width="3.42578125" style="30" customWidth="1"/>
    <col min="1800" max="1800" width="1.42578125" style="30" customWidth="1"/>
    <col min="1801" max="1801" width="12.5703125" style="30" customWidth="1"/>
    <col min="1802" max="1802" width="3.28515625" style="30" customWidth="1"/>
    <col min="1803" max="1803" width="12.85546875" style="30" customWidth="1"/>
    <col min="1804" max="1804" width="1.42578125" style="30" customWidth="1"/>
    <col min="1805" max="1805" width="3.5703125" style="30" customWidth="1"/>
    <col min="1806" max="1806" width="1.7109375" style="30" customWidth="1"/>
    <col min="1807" max="1807" width="14" style="30" customWidth="1"/>
    <col min="1808" max="1808" width="2.140625" style="30" customWidth="1"/>
    <col min="1809" max="2047" width="9.140625" style="30"/>
    <col min="2048" max="2048" width="2.85546875" style="30" customWidth="1"/>
    <col min="2049" max="2049" width="6.42578125" style="30" customWidth="1"/>
    <col min="2050" max="2050" width="3.85546875" style="30" customWidth="1"/>
    <col min="2051" max="2051" width="16.5703125" style="30" customWidth="1"/>
    <col min="2052" max="2052" width="3" style="30" customWidth="1"/>
    <col min="2053" max="2053" width="11.140625" style="30" customWidth="1"/>
    <col min="2054" max="2054" width="1.42578125" style="30" customWidth="1"/>
    <col min="2055" max="2055" width="3.42578125" style="30" customWidth="1"/>
    <col min="2056" max="2056" width="1.42578125" style="30" customWidth="1"/>
    <col min="2057" max="2057" width="12.5703125" style="30" customWidth="1"/>
    <col min="2058" max="2058" width="3.28515625" style="30" customWidth="1"/>
    <col min="2059" max="2059" width="12.85546875" style="30" customWidth="1"/>
    <col min="2060" max="2060" width="1.42578125" style="30" customWidth="1"/>
    <col min="2061" max="2061" width="3.5703125" style="30" customWidth="1"/>
    <col min="2062" max="2062" width="1.7109375" style="30" customWidth="1"/>
    <col min="2063" max="2063" width="14" style="30" customWidth="1"/>
    <col min="2064" max="2064" width="2.140625" style="30" customWidth="1"/>
    <col min="2065" max="2303" width="9.140625" style="30"/>
    <col min="2304" max="2304" width="2.85546875" style="30" customWidth="1"/>
    <col min="2305" max="2305" width="6.42578125" style="30" customWidth="1"/>
    <col min="2306" max="2306" width="3.85546875" style="30" customWidth="1"/>
    <col min="2307" max="2307" width="16.5703125" style="30" customWidth="1"/>
    <col min="2308" max="2308" width="3" style="30" customWidth="1"/>
    <col min="2309" max="2309" width="11.140625" style="30" customWidth="1"/>
    <col min="2310" max="2310" width="1.42578125" style="30" customWidth="1"/>
    <col min="2311" max="2311" width="3.42578125" style="30" customWidth="1"/>
    <col min="2312" max="2312" width="1.42578125" style="30" customWidth="1"/>
    <col min="2313" max="2313" width="12.5703125" style="30" customWidth="1"/>
    <col min="2314" max="2314" width="3.28515625" style="30" customWidth="1"/>
    <col min="2315" max="2315" width="12.85546875" style="30" customWidth="1"/>
    <col min="2316" max="2316" width="1.42578125" style="30" customWidth="1"/>
    <col min="2317" max="2317" width="3.5703125" style="30" customWidth="1"/>
    <col min="2318" max="2318" width="1.7109375" style="30" customWidth="1"/>
    <col min="2319" max="2319" width="14" style="30" customWidth="1"/>
    <col min="2320" max="2320" width="2.140625" style="30" customWidth="1"/>
    <col min="2321" max="2559" width="9.140625" style="30"/>
    <col min="2560" max="2560" width="2.85546875" style="30" customWidth="1"/>
    <col min="2561" max="2561" width="6.42578125" style="30" customWidth="1"/>
    <col min="2562" max="2562" width="3.85546875" style="30" customWidth="1"/>
    <col min="2563" max="2563" width="16.5703125" style="30" customWidth="1"/>
    <col min="2564" max="2564" width="3" style="30" customWidth="1"/>
    <col min="2565" max="2565" width="11.140625" style="30" customWidth="1"/>
    <col min="2566" max="2566" width="1.42578125" style="30" customWidth="1"/>
    <col min="2567" max="2567" width="3.42578125" style="30" customWidth="1"/>
    <col min="2568" max="2568" width="1.42578125" style="30" customWidth="1"/>
    <col min="2569" max="2569" width="12.5703125" style="30" customWidth="1"/>
    <col min="2570" max="2570" width="3.28515625" style="30" customWidth="1"/>
    <col min="2571" max="2571" width="12.85546875" style="30" customWidth="1"/>
    <col min="2572" max="2572" width="1.42578125" style="30" customWidth="1"/>
    <col min="2573" max="2573" width="3.5703125" style="30" customWidth="1"/>
    <col min="2574" max="2574" width="1.7109375" style="30" customWidth="1"/>
    <col min="2575" max="2575" width="14" style="30" customWidth="1"/>
    <col min="2576" max="2576" width="2.140625" style="30" customWidth="1"/>
    <col min="2577" max="2815" width="9.140625" style="30"/>
    <col min="2816" max="2816" width="2.85546875" style="30" customWidth="1"/>
    <col min="2817" max="2817" width="6.42578125" style="30" customWidth="1"/>
    <col min="2818" max="2818" width="3.85546875" style="30" customWidth="1"/>
    <col min="2819" max="2819" width="16.5703125" style="30" customWidth="1"/>
    <col min="2820" max="2820" width="3" style="30" customWidth="1"/>
    <col min="2821" max="2821" width="11.140625" style="30" customWidth="1"/>
    <col min="2822" max="2822" width="1.42578125" style="30" customWidth="1"/>
    <col min="2823" max="2823" width="3.42578125" style="30" customWidth="1"/>
    <col min="2824" max="2824" width="1.42578125" style="30" customWidth="1"/>
    <col min="2825" max="2825" width="12.5703125" style="30" customWidth="1"/>
    <col min="2826" max="2826" width="3.28515625" style="30" customWidth="1"/>
    <col min="2827" max="2827" width="12.85546875" style="30" customWidth="1"/>
    <col min="2828" max="2828" width="1.42578125" style="30" customWidth="1"/>
    <col min="2829" max="2829" width="3.5703125" style="30" customWidth="1"/>
    <col min="2830" max="2830" width="1.7109375" style="30" customWidth="1"/>
    <col min="2831" max="2831" width="14" style="30" customWidth="1"/>
    <col min="2832" max="2832" width="2.140625" style="30" customWidth="1"/>
    <col min="2833" max="3071" width="9.140625" style="30"/>
    <col min="3072" max="3072" width="2.85546875" style="30" customWidth="1"/>
    <col min="3073" max="3073" width="6.42578125" style="30" customWidth="1"/>
    <col min="3074" max="3074" width="3.85546875" style="30" customWidth="1"/>
    <col min="3075" max="3075" width="16.5703125" style="30" customWidth="1"/>
    <col min="3076" max="3076" width="3" style="30" customWidth="1"/>
    <col min="3077" max="3077" width="11.140625" style="30" customWidth="1"/>
    <col min="3078" max="3078" width="1.42578125" style="30" customWidth="1"/>
    <col min="3079" max="3079" width="3.42578125" style="30" customWidth="1"/>
    <col min="3080" max="3080" width="1.42578125" style="30" customWidth="1"/>
    <col min="3081" max="3081" width="12.5703125" style="30" customWidth="1"/>
    <col min="3082" max="3082" width="3.28515625" style="30" customWidth="1"/>
    <col min="3083" max="3083" width="12.85546875" style="30" customWidth="1"/>
    <col min="3084" max="3084" width="1.42578125" style="30" customWidth="1"/>
    <col min="3085" max="3085" width="3.5703125" style="30" customWidth="1"/>
    <col min="3086" max="3086" width="1.7109375" style="30" customWidth="1"/>
    <col min="3087" max="3087" width="14" style="30" customWidth="1"/>
    <col min="3088" max="3088" width="2.140625" style="30" customWidth="1"/>
    <col min="3089" max="3327" width="9.140625" style="30"/>
    <col min="3328" max="3328" width="2.85546875" style="30" customWidth="1"/>
    <col min="3329" max="3329" width="6.42578125" style="30" customWidth="1"/>
    <col min="3330" max="3330" width="3.85546875" style="30" customWidth="1"/>
    <col min="3331" max="3331" width="16.5703125" style="30" customWidth="1"/>
    <col min="3332" max="3332" width="3" style="30" customWidth="1"/>
    <col min="3333" max="3333" width="11.140625" style="30" customWidth="1"/>
    <col min="3334" max="3334" width="1.42578125" style="30" customWidth="1"/>
    <col min="3335" max="3335" width="3.42578125" style="30" customWidth="1"/>
    <col min="3336" max="3336" width="1.42578125" style="30" customWidth="1"/>
    <col min="3337" max="3337" width="12.5703125" style="30" customWidth="1"/>
    <col min="3338" max="3338" width="3.28515625" style="30" customWidth="1"/>
    <col min="3339" max="3339" width="12.85546875" style="30" customWidth="1"/>
    <col min="3340" max="3340" width="1.42578125" style="30" customWidth="1"/>
    <col min="3341" max="3341" width="3.5703125" style="30" customWidth="1"/>
    <col min="3342" max="3342" width="1.7109375" style="30" customWidth="1"/>
    <col min="3343" max="3343" width="14" style="30" customWidth="1"/>
    <col min="3344" max="3344" width="2.140625" style="30" customWidth="1"/>
    <col min="3345" max="3583" width="9.140625" style="30"/>
    <col min="3584" max="3584" width="2.85546875" style="30" customWidth="1"/>
    <col min="3585" max="3585" width="6.42578125" style="30" customWidth="1"/>
    <col min="3586" max="3586" width="3.85546875" style="30" customWidth="1"/>
    <col min="3587" max="3587" width="16.5703125" style="30" customWidth="1"/>
    <col min="3588" max="3588" width="3" style="30" customWidth="1"/>
    <col min="3589" max="3589" width="11.140625" style="30" customWidth="1"/>
    <col min="3590" max="3590" width="1.42578125" style="30" customWidth="1"/>
    <col min="3591" max="3591" width="3.42578125" style="30" customWidth="1"/>
    <col min="3592" max="3592" width="1.42578125" style="30" customWidth="1"/>
    <col min="3593" max="3593" width="12.5703125" style="30" customWidth="1"/>
    <col min="3594" max="3594" width="3.28515625" style="30" customWidth="1"/>
    <col min="3595" max="3595" width="12.85546875" style="30" customWidth="1"/>
    <col min="3596" max="3596" width="1.42578125" style="30" customWidth="1"/>
    <col min="3597" max="3597" width="3.5703125" style="30" customWidth="1"/>
    <col min="3598" max="3598" width="1.7109375" style="30" customWidth="1"/>
    <col min="3599" max="3599" width="14" style="30" customWidth="1"/>
    <col min="3600" max="3600" width="2.140625" style="30" customWidth="1"/>
    <col min="3601" max="3839" width="9.140625" style="30"/>
    <col min="3840" max="3840" width="2.85546875" style="30" customWidth="1"/>
    <col min="3841" max="3841" width="6.42578125" style="30" customWidth="1"/>
    <col min="3842" max="3842" width="3.85546875" style="30" customWidth="1"/>
    <col min="3843" max="3843" width="16.5703125" style="30" customWidth="1"/>
    <col min="3844" max="3844" width="3" style="30" customWidth="1"/>
    <col min="3845" max="3845" width="11.140625" style="30" customWidth="1"/>
    <col min="3846" max="3846" width="1.42578125" style="30" customWidth="1"/>
    <col min="3847" max="3847" width="3.42578125" style="30" customWidth="1"/>
    <col min="3848" max="3848" width="1.42578125" style="30" customWidth="1"/>
    <col min="3849" max="3849" width="12.5703125" style="30" customWidth="1"/>
    <col min="3850" max="3850" width="3.28515625" style="30" customWidth="1"/>
    <col min="3851" max="3851" width="12.85546875" style="30" customWidth="1"/>
    <col min="3852" max="3852" width="1.42578125" style="30" customWidth="1"/>
    <col min="3853" max="3853" width="3.5703125" style="30" customWidth="1"/>
    <col min="3854" max="3854" width="1.7109375" style="30" customWidth="1"/>
    <col min="3855" max="3855" width="14" style="30" customWidth="1"/>
    <col min="3856" max="3856" width="2.140625" style="30" customWidth="1"/>
    <col min="3857" max="4095" width="9.140625" style="30"/>
    <col min="4096" max="4096" width="2.85546875" style="30" customWidth="1"/>
    <col min="4097" max="4097" width="6.42578125" style="30" customWidth="1"/>
    <col min="4098" max="4098" width="3.85546875" style="30" customWidth="1"/>
    <col min="4099" max="4099" width="16.5703125" style="30" customWidth="1"/>
    <col min="4100" max="4100" width="3" style="30" customWidth="1"/>
    <col min="4101" max="4101" width="11.140625" style="30" customWidth="1"/>
    <col min="4102" max="4102" width="1.42578125" style="30" customWidth="1"/>
    <col min="4103" max="4103" width="3.42578125" style="30" customWidth="1"/>
    <col min="4104" max="4104" width="1.42578125" style="30" customWidth="1"/>
    <col min="4105" max="4105" width="12.5703125" style="30" customWidth="1"/>
    <col min="4106" max="4106" width="3.28515625" style="30" customWidth="1"/>
    <col min="4107" max="4107" width="12.85546875" style="30" customWidth="1"/>
    <col min="4108" max="4108" width="1.42578125" style="30" customWidth="1"/>
    <col min="4109" max="4109" width="3.5703125" style="30" customWidth="1"/>
    <col min="4110" max="4110" width="1.7109375" style="30" customWidth="1"/>
    <col min="4111" max="4111" width="14" style="30" customWidth="1"/>
    <col min="4112" max="4112" width="2.140625" style="30" customWidth="1"/>
    <col min="4113" max="4351" width="9.140625" style="30"/>
    <col min="4352" max="4352" width="2.85546875" style="30" customWidth="1"/>
    <col min="4353" max="4353" width="6.42578125" style="30" customWidth="1"/>
    <col min="4354" max="4354" width="3.85546875" style="30" customWidth="1"/>
    <col min="4355" max="4355" width="16.5703125" style="30" customWidth="1"/>
    <col min="4356" max="4356" width="3" style="30" customWidth="1"/>
    <col min="4357" max="4357" width="11.140625" style="30" customWidth="1"/>
    <col min="4358" max="4358" width="1.42578125" style="30" customWidth="1"/>
    <col min="4359" max="4359" width="3.42578125" style="30" customWidth="1"/>
    <col min="4360" max="4360" width="1.42578125" style="30" customWidth="1"/>
    <col min="4361" max="4361" width="12.5703125" style="30" customWidth="1"/>
    <col min="4362" max="4362" width="3.28515625" style="30" customWidth="1"/>
    <col min="4363" max="4363" width="12.85546875" style="30" customWidth="1"/>
    <col min="4364" max="4364" width="1.42578125" style="30" customWidth="1"/>
    <col min="4365" max="4365" width="3.5703125" style="30" customWidth="1"/>
    <col min="4366" max="4366" width="1.7109375" style="30" customWidth="1"/>
    <col min="4367" max="4367" width="14" style="30" customWidth="1"/>
    <col min="4368" max="4368" width="2.140625" style="30" customWidth="1"/>
    <col min="4369" max="4607" width="9.140625" style="30"/>
    <col min="4608" max="4608" width="2.85546875" style="30" customWidth="1"/>
    <col min="4609" max="4609" width="6.42578125" style="30" customWidth="1"/>
    <col min="4610" max="4610" width="3.85546875" style="30" customWidth="1"/>
    <col min="4611" max="4611" width="16.5703125" style="30" customWidth="1"/>
    <col min="4612" max="4612" width="3" style="30" customWidth="1"/>
    <col min="4613" max="4613" width="11.140625" style="30" customWidth="1"/>
    <col min="4614" max="4614" width="1.42578125" style="30" customWidth="1"/>
    <col min="4615" max="4615" width="3.42578125" style="30" customWidth="1"/>
    <col min="4616" max="4616" width="1.42578125" style="30" customWidth="1"/>
    <col min="4617" max="4617" width="12.5703125" style="30" customWidth="1"/>
    <col min="4618" max="4618" width="3.28515625" style="30" customWidth="1"/>
    <col min="4619" max="4619" width="12.85546875" style="30" customWidth="1"/>
    <col min="4620" max="4620" width="1.42578125" style="30" customWidth="1"/>
    <col min="4621" max="4621" width="3.5703125" style="30" customWidth="1"/>
    <col min="4622" max="4622" width="1.7109375" style="30" customWidth="1"/>
    <col min="4623" max="4623" width="14" style="30" customWidth="1"/>
    <col min="4624" max="4624" width="2.140625" style="30" customWidth="1"/>
    <col min="4625" max="4863" width="9.140625" style="30"/>
    <col min="4864" max="4864" width="2.85546875" style="30" customWidth="1"/>
    <col min="4865" max="4865" width="6.42578125" style="30" customWidth="1"/>
    <col min="4866" max="4866" width="3.85546875" style="30" customWidth="1"/>
    <col min="4867" max="4867" width="16.5703125" style="30" customWidth="1"/>
    <col min="4868" max="4868" width="3" style="30" customWidth="1"/>
    <col min="4869" max="4869" width="11.140625" style="30" customWidth="1"/>
    <col min="4870" max="4870" width="1.42578125" style="30" customWidth="1"/>
    <col min="4871" max="4871" width="3.42578125" style="30" customWidth="1"/>
    <col min="4872" max="4872" width="1.42578125" style="30" customWidth="1"/>
    <col min="4873" max="4873" width="12.5703125" style="30" customWidth="1"/>
    <col min="4874" max="4874" width="3.28515625" style="30" customWidth="1"/>
    <col min="4875" max="4875" width="12.85546875" style="30" customWidth="1"/>
    <col min="4876" max="4876" width="1.42578125" style="30" customWidth="1"/>
    <col min="4877" max="4877" width="3.5703125" style="30" customWidth="1"/>
    <col min="4878" max="4878" width="1.7109375" style="30" customWidth="1"/>
    <col min="4879" max="4879" width="14" style="30" customWidth="1"/>
    <col min="4880" max="4880" width="2.140625" style="30" customWidth="1"/>
    <col min="4881" max="5119" width="9.140625" style="30"/>
    <col min="5120" max="5120" width="2.85546875" style="30" customWidth="1"/>
    <col min="5121" max="5121" width="6.42578125" style="30" customWidth="1"/>
    <col min="5122" max="5122" width="3.85546875" style="30" customWidth="1"/>
    <col min="5123" max="5123" width="16.5703125" style="30" customWidth="1"/>
    <col min="5124" max="5124" width="3" style="30" customWidth="1"/>
    <col min="5125" max="5125" width="11.140625" style="30" customWidth="1"/>
    <col min="5126" max="5126" width="1.42578125" style="30" customWidth="1"/>
    <col min="5127" max="5127" width="3.42578125" style="30" customWidth="1"/>
    <col min="5128" max="5128" width="1.42578125" style="30" customWidth="1"/>
    <col min="5129" max="5129" width="12.5703125" style="30" customWidth="1"/>
    <col min="5130" max="5130" width="3.28515625" style="30" customWidth="1"/>
    <col min="5131" max="5131" width="12.85546875" style="30" customWidth="1"/>
    <col min="5132" max="5132" width="1.42578125" style="30" customWidth="1"/>
    <col min="5133" max="5133" width="3.5703125" style="30" customWidth="1"/>
    <col min="5134" max="5134" width="1.7109375" style="30" customWidth="1"/>
    <col min="5135" max="5135" width="14" style="30" customWidth="1"/>
    <col min="5136" max="5136" width="2.140625" style="30" customWidth="1"/>
    <col min="5137" max="5375" width="9.140625" style="30"/>
    <col min="5376" max="5376" width="2.85546875" style="30" customWidth="1"/>
    <col min="5377" max="5377" width="6.42578125" style="30" customWidth="1"/>
    <col min="5378" max="5378" width="3.85546875" style="30" customWidth="1"/>
    <col min="5379" max="5379" width="16.5703125" style="30" customWidth="1"/>
    <col min="5380" max="5380" width="3" style="30" customWidth="1"/>
    <col min="5381" max="5381" width="11.140625" style="30" customWidth="1"/>
    <col min="5382" max="5382" width="1.42578125" style="30" customWidth="1"/>
    <col min="5383" max="5383" width="3.42578125" style="30" customWidth="1"/>
    <col min="5384" max="5384" width="1.42578125" style="30" customWidth="1"/>
    <col min="5385" max="5385" width="12.5703125" style="30" customWidth="1"/>
    <col min="5386" max="5386" width="3.28515625" style="30" customWidth="1"/>
    <col min="5387" max="5387" width="12.85546875" style="30" customWidth="1"/>
    <col min="5388" max="5388" width="1.42578125" style="30" customWidth="1"/>
    <col min="5389" max="5389" width="3.5703125" style="30" customWidth="1"/>
    <col min="5390" max="5390" width="1.7109375" style="30" customWidth="1"/>
    <col min="5391" max="5391" width="14" style="30" customWidth="1"/>
    <col min="5392" max="5392" width="2.140625" style="30" customWidth="1"/>
    <col min="5393" max="5631" width="9.140625" style="30"/>
    <col min="5632" max="5632" width="2.85546875" style="30" customWidth="1"/>
    <col min="5633" max="5633" width="6.42578125" style="30" customWidth="1"/>
    <col min="5634" max="5634" width="3.85546875" style="30" customWidth="1"/>
    <col min="5635" max="5635" width="16.5703125" style="30" customWidth="1"/>
    <col min="5636" max="5636" width="3" style="30" customWidth="1"/>
    <col min="5637" max="5637" width="11.140625" style="30" customWidth="1"/>
    <col min="5638" max="5638" width="1.42578125" style="30" customWidth="1"/>
    <col min="5639" max="5639" width="3.42578125" style="30" customWidth="1"/>
    <col min="5640" max="5640" width="1.42578125" style="30" customWidth="1"/>
    <col min="5641" max="5641" width="12.5703125" style="30" customWidth="1"/>
    <col min="5642" max="5642" width="3.28515625" style="30" customWidth="1"/>
    <col min="5643" max="5643" width="12.85546875" style="30" customWidth="1"/>
    <col min="5644" max="5644" width="1.42578125" style="30" customWidth="1"/>
    <col min="5645" max="5645" width="3.5703125" style="30" customWidth="1"/>
    <col min="5646" max="5646" width="1.7109375" style="30" customWidth="1"/>
    <col min="5647" max="5647" width="14" style="30" customWidth="1"/>
    <col min="5648" max="5648" width="2.140625" style="30" customWidth="1"/>
    <col min="5649" max="5887" width="9.140625" style="30"/>
    <col min="5888" max="5888" width="2.85546875" style="30" customWidth="1"/>
    <col min="5889" max="5889" width="6.42578125" style="30" customWidth="1"/>
    <col min="5890" max="5890" width="3.85546875" style="30" customWidth="1"/>
    <col min="5891" max="5891" width="16.5703125" style="30" customWidth="1"/>
    <col min="5892" max="5892" width="3" style="30" customWidth="1"/>
    <col min="5893" max="5893" width="11.140625" style="30" customWidth="1"/>
    <col min="5894" max="5894" width="1.42578125" style="30" customWidth="1"/>
    <col min="5895" max="5895" width="3.42578125" style="30" customWidth="1"/>
    <col min="5896" max="5896" width="1.42578125" style="30" customWidth="1"/>
    <col min="5897" max="5897" width="12.5703125" style="30" customWidth="1"/>
    <col min="5898" max="5898" width="3.28515625" style="30" customWidth="1"/>
    <col min="5899" max="5899" width="12.85546875" style="30" customWidth="1"/>
    <col min="5900" max="5900" width="1.42578125" style="30" customWidth="1"/>
    <col min="5901" max="5901" width="3.5703125" style="30" customWidth="1"/>
    <col min="5902" max="5902" width="1.7109375" style="30" customWidth="1"/>
    <col min="5903" max="5903" width="14" style="30" customWidth="1"/>
    <col min="5904" max="5904" width="2.140625" style="30" customWidth="1"/>
    <col min="5905" max="6143" width="9.140625" style="30"/>
    <col min="6144" max="6144" width="2.85546875" style="30" customWidth="1"/>
    <col min="6145" max="6145" width="6.42578125" style="30" customWidth="1"/>
    <col min="6146" max="6146" width="3.85546875" style="30" customWidth="1"/>
    <col min="6147" max="6147" width="16.5703125" style="30" customWidth="1"/>
    <col min="6148" max="6148" width="3" style="30" customWidth="1"/>
    <col min="6149" max="6149" width="11.140625" style="30" customWidth="1"/>
    <col min="6150" max="6150" width="1.42578125" style="30" customWidth="1"/>
    <col min="6151" max="6151" width="3.42578125" style="30" customWidth="1"/>
    <col min="6152" max="6152" width="1.42578125" style="30" customWidth="1"/>
    <col min="6153" max="6153" width="12.5703125" style="30" customWidth="1"/>
    <col min="6154" max="6154" width="3.28515625" style="30" customWidth="1"/>
    <col min="6155" max="6155" width="12.85546875" style="30" customWidth="1"/>
    <col min="6156" max="6156" width="1.42578125" style="30" customWidth="1"/>
    <col min="6157" max="6157" width="3.5703125" style="30" customWidth="1"/>
    <col min="6158" max="6158" width="1.7109375" style="30" customWidth="1"/>
    <col min="6159" max="6159" width="14" style="30" customWidth="1"/>
    <col min="6160" max="6160" width="2.140625" style="30" customWidth="1"/>
    <col min="6161" max="6399" width="9.140625" style="30"/>
    <col min="6400" max="6400" width="2.85546875" style="30" customWidth="1"/>
    <col min="6401" max="6401" width="6.42578125" style="30" customWidth="1"/>
    <col min="6402" max="6402" width="3.85546875" style="30" customWidth="1"/>
    <col min="6403" max="6403" width="16.5703125" style="30" customWidth="1"/>
    <col min="6404" max="6404" width="3" style="30" customWidth="1"/>
    <col min="6405" max="6405" width="11.140625" style="30" customWidth="1"/>
    <col min="6406" max="6406" width="1.42578125" style="30" customWidth="1"/>
    <col min="6407" max="6407" width="3.42578125" style="30" customWidth="1"/>
    <col min="6408" max="6408" width="1.42578125" style="30" customWidth="1"/>
    <col min="6409" max="6409" width="12.5703125" style="30" customWidth="1"/>
    <col min="6410" max="6410" width="3.28515625" style="30" customWidth="1"/>
    <col min="6411" max="6411" width="12.85546875" style="30" customWidth="1"/>
    <col min="6412" max="6412" width="1.42578125" style="30" customWidth="1"/>
    <col min="6413" max="6413" width="3.5703125" style="30" customWidth="1"/>
    <col min="6414" max="6414" width="1.7109375" style="30" customWidth="1"/>
    <col min="6415" max="6415" width="14" style="30" customWidth="1"/>
    <col min="6416" max="6416" width="2.140625" style="30" customWidth="1"/>
    <col min="6417" max="6655" width="9.140625" style="30"/>
    <col min="6656" max="6656" width="2.85546875" style="30" customWidth="1"/>
    <col min="6657" max="6657" width="6.42578125" style="30" customWidth="1"/>
    <col min="6658" max="6658" width="3.85546875" style="30" customWidth="1"/>
    <col min="6659" max="6659" width="16.5703125" style="30" customWidth="1"/>
    <col min="6660" max="6660" width="3" style="30" customWidth="1"/>
    <col min="6661" max="6661" width="11.140625" style="30" customWidth="1"/>
    <col min="6662" max="6662" width="1.42578125" style="30" customWidth="1"/>
    <col min="6663" max="6663" width="3.42578125" style="30" customWidth="1"/>
    <col min="6664" max="6664" width="1.42578125" style="30" customWidth="1"/>
    <col min="6665" max="6665" width="12.5703125" style="30" customWidth="1"/>
    <col min="6666" max="6666" width="3.28515625" style="30" customWidth="1"/>
    <col min="6667" max="6667" width="12.85546875" style="30" customWidth="1"/>
    <col min="6668" max="6668" width="1.42578125" style="30" customWidth="1"/>
    <col min="6669" max="6669" width="3.5703125" style="30" customWidth="1"/>
    <col min="6670" max="6670" width="1.7109375" style="30" customWidth="1"/>
    <col min="6671" max="6671" width="14" style="30" customWidth="1"/>
    <col min="6672" max="6672" width="2.140625" style="30" customWidth="1"/>
    <col min="6673" max="6911" width="9.140625" style="30"/>
    <col min="6912" max="6912" width="2.85546875" style="30" customWidth="1"/>
    <col min="6913" max="6913" width="6.42578125" style="30" customWidth="1"/>
    <col min="6914" max="6914" width="3.85546875" style="30" customWidth="1"/>
    <col min="6915" max="6915" width="16.5703125" style="30" customWidth="1"/>
    <col min="6916" max="6916" width="3" style="30" customWidth="1"/>
    <col min="6917" max="6917" width="11.140625" style="30" customWidth="1"/>
    <col min="6918" max="6918" width="1.42578125" style="30" customWidth="1"/>
    <col min="6919" max="6919" width="3.42578125" style="30" customWidth="1"/>
    <col min="6920" max="6920" width="1.42578125" style="30" customWidth="1"/>
    <col min="6921" max="6921" width="12.5703125" style="30" customWidth="1"/>
    <col min="6922" max="6922" width="3.28515625" style="30" customWidth="1"/>
    <col min="6923" max="6923" width="12.85546875" style="30" customWidth="1"/>
    <col min="6924" max="6924" width="1.42578125" style="30" customWidth="1"/>
    <col min="6925" max="6925" width="3.5703125" style="30" customWidth="1"/>
    <col min="6926" max="6926" width="1.7109375" style="30" customWidth="1"/>
    <col min="6927" max="6927" width="14" style="30" customWidth="1"/>
    <col min="6928" max="6928" width="2.140625" style="30" customWidth="1"/>
    <col min="6929" max="7167" width="9.140625" style="30"/>
    <col min="7168" max="7168" width="2.85546875" style="30" customWidth="1"/>
    <col min="7169" max="7169" width="6.42578125" style="30" customWidth="1"/>
    <col min="7170" max="7170" width="3.85546875" style="30" customWidth="1"/>
    <col min="7171" max="7171" width="16.5703125" style="30" customWidth="1"/>
    <col min="7172" max="7172" width="3" style="30" customWidth="1"/>
    <col min="7173" max="7173" width="11.140625" style="30" customWidth="1"/>
    <col min="7174" max="7174" width="1.42578125" style="30" customWidth="1"/>
    <col min="7175" max="7175" width="3.42578125" style="30" customWidth="1"/>
    <col min="7176" max="7176" width="1.42578125" style="30" customWidth="1"/>
    <col min="7177" max="7177" width="12.5703125" style="30" customWidth="1"/>
    <col min="7178" max="7178" width="3.28515625" style="30" customWidth="1"/>
    <col min="7179" max="7179" width="12.85546875" style="30" customWidth="1"/>
    <col min="7180" max="7180" width="1.42578125" style="30" customWidth="1"/>
    <col min="7181" max="7181" width="3.5703125" style="30" customWidth="1"/>
    <col min="7182" max="7182" width="1.7109375" style="30" customWidth="1"/>
    <col min="7183" max="7183" width="14" style="30" customWidth="1"/>
    <col min="7184" max="7184" width="2.140625" style="30" customWidth="1"/>
    <col min="7185" max="7423" width="9.140625" style="30"/>
    <col min="7424" max="7424" width="2.85546875" style="30" customWidth="1"/>
    <col min="7425" max="7425" width="6.42578125" style="30" customWidth="1"/>
    <col min="7426" max="7426" width="3.85546875" style="30" customWidth="1"/>
    <col min="7427" max="7427" width="16.5703125" style="30" customWidth="1"/>
    <col min="7428" max="7428" width="3" style="30" customWidth="1"/>
    <col min="7429" max="7429" width="11.140625" style="30" customWidth="1"/>
    <col min="7430" max="7430" width="1.42578125" style="30" customWidth="1"/>
    <col min="7431" max="7431" width="3.42578125" style="30" customWidth="1"/>
    <col min="7432" max="7432" width="1.42578125" style="30" customWidth="1"/>
    <col min="7433" max="7433" width="12.5703125" style="30" customWidth="1"/>
    <col min="7434" max="7434" width="3.28515625" style="30" customWidth="1"/>
    <col min="7435" max="7435" width="12.85546875" style="30" customWidth="1"/>
    <col min="7436" max="7436" width="1.42578125" style="30" customWidth="1"/>
    <col min="7437" max="7437" width="3.5703125" style="30" customWidth="1"/>
    <col min="7438" max="7438" width="1.7109375" style="30" customWidth="1"/>
    <col min="7439" max="7439" width="14" style="30" customWidth="1"/>
    <col min="7440" max="7440" width="2.140625" style="30" customWidth="1"/>
    <col min="7441" max="7679" width="9.140625" style="30"/>
    <col min="7680" max="7680" width="2.85546875" style="30" customWidth="1"/>
    <col min="7681" max="7681" width="6.42578125" style="30" customWidth="1"/>
    <col min="7682" max="7682" width="3.85546875" style="30" customWidth="1"/>
    <col min="7683" max="7683" width="16.5703125" style="30" customWidth="1"/>
    <col min="7684" max="7684" width="3" style="30" customWidth="1"/>
    <col min="7685" max="7685" width="11.140625" style="30" customWidth="1"/>
    <col min="7686" max="7686" width="1.42578125" style="30" customWidth="1"/>
    <col min="7687" max="7687" width="3.42578125" style="30" customWidth="1"/>
    <col min="7688" max="7688" width="1.42578125" style="30" customWidth="1"/>
    <col min="7689" max="7689" width="12.5703125" style="30" customWidth="1"/>
    <col min="7690" max="7690" width="3.28515625" style="30" customWidth="1"/>
    <col min="7691" max="7691" width="12.85546875" style="30" customWidth="1"/>
    <col min="7692" max="7692" width="1.42578125" style="30" customWidth="1"/>
    <col min="7693" max="7693" width="3.5703125" style="30" customWidth="1"/>
    <col min="7694" max="7694" width="1.7109375" style="30" customWidth="1"/>
    <col min="7695" max="7695" width="14" style="30" customWidth="1"/>
    <col min="7696" max="7696" width="2.140625" style="30" customWidth="1"/>
    <col min="7697" max="7935" width="9.140625" style="30"/>
    <col min="7936" max="7936" width="2.85546875" style="30" customWidth="1"/>
    <col min="7937" max="7937" width="6.42578125" style="30" customWidth="1"/>
    <col min="7938" max="7938" width="3.85546875" style="30" customWidth="1"/>
    <col min="7939" max="7939" width="16.5703125" style="30" customWidth="1"/>
    <col min="7940" max="7940" width="3" style="30" customWidth="1"/>
    <col min="7941" max="7941" width="11.140625" style="30" customWidth="1"/>
    <col min="7942" max="7942" width="1.42578125" style="30" customWidth="1"/>
    <col min="7943" max="7943" width="3.42578125" style="30" customWidth="1"/>
    <col min="7944" max="7944" width="1.42578125" style="30" customWidth="1"/>
    <col min="7945" max="7945" width="12.5703125" style="30" customWidth="1"/>
    <col min="7946" max="7946" width="3.28515625" style="30" customWidth="1"/>
    <col min="7947" max="7947" width="12.85546875" style="30" customWidth="1"/>
    <col min="7948" max="7948" width="1.42578125" style="30" customWidth="1"/>
    <col min="7949" max="7949" width="3.5703125" style="30" customWidth="1"/>
    <col min="7950" max="7950" width="1.7109375" style="30" customWidth="1"/>
    <col min="7951" max="7951" width="14" style="30" customWidth="1"/>
    <col min="7952" max="7952" width="2.140625" style="30" customWidth="1"/>
    <col min="7953" max="8191" width="9.140625" style="30"/>
    <col min="8192" max="8192" width="2.85546875" style="30" customWidth="1"/>
    <col min="8193" max="8193" width="6.42578125" style="30" customWidth="1"/>
    <col min="8194" max="8194" width="3.85546875" style="30" customWidth="1"/>
    <col min="8195" max="8195" width="16.5703125" style="30" customWidth="1"/>
    <col min="8196" max="8196" width="3" style="30" customWidth="1"/>
    <col min="8197" max="8197" width="11.140625" style="30" customWidth="1"/>
    <col min="8198" max="8198" width="1.42578125" style="30" customWidth="1"/>
    <col min="8199" max="8199" width="3.42578125" style="30" customWidth="1"/>
    <col min="8200" max="8200" width="1.42578125" style="30" customWidth="1"/>
    <col min="8201" max="8201" width="12.5703125" style="30" customWidth="1"/>
    <col min="8202" max="8202" width="3.28515625" style="30" customWidth="1"/>
    <col min="8203" max="8203" width="12.85546875" style="30" customWidth="1"/>
    <col min="8204" max="8204" width="1.42578125" style="30" customWidth="1"/>
    <col min="8205" max="8205" width="3.5703125" style="30" customWidth="1"/>
    <col min="8206" max="8206" width="1.7109375" style="30" customWidth="1"/>
    <col min="8207" max="8207" width="14" style="30" customWidth="1"/>
    <col min="8208" max="8208" width="2.140625" style="30" customWidth="1"/>
    <col min="8209" max="8447" width="9.140625" style="30"/>
    <col min="8448" max="8448" width="2.85546875" style="30" customWidth="1"/>
    <col min="8449" max="8449" width="6.42578125" style="30" customWidth="1"/>
    <col min="8450" max="8450" width="3.85546875" style="30" customWidth="1"/>
    <col min="8451" max="8451" width="16.5703125" style="30" customWidth="1"/>
    <col min="8452" max="8452" width="3" style="30" customWidth="1"/>
    <col min="8453" max="8453" width="11.140625" style="30" customWidth="1"/>
    <col min="8454" max="8454" width="1.42578125" style="30" customWidth="1"/>
    <col min="8455" max="8455" width="3.42578125" style="30" customWidth="1"/>
    <col min="8456" max="8456" width="1.42578125" style="30" customWidth="1"/>
    <col min="8457" max="8457" width="12.5703125" style="30" customWidth="1"/>
    <col min="8458" max="8458" width="3.28515625" style="30" customWidth="1"/>
    <col min="8459" max="8459" width="12.85546875" style="30" customWidth="1"/>
    <col min="8460" max="8460" width="1.42578125" style="30" customWidth="1"/>
    <col min="8461" max="8461" width="3.5703125" style="30" customWidth="1"/>
    <col min="8462" max="8462" width="1.7109375" style="30" customWidth="1"/>
    <col min="8463" max="8463" width="14" style="30" customWidth="1"/>
    <col min="8464" max="8464" width="2.140625" style="30" customWidth="1"/>
    <col min="8465" max="8703" width="9.140625" style="30"/>
    <col min="8704" max="8704" width="2.85546875" style="30" customWidth="1"/>
    <col min="8705" max="8705" width="6.42578125" style="30" customWidth="1"/>
    <col min="8706" max="8706" width="3.85546875" style="30" customWidth="1"/>
    <col min="8707" max="8707" width="16.5703125" style="30" customWidth="1"/>
    <col min="8708" max="8708" width="3" style="30" customWidth="1"/>
    <col min="8709" max="8709" width="11.140625" style="30" customWidth="1"/>
    <col min="8710" max="8710" width="1.42578125" style="30" customWidth="1"/>
    <col min="8711" max="8711" width="3.42578125" style="30" customWidth="1"/>
    <col min="8712" max="8712" width="1.42578125" style="30" customWidth="1"/>
    <col min="8713" max="8713" width="12.5703125" style="30" customWidth="1"/>
    <col min="8714" max="8714" width="3.28515625" style="30" customWidth="1"/>
    <col min="8715" max="8715" width="12.85546875" style="30" customWidth="1"/>
    <col min="8716" max="8716" width="1.42578125" style="30" customWidth="1"/>
    <col min="8717" max="8717" width="3.5703125" style="30" customWidth="1"/>
    <col min="8718" max="8718" width="1.7109375" style="30" customWidth="1"/>
    <col min="8719" max="8719" width="14" style="30" customWidth="1"/>
    <col min="8720" max="8720" width="2.140625" style="30" customWidth="1"/>
    <col min="8721" max="8959" width="9.140625" style="30"/>
    <col min="8960" max="8960" width="2.85546875" style="30" customWidth="1"/>
    <col min="8961" max="8961" width="6.42578125" style="30" customWidth="1"/>
    <col min="8962" max="8962" width="3.85546875" style="30" customWidth="1"/>
    <col min="8963" max="8963" width="16.5703125" style="30" customWidth="1"/>
    <col min="8964" max="8964" width="3" style="30" customWidth="1"/>
    <col min="8965" max="8965" width="11.140625" style="30" customWidth="1"/>
    <col min="8966" max="8966" width="1.42578125" style="30" customWidth="1"/>
    <col min="8967" max="8967" width="3.42578125" style="30" customWidth="1"/>
    <col min="8968" max="8968" width="1.42578125" style="30" customWidth="1"/>
    <col min="8969" max="8969" width="12.5703125" style="30" customWidth="1"/>
    <col min="8970" max="8970" width="3.28515625" style="30" customWidth="1"/>
    <col min="8971" max="8971" width="12.85546875" style="30" customWidth="1"/>
    <col min="8972" max="8972" width="1.42578125" style="30" customWidth="1"/>
    <col min="8973" max="8973" width="3.5703125" style="30" customWidth="1"/>
    <col min="8974" max="8974" width="1.7109375" style="30" customWidth="1"/>
    <col min="8975" max="8975" width="14" style="30" customWidth="1"/>
    <col min="8976" max="8976" width="2.140625" style="30" customWidth="1"/>
    <col min="8977" max="9215" width="9.140625" style="30"/>
    <col min="9216" max="9216" width="2.85546875" style="30" customWidth="1"/>
    <col min="9217" max="9217" width="6.42578125" style="30" customWidth="1"/>
    <col min="9218" max="9218" width="3.85546875" style="30" customWidth="1"/>
    <col min="9219" max="9219" width="16.5703125" style="30" customWidth="1"/>
    <col min="9220" max="9220" width="3" style="30" customWidth="1"/>
    <col min="9221" max="9221" width="11.140625" style="30" customWidth="1"/>
    <col min="9222" max="9222" width="1.42578125" style="30" customWidth="1"/>
    <col min="9223" max="9223" width="3.42578125" style="30" customWidth="1"/>
    <col min="9224" max="9224" width="1.42578125" style="30" customWidth="1"/>
    <col min="9225" max="9225" width="12.5703125" style="30" customWidth="1"/>
    <col min="9226" max="9226" width="3.28515625" style="30" customWidth="1"/>
    <col min="9227" max="9227" width="12.85546875" style="30" customWidth="1"/>
    <col min="9228" max="9228" width="1.42578125" style="30" customWidth="1"/>
    <col min="9229" max="9229" width="3.5703125" style="30" customWidth="1"/>
    <col min="9230" max="9230" width="1.7109375" style="30" customWidth="1"/>
    <col min="9231" max="9231" width="14" style="30" customWidth="1"/>
    <col min="9232" max="9232" width="2.140625" style="30" customWidth="1"/>
    <col min="9233" max="9471" width="9.140625" style="30"/>
    <col min="9472" max="9472" width="2.85546875" style="30" customWidth="1"/>
    <col min="9473" max="9473" width="6.42578125" style="30" customWidth="1"/>
    <col min="9474" max="9474" width="3.85546875" style="30" customWidth="1"/>
    <col min="9475" max="9475" width="16.5703125" style="30" customWidth="1"/>
    <col min="9476" max="9476" width="3" style="30" customWidth="1"/>
    <col min="9477" max="9477" width="11.140625" style="30" customWidth="1"/>
    <col min="9478" max="9478" width="1.42578125" style="30" customWidth="1"/>
    <col min="9479" max="9479" width="3.42578125" style="30" customWidth="1"/>
    <col min="9480" max="9480" width="1.42578125" style="30" customWidth="1"/>
    <col min="9481" max="9481" width="12.5703125" style="30" customWidth="1"/>
    <col min="9482" max="9482" width="3.28515625" style="30" customWidth="1"/>
    <col min="9483" max="9483" width="12.85546875" style="30" customWidth="1"/>
    <col min="9484" max="9484" width="1.42578125" style="30" customWidth="1"/>
    <col min="9485" max="9485" width="3.5703125" style="30" customWidth="1"/>
    <col min="9486" max="9486" width="1.7109375" style="30" customWidth="1"/>
    <col min="9487" max="9487" width="14" style="30" customWidth="1"/>
    <col min="9488" max="9488" width="2.140625" style="30" customWidth="1"/>
    <col min="9489" max="9727" width="9.140625" style="30"/>
    <col min="9728" max="9728" width="2.85546875" style="30" customWidth="1"/>
    <col min="9729" max="9729" width="6.42578125" style="30" customWidth="1"/>
    <col min="9730" max="9730" width="3.85546875" style="30" customWidth="1"/>
    <col min="9731" max="9731" width="16.5703125" style="30" customWidth="1"/>
    <col min="9732" max="9732" width="3" style="30" customWidth="1"/>
    <col min="9733" max="9733" width="11.140625" style="30" customWidth="1"/>
    <col min="9734" max="9734" width="1.42578125" style="30" customWidth="1"/>
    <col min="9735" max="9735" width="3.42578125" style="30" customWidth="1"/>
    <col min="9736" max="9736" width="1.42578125" style="30" customWidth="1"/>
    <col min="9737" max="9737" width="12.5703125" style="30" customWidth="1"/>
    <col min="9738" max="9738" width="3.28515625" style="30" customWidth="1"/>
    <col min="9739" max="9739" width="12.85546875" style="30" customWidth="1"/>
    <col min="9740" max="9740" width="1.42578125" style="30" customWidth="1"/>
    <col min="9741" max="9741" width="3.5703125" style="30" customWidth="1"/>
    <col min="9742" max="9742" width="1.7109375" style="30" customWidth="1"/>
    <col min="9743" max="9743" width="14" style="30" customWidth="1"/>
    <col min="9744" max="9744" width="2.140625" style="30" customWidth="1"/>
    <col min="9745" max="9983" width="9.140625" style="30"/>
    <col min="9984" max="9984" width="2.85546875" style="30" customWidth="1"/>
    <col min="9985" max="9985" width="6.42578125" style="30" customWidth="1"/>
    <col min="9986" max="9986" width="3.85546875" style="30" customWidth="1"/>
    <col min="9987" max="9987" width="16.5703125" style="30" customWidth="1"/>
    <col min="9988" max="9988" width="3" style="30" customWidth="1"/>
    <col min="9989" max="9989" width="11.140625" style="30" customWidth="1"/>
    <col min="9990" max="9990" width="1.42578125" style="30" customWidth="1"/>
    <col min="9991" max="9991" width="3.42578125" style="30" customWidth="1"/>
    <col min="9992" max="9992" width="1.42578125" style="30" customWidth="1"/>
    <col min="9993" max="9993" width="12.5703125" style="30" customWidth="1"/>
    <col min="9994" max="9994" width="3.28515625" style="30" customWidth="1"/>
    <col min="9995" max="9995" width="12.85546875" style="30" customWidth="1"/>
    <col min="9996" max="9996" width="1.42578125" style="30" customWidth="1"/>
    <col min="9997" max="9997" width="3.5703125" style="30" customWidth="1"/>
    <col min="9998" max="9998" width="1.7109375" style="30" customWidth="1"/>
    <col min="9999" max="9999" width="14" style="30" customWidth="1"/>
    <col min="10000" max="10000" width="2.140625" style="30" customWidth="1"/>
    <col min="10001" max="10239" width="9.140625" style="30"/>
    <col min="10240" max="10240" width="2.85546875" style="30" customWidth="1"/>
    <col min="10241" max="10241" width="6.42578125" style="30" customWidth="1"/>
    <col min="10242" max="10242" width="3.85546875" style="30" customWidth="1"/>
    <col min="10243" max="10243" width="16.5703125" style="30" customWidth="1"/>
    <col min="10244" max="10244" width="3" style="30" customWidth="1"/>
    <col min="10245" max="10245" width="11.140625" style="30" customWidth="1"/>
    <col min="10246" max="10246" width="1.42578125" style="30" customWidth="1"/>
    <col min="10247" max="10247" width="3.42578125" style="30" customWidth="1"/>
    <col min="10248" max="10248" width="1.42578125" style="30" customWidth="1"/>
    <col min="10249" max="10249" width="12.5703125" style="30" customWidth="1"/>
    <col min="10250" max="10250" width="3.28515625" style="30" customWidth="1"/>
    <col min="10251" max="10251" width="12.85546875" style="30" customWidth="1"/>
    <col min="10252" max="10252" width="1.42578125" style="30" customWidth="1"/>
    <col min="10253" max="10253" width="3.5703125" style="30" customWidth="1"/>
    <col min="10254" max="10254" width="1.7109375" style="30" customWidth="1"/>
    <col min="10255" max="10255" width="14" style="30" customWidth="1"/>
    <col min="10256" max="10256" width="2.140625" style="30" customWidth="1"/>
    <col min="10257" max="10495" width="9.140625" style="30"/>
    <col min="10496" max="10496" width="2.85546875" style="30" customWidth="1"/>
    <col min="10497" max="10497" width="6.42578125" style="30" customWidth="1"/>
    <col min="10498" max="10498" width="3.85546875" style="30" customWidth="1"/>
    <col min="10499" max="10499" width="16.5703125" style="30" customWidth="1"/>
    <col min="10500" max="10500" width="3" style="30" customWidth="1"/>
    <col min="10501" max="10501" width="11.140625" style="30" customWidth="1"/>
    <col min="10502" max="10502" width="1.42578125" style="30" customWidth="1"/>
    <col min="10503" max="10503" width="3.42578125" style="30" customWidth="1"/>
    <col min="10504" max="10504" width="1.42578125" style="30" customWidth="1"/>
    <col min="10505" max="10505" width="12.5703125" style="30" customWidth="1"/>
    <col min="10506" max="10506" width="3.28515625" style="30" customWidth="1"/>
    <col min="10507" max="10507" width="12.85546875" style="30" customWidth="1"/>
    <col min="10508" max="10508" width="1.42578125" style="30" customWidth="1"/>
    <col min="10509" max="10509" width="3.5703125" style="30" customWidth="1"/>
    <col min="10510" max="10510" width="1.7109375" style="30" customWidth="1"/>
    <col min="10511" max="10511" width="14" style="30" customWidth="1"/>
    <col min="10512" max="10512" width="2.140625" style="30" customWidth="1"/>
    <col min="10513" max="10751" width="9.140625" style="30"/>
    <col min="10752" max="10752" width="2.85546875" style="30" customWidth="1"/>
    <col min="10753" max="10753" width="6.42578125" style="30" customWidth="1"/>
    <col min="10754" max="10754" width="3.85546875" style="30" customWidth="1"/>
    <col min="10755" max="10755" width="16.5703125" style="30" customWidth="1"/>
    <col min="10756" max="10756" width="3" style="30" customWidth="1"/>
    <col min="10757" max="10757" width="11.140625" style="30" customWidth="1"/>
    <col min="10758" max="10758" width="1.42578125" style="30" customWidth="1"/>
    <col min="10759" max="10759" width="3.42578125" style="30" customWidth="1"/>
    <col min="10760" max="10760" width="1.42578125" style="30" customWidth="1"/>
    <col min="10761" max="10761" width="12.5703125" style="30" customWidth="1"/>
    <col min="10762" max="10762" width="3.28515625" style="30" customWidth="1"/>
    <col min="10763" max="10763" width="12.85546875" style="30" customWidth="1"/>
    <col min="10764" max="10764" width="1.42578125" style="30" customWidth="1"/>
    <col min="10765" max="10765" width="3.5703125" style="30" customWidth="1"/>
    <col min="10766" max="10766" width="1.7109375" style="30" customWidth="1"/>
    <col min="10767" max="10767" width="14" style="30" customWidth="1"/>
    <col min="10768" max="10768" width="2.140625" style="30" customWidth="1"/>
    <col min="10769" max="11007" width="9.140625" style="30"/>
    <col min="11008" max="11008" width="2.85546875" style="30" customWidth="1"/>
    <col min="11009" max="11009" width="6.42578125" style="30" customWidth="1"/>
    <col min="11010" max="11010" width="3.85546875" style="30" customWidth="1"/>
    <col min="11011" max="11011" width="16.5703125" style="30" customWidth="1"/>
    <col min="11012" max="11012" width="3" style="30" customWidth="1"/>
    <col min="11013" max="11013" width="11.140625" style="30" customWidth="1"/>
    <col min="11014" max="11014" width="1.42578125" style="30" customWidth="1"/>
    <col min="11015" max="11015" width="3.42578125" style="30" customWidth="1"/>
    <col min="11016" max="11016" width="1.42578125" style="30" customWidth="1"/>
    <col min="11017" max="11017" width="12.5703125" style="30" customWidth="1"/>
    <col min="11018" max="11018" width="3.28515625" style="30" customWidth="1"/>
    <col min="11019" max="11019" width="12.85546875" style="30" customWidth="1"/>
    <col min="11020" max="11020" width="1.42578125" style="30" customWidth="1"/>
    <col min="11021" max="11021" width="3.5703125" style="30" customWidth="1"/>
    <col min="11022" max="11022" width="1.7109375" style="30" customWidth="1"/>
    <col min="11023" max="11023" width="14" style="30" customWidth="1"/>
    <col min="11024" max="11024" width="2.140625" style="30" customWidth="1"/>
    <col min="11025" max="11263" width="9.140625" style="30"/>
    <col min="11264" max="11264" width="2.85546875" style="30" customWidth="1"/>
    <col min="11265" max="11265" width="6.42578125" style="30" customWidth="1"/>
    <col min="11266" max="11266" width="3.85546875" style="30" customWidth="1"/>
    <col min="11267" max="11267" width="16.5703125" style="30" customWidth="1"/>
    <col min="11268" max="11268" width="3" style="30" customWidth="1"/>
    <col min="11269" max="11269" width="11.140625" style="30" customWidth="1"/>
    <col min="11270" max="11270" width="1.42578125" style="30" customWidth="1"/>
    <col min="11271" max="11271" width="3.42578125" style="30" customWidth="1"/>
    <col min="11272" max="11272" width="1.42578125" style="30" customWidth="1"/>
    <col min="11273" max="11273" width="12.5703125" style="30" customWidth="1"/>
    <col min="11274" max="11274" width="3.28515625" style="30" customWidth="1"/>
    <col min="11275" max="11275" width="12.85546875" style="30" customWidth="1"/>
    <col min="11276" max="11276" width="1.42578125" style="30" customWidth="1"/>
    <col min="11277" max="11277" width="3.5703125" style="30" customWidth="1"/>
    <col min="11278" max="11278" width="1.7109375" style="30" customWidth="1"/>
    <col min="11279" max="11279" width="14" style="30" customWidth="1"/>
    <col min="11280" max="11280" width="2.140625" style="30" customWidth="1"/>
    <col min="11281" max="11519" width="9.140625" style="30"/>
    <col min="11520" max="11520" width="2.85546875" style="30" customWidth="1"/>
    <col min="11521" max="11521" width="6.42578125" style="30" customWidth="1"/>
    <col min="11522" max="11522" width="3.85546875" style="30" customWidth="1"/>
    <col min="11523" max="11523" width="16.5703125" style="30" customWidth="1"/>
    <col min="11524" max="11524" width="3" style="30" customWidth="1"/>
    <col min="11525" max="11525" width="11.140625" style="30" customWidth="1"/>
    <col min="11526" max="11526" width="1.42578125" style="30" customWidth="1"/>
    <col min="11527" max="11527" width="3.42578125" style="30" customWidth="1"/>
    <col min="11528" max="11528" width="1.42578125" style="30" customWidth="1"/>
    <col min="11529" max="11529" width="12.5703125" style="30" customWidth="1"/>
    <col min="11530" max="11530" width="3.28515625" style="30" customWidth="1"/>
    <col min="11531" max="11531" width="12.85546875" style="30" customWidth="1"/>
    <col min="11532" max="11532" width="1.42578125" style="30" customWidth="1"/>
    <col min="11533" max="11533" width="3.5703125" style="30" customWidth="1"/>
    <col min="11534" max="11534" width="1.7109375" style="30" customWidth="1"/>
    <col min="11535" max="11535" width="14" style="30" customWidth="1"/>
    <col min="11536" max="11536" width="2.140625" style="30" customWidth="1"/>
    <col min="11537" max="11775" width="9.140625" style="30"/>
    <col min="11776" max="11776" width="2.85546875" style="30" customWidth="1"/>
    <col min="11777" max="11777" width="6.42578125" style="30" customWidth="1"/>
    <col min="11778" max="11778" width="3.85546875" style="30" customWidth="1"/>
    <col min="11779" max="11779" width="16.5703125" style="30" customWidth="1"/>
    <col min="11780" max="11780" width="3" style="30" customWidth="1"/>
    <col min="11781" max="11781" width="11.140625" style="30" customWidth="1"/>
    <col min="11782" max="11782" width="1.42578125" style="30" customWidth="1"/>
    <col min="11783" max="11783" width="3.42578125" style="30" customWidth="1"/>
    <col min="11784" max="11784" width="1.42578125" style="30" customWidth="1"/>
    <col min="11785" max="11785" width="12.5703125" style="30" customWidth="1"/>
    <col min="11786" max="11786" width="3.28515625" style="30" customWidth="1"/>
    <col min="11787" max="11787" width="12.85546875" style="30" customWidth="1"/>
    <col min="11788" max="11788" width="1.42578125" style="30" customWidth="1"/>
    <col min="11789" max="11789" width="3.5703125" style="30" customWidth="1"/>
    <col min="11790" max="11790" width="1.7109375" style="30" customWidth="1"/>
    <col min="11791" max="11791" width="14" style="30" customWidth="1"/>
    <col min="11792" max="11792" width="2.140625" style="30" customWidth="1"/>
    <col min="11793" max="12031" width="9.140625" style="30"/>
    <col min="12032" max="12032" width="2.85546875" style="30" customWidth="1"/>
    <col min="12033" max="12033" width="6.42578125" style="30" customWidth="1"/>
    <col min="12034" max="12034" width="3.85546875" style="30" customWidth="1"/>
    <col min="12035" max="12035" width="16.5703125" style="30" customWidth="1"/>
    <col min="12036" max="12036" width="3" style="30" customWidth="1"/>
    <col min="12037" max="12037" width="11.140625" style="30" customWidth="1"/>
    <col min="12038" max="12038" width="1.42578125" style="30" customWidth="1"/>
    <col min="12039" max="12039" width="3.42578125" style="30" customWidth="1"/>
    <col min="12040" max="12040" width="1.42578125" style="30" customWidth="1"/>
    <col min="12041" max="12041" width="12.5703125" style="30" customWidth="1"/>
    <col min="12042" max="12042" width="3.28515625" style="30" customWidth="1"/>
    <col min="12043" max="12043" width="12.85546875" style="30" customWidth="1"/>
    <col min="12044" max="12044" width="1.42578125" style="30" customWidth="1"/>
    <col min="12045" max="12045" width="3.5703125" style="30" customWidth="1"/>
    <col min="12046" max="12046" width="1.7109375" style="30" customWidth="1"/>
    <col min="12047" max="12047" width="14" style="30" customWidth="1"/>
    <col min="12048" max="12048" width="2.140625" style="30" customWidth="1"/>
    <col min="12049" max="12287" width="9.140625" style="30"/>
    <col min="12288" max="12288" width="2.85546875" style="30" customWidth="1"/>
    <col min="12289" max="12289" width="6.42578125" style="30" customWidth="1"/>
    <col min="12290" max="12290" width="3.85546875" style="30" customWidth="1"/>
    <col min="12291" max="12291" width="16.5703125" style="30" customWidth="1"/>
    <col min="12292" max="12292" width="3" style="30" customWidth="1"/>
    <col min="12293" max="12293" width="11.140625" style="30" customWidth="1"/>
    <col min="12294" max="12294" width="1.42578125" style="30" customWidth="1"/>
    <col min="12295" max="12295" width="3.42578125" style="30" customWidth="1"/>
    <col min="12296" max="12296" width="1.42578125" style="30" customWidth="1"/>
    <col min="12297" max="12297" width="12.5703125" style="30" customWidth="1"/>
    <col min="12298" max="12298" width="3.28515625" style="30" customWidth="1"/>
    <col min="12299" max="12299" width="12.85546875" style="30" customWidth="1"/>
    <col min="12300" max="12300" width="1.42578125" style="30" customWidth="1"/>
    <col min="12301" max="12301" width="3.5703125" style="30" customWidth="1"/>
    <col min="12302" max="12302" width="1.7109375" style="30" customWidth="1"/>
    <col min="12303" max="12303" width="14" style="30" customWidth="1"/>
    <col min="12304" max="12304" width="2.140625" style="30" customWidth="1"/>
    <col min="12305" max="12543" width="9.140625" style="30"/>
    <col min="12544" max="12544" width="2.85546875" style="30" customWidth="1"/>
    <col min="12545" max="12545" width="6.42578125" style="30" customWidth="1"/>
    <col min="12546" max="12546" width="3.85546875" style="30" customWidth="1"/>
    <col min="12547" max="12547" width="16.5703125" style="30" customWidth="1"/>
    <col min="12548" max="12548" width="3" style="30" customWidth="1"/>
    <col min="12549" max="12549" width="11.140625" style="30" customWidth="1"/>
    <col min="12550" max="12550" width="1.42578125" style="30" customWidth="1"/>
    <col min="12551" max="12551" width="3.42578125" style="30" customWidth="1"/>
    <col min="12552" max="12552" width="1.42578125" style="30" customWidth="1"/>
    <col min="12553" max="12553" width="12.5703125" style="30" customWidth="1"/>
    <col min="12554" max="12554" width="3.28515625" style="30" customWidth="1"/>
    <col min="12555" max="12555" width="12.85546875" style="30" customWidth="1"/>
    <col min="12556" max="12556" width="1.42578125" style="30" customWidth="1"/>
    <col min="12557" max="12557" width="3.5703125" style="30" customWidth="1"/>
    <col min="12558" max="12558" width="1.7109375" style="30" customWidth="1"/>
    <col min="12559" max="12559" width="14" style="30" customWidth="1"/>
    <col min="12560" max="12560" width="2.140625" style="30" customWidth="1"/>
    <col min="12561" max="12799" width="9.140625" style="30"/>
    <col min="12800" max="12800" width="2.85546875" style="30" customWidth="1"/>
    <col min="12801" max="12801" width="6.42578125" style="30" customWidth="1"/>
    <col min="12802" max="12802" width="3.85546875" style="30" customWidth="1"/>
    <col min="12803" max="12803" width="16.5703125" style="30" customWidth="1"/>
    <col min="12804" max="12804" width="3" style="30" customWidth="1"/>
    <col min="12805" max="12805" width="11.140625" style="30" customWidth="1"/>
    <col min="12806" max="12806" width="1.42578125" style="30" customWidth="1"/>
    <col min="12807" max="12807" width="3.42578125" style="30" customWidth="1"/>
    <col min="12808" max="12808" width="1.42578125" style="30" customWidth="1"/>
    <col min="12809" max="12809" width="12.5703125" style="30" customWidth="1"/>
    <col min="12810" max="12810" width="3.28515625" style="30" customWidth="1"/>
    <col min="12811" max="12811" width="12.85546875" style="30" customWidth="1"/>
    <col min="12812" max="12812" width="1.42578125" style="30" customWidth="1"/>
    <col min="12813" max="12813" width="3.5703125" style="30" customWidth="1"/>
    <col min="12814" max="12814" width="1.7109375" style="30" customWidth="1"/>
    <col min="12815" max="12815" width="14" style="30" customWidth="1"/>
    <col min="12816" max="12816" width="2.140625" style="30" customWidth="1"/>
    <col min="12817" max="13055" width="9.140625" style="30"/>
    <col min="13056" max="13056" width="2.85546875" style="30" customWidth="1"/>
    <col min="13057" max="13057" width="6.42578125" style="30" customWidth="1"/>
    <col min="13058" max="13058" width="3.85546875" style="30" customWidth="1"/>
    <col min="13059" max="13059" width="16.5703125" style="30" customWidth="1"/>
    <col min="13060" max="13060" width="3" style="30" customWidth="1"/>
    <col min="13061" max="13061" width="11.140625" style="30" customWidth="1"/>
    <col min="13062" max="13062" width="1.42578125" style="30" customWidth="1"/>
    <col min="13063" max="13063" width="3.42578125" style="30" customWidth="1"/>
    <col min="13064" max="13064" width="1.42578125" style="30" customWidth="1"/>
    <col min="13065" max="13065" width="12.5703125" style="30" customWidth="1"/>
    <col min="13066" max="13066" width="3.28515625" style="30" customWidth="1"/>
    <col min="13067" max="13067" width="12.85546875" style="30" customWidth="1"/>
    <col min="13068" max="13068" width="1.42578125" style="30" customWidth="1"/>
    <col min="13069" max="13069" width="3.5703125" style="30" customWidth="1"/>
    <col min="13070" max="13070" width="1.7109375" style="30" customWidth="1"/>
    <col min="13071" max="13071" width="14" style="30" customWidth="1"/>
    <col min="13072" max="13072" width="2.140625" style="30" customWidth="1"/>
    <col min="13073" max="13311" width="9.140625" style="30"/>
    <col min="13312" max="13312" width="2.85546875" style="30" customWidth="1"/>
    <col min="13313" max="13313" width="6.42578125" style="30" customWidth="1"/>
    <col min="13314" max="13314" width="3.85546875" style="30" customWidth="1"/>
    <col min="13315" max="13315" width="16.5703125" style="30" customWidth="1"/>
    <col min="13316" max="13316" width="3" style="30" customWidth="1"/>
    <col min="13317" max="13317" width="11.140625" style="30" customWidth="1"/>
    <col min="13318" max="13318" width="1.42578125" style="30" customWidth="1"/>
    <col min="13319" max="13319" width="3.42578125" style="30" customWidth="1"/>
    <col min="13320" max="13320" width="1.42578125" style="30" customWidth="1"/>
    <col min="13321" max="13321" width="12.5703125" style="30" customWidth="1"/>
    <col min="13322" max="13322" width="3.28515625" style="30" customWidth="1"/>
    <col min="13323" max="13323" width="12.85546875" style="30" customWidth="1"/>
    <col min="13324" max="13324" width="1.42578125" style="30" customWidth="1"/>
    <col min="13325" max="13325" width="3.5703125" style="30" customWidth="1"/>
    <col min="13326" max="13326" width="1.7109375" style="30" customWidth="1"/>
    <col min="13327" max="13327" width="14" style="30" customWidth="1"/>
    <col min="13328" max="13328" width="2.140625" style="30" customWidth="1"/>
    <col min="13329" max="13567" width="9.140625" style="30"/>
    <col min="13568" max="13568" width="2.85546875" style="30" customWidth="1"/>
    <col min="13569" max="13569" width="6.42578125" style="30" customWidth="1"/>
    <col min="13570" max="13570" width="3.85546875" style="30" customWidth="1"/>
    <col min="13571" max="13571" width="16.5703125" style="30" customWidth="1"/>
    <col min="13572" max="13572" width="3" style="30" customWidth="1"/>
    <col min="13573" max="13573" width="11.140625" style="30" customWidth="1"/>
    <col min="13574" max="13574" width="1.42578125" style="30" customWidth="1"/>
    <col min="13575" max="13575" width="3.42578125" style="30" customWidth="1"/>
    <col min="13576" max="13576" width="1.42578125" style="30" customWidth="1"/>
    <col min="13577" max="13577" width="12.5703125" style="30" customWidth="1"/>
    <col min="13578" max="13578" width="3.28515625" style="30" customWidth="1"/>
    <col min="13579" max="13579" width="12.85546875" style="30" customWidth="1"/>
    <col min="13580" max="13580" width="1.42578125" style="30" customWidth="1"/>
    <col min="13581" max="13581" width="3.5703125" style="30" customWidth="1"/>
    <col min="13582" max="13582" width="1.7109375" style="30" customWidth="1"/>
    <col min="13583" max="13583" width="14" style="30" customWidth="1"/>
    <col min="13584" max="13584" width="2.140625" style="30" customWidth="1"/>
    <col min="13585" max="13823" width="9.140625" style="30"/>
    <col min="13824" max="13824" width="2.85546875" style="30" customWidth="1"/>
    <col min="13825" max="13825" width="6.42578125" style="30" customWidth="1"/>
    <col min="13826" max="13826" width="3.85546875" style="30" customWidth="1"/>
    <col min="13827" max="13827" width="16.5703125" style="30" customWidth="1"/>
    <col min="13828" max="13828" width="3" style="30" customWidth="1"/>
    <col min="13829" max="13829" width="11.140625" style="30" customWidth="1"/>
    <col min="13830" max="13830" width="1.42578125" style="30" customWidth="1"/>
    <col min="13831" max="13831" width="3.42578125" style="30" customWidth="1"/>
    <col min="13832" max="13832" width="1.42578125" style="30" customWidth="1"/>
    <col min="13833" max="13833" width="12.5703125" style="30" customWidth="1"/>
    <col min="13834" max="13834" width="3.28515625" style="30" customWidth="1"/>
    <col min="13835" max="13835" width="12.85546875" style="30" customWidth="1"/>
    <col min="13836" max="13836" width="1.42578125" style="30" customWidth="1"/>
    <col min="13837" max="13837" width="3.5703125" style="30" customWidth="1"/>
    <col min="13838" max="13838" width="1.7109375" style="30" customWidth="1"/>
    <col min="13839" max="13839" width="14" style="30" customWidth="1"/>
    <col min="13840" max="13840" width="2.140625" style="30" customWidth="1"/>
    <col min="13841" max="14079" width="9.140625" style="30"/>
    <col min="14080" max="14080" width="2.85546875" style="30" customWidth="1"/>
    <col min="14081" max="14081" width="6.42578125" style="30" customWidth="1"/>
    <col min="14082" max="14082" width="3.85546875" style="30" customWidth="1"/>
    <col min="14083" max="14083" width="16.5703125" style="30" customWidth="1"/>
    <col min="14084" max="14084" width="3" style="30" customWidth="1"/>
    <col min="14085" max="14085" width="11.140625" style="30" customWidth="1"/>
    <col min="14086" max="14086" width="1.42578125" style="30" customWidth="1"/>
    <col min="14087" max="14087" width="3.42578125" style="30" customWidth="1"/>
    <col min="14088" max="14088" width="1.42578125" style="30" customWidth="1"/>
    <col min="14089" max="14089" width="12.5703125" style="30" customWidth="1"/>
    <col min="14090" max="14090" width="3.28515625" style="30" customWidth="1"/>
    <col min="14091" max="14091" width="12.85546875" style="30" customWidth="1"/>
    <col min="14092" max="14092" width="1.42578125" style="30" customWidth="1"/>
    <col min="14093" max="14093" width="3.5703125" style="30" customWidth="1"/>
    <col min="14094" max="14094" width="1.7109375" style="30" customWidth="1"/>
    <col min="14095" max="14095" width="14" style="30" customWidth="1"/>
    <col min="14096" max="14096" width="2.140625" style="30" customWidth="1"/>
    <col min="14097" max="14335" width="9.140625" style="30"/>
    <col min="14336" max="14336" width="2.85546875" style="30" customWidth="1"/>
    <col min="14337" max="14337" width="6.42578125" style="30" customWidth="1"/>
    <col min="14338" max="14338" width="3.85546875" style="30" customWidth="1"/>
    <col min="14339" max="14339" width="16.5703125" style="30" customWidth="1"/>
    <col min="14340" max="14340" width="3" style="30" customWidth="1"/>
    <col min="14341" max="14341" width="11.140625" style="30" customWidth="1"/>
    <col min="14342" max="14342" width="1.42578125" style="30" customWidth="1"/>
    <col min="14343" max="14343" width="3.42578125" style="30" customWidth="1"/>
    <col min="14344" max="14344" width="1.42578125" style="30" customWidth="1"/>
    <col min="14345" max="14345" width="12.5703125" style="30" customWidth="1"/>
    <col min="14346" max="14346" width="3.28515625" style="30" customWidth="1"/>
    <col min="14347" max="14347" width="12.85546875" style="30" customWidth="1"/>
    <col min="14348" max="14348" width="1.42578125" style="30" customWidth="1"/>
    <col min="14349" max="14349" width="3.5703125" style="30" customWidth="1"/>
    <col min="14350" max="14350" width="1.7109375" style="30" customWidth="1"/>
    <col min="14351" max="14351" width="14" style="30" customWidth="1"/>
    <col min="14352" max="14352" width="2.140625" style="30" customWidth="1"/>
    <col min="14353" max="14591" width="9.140625" style="30"/>
    <col min="14592" max="14592" width="2.85546875" style="30" customWidth="1"/>
    <col min="14593" max="14593" width="6.42578125" style="30" customWidth="1"/>
    <col min="14594" max="14594" width="3.85546875" style="30" customWidth="1"/>
    <col min="14595" max="14595" width="16.5703125" style="30" customWidth="1"/>
    <col min="14596" max="14596" width="3" style="30" customWidth="1"/>
    <col min="14597" max="14597" width="11.140625" style="30" customWidth="1"/>
    <col min="14598" max="14598" width="1.42578125" style="30" customWidth="1"/>
    <col min="14599" max="14599" width="3.42578125" style="30" customWidth="1"/>
    <col min="14600" max="14600" width="1.42578125" style="30" customWidth="1"/>
    <col min="14601" max="14601" width="12.5703125" style="30" customWidth="1"/>
    <col min="14602" max="14602" width="3.28515625" style="30" customWidth="1"/>
    <col min="14603" max="14603" width="12.85546875" style="30" customWidth="1"/>
    <col min="14604" max="14604" width="1.42578125" style="30" customWidth="1"/>
    <col min="14605" max="14605" width="3.5703125" style="30" customWidth="1"/>
    <col min="14606" max="14606" width="1.7109375" style="30" customWidth="1"/>
    <col min="14607" max="14607" width="14" style="30" customWidth="1"/>
    <col min="14608" max="14608" width="2.140625" style="30" customWidth="1"/>
    <col min="14609" max="14847" width="9.140625" style="30"/>
    <col min="14848" max="14848" width="2.85546875" style="30" customWidth="1"/>
    <col min="14849" max="14849" width="6.42578125" style="30" customWidth="1"/>
    <col min="14850" max="14850" width="3.85546875" style="30" customWidth="1"/>
    <col min="14851" max="14851" width="16.5703125" style="30" customWidth="1"/>
    <col min="14852" max="14852" width="3" style="30" customWidth="1"/>
    <col min="14853" max="14853" width="11.140625" style="30" customWidth="1"/>
    <col min="14854" max="14854" width="1.42578125" style="30" customWidth="1"/>
    <col min="14855" max="14855" width="3.42578125" style="30" customWidth="1"/>
    <col min="14856" max="14856" width="1.42578125" style="30" customWidth="1"/>
    <col min="14857" max="14857" width="12.5703125" style="30" customWidth="1"/>
    <col min="14858" max="14858" width="3.28515625" style="30" customWidth="1"/>
    <col min="14859" max="14859" width="12.85546875" style="30" customWidth="1"/>
    <col min="14860" max="14860" width="1.42578125" style="30" customWidth="1"/>
    <col min="14861" max="14861" width="3.5703125" style="30" customWidth="1"/>
    <col min="14862" max="14862" width="1.7109375" style="30" customWidth="1"/>
    <col min="14863" max="14863" width="14" style="30" customWidth="1"/>
    <col min="14864" max="14864" width="2.140625" style="30" customWidth="1"/>
    <col min="14865" max="15103" width="9.140625" style="30"/>
    <col min="15104" max="15104" width="2.85546875" style="30" customWidth="1"/>
    <col min="15105" max="15105" width="6.42578125" style="30" customWidth="1"/>
    <col min="15106" max="15106" width="3.85546875" style="30" customWidth="1"/>
    <col min="15107" max="15107" width="16.5703125" style="30" customWidth="1"/>
    <col min="15108" max="15108" width="3" style="30" customWidth="1"/>
    <col min="15109" max="15109" width="11.140625" style="30" customWidth="1"/>
    <col min="15110" max="15110" width="1.42578125" style="30" customWidth="1"/>
    <col min="15111" max="15111" width="3.42578125" style="30" customWidth="1"/>
    <col min="15112" max="15112" width="1.42578125" style="30" customWidth="1"/>
    <col min="15113" max="15113" width="12.5703125" style="30" customWidth="1"/>
    <col min="15114" max="15114" width="3.28515625" style="30" customWidth="1"/>
    <col min="15115" max="15115" width="12.85546875" style="30" customWidth="1"/>
    <col min="15116" max="15116" width="1.42578125" style="30" customWidth="1"/>
    <col min="15117" max="15117" width="3.5703125" style="30" customWidth="1"/>
    <col min="15118" max="15118" width="1.7109375" style="30" customWidth="1"/>
    <col min="15119" max="15119" width="14" style="30" customWidth="1"/>
    <col min="15120" max="15120" width="2.140625" style="30" customWidth="1"/>
    <col min="15121" max="15359" width="9.140625" style="30"/>
    <col min="15360" max="15360" width="2.85546875" style="30" customWidth="1"/>
    <col min="15361" max="15361" width="6.42578125" style="30" customWidth="1"/>
    <col min="15362" max="15362" width="3.85546875" style="30" customWidth="1"/>
    <col min="15363" max="15363" width="16.5703125" style="30" customWidth="1"/>
    <col min="15364" max="15364" width="3" style="30" customWidth="1"/>
    <col min="15365" max="15365" width="11.140625" style="30" customWidth="1"/>
    <col min="15366" max="15366" width="1.42578125" style="30" customWidth="1"/>
    <col min="15367" max="15367" width="3.42578125" style="30" customWidth="1"/>
    <col min="15368" max="15368" width="1.42578125" style="30" customWidth="1"/>
    <col min="15369" max="15369" width="12.5703125" style="30" customWidth="1"/>
    <col min="15370" max="15370" width="3.28515625" style="30" customWidth="1"/>
    <col min="15371" max="15371" width="12.85546875" style="30" customWidth="1"/>
    <col min="15372" max="15372" width="1.42578125" style="30" customWidth="1"/>
    <col min="15373" max="15373" width="3.5703125" style="30" customWidth="1"/>
    <col min="15374" max="15374" width="1.7109375" style="30" customWidth="1"/>
    <col min="15375" max="15375" width="14" style="30" customWidth="1"/>
    <col min="15376" max="15376" width="2.140625" style="30" customWidth="1"/>
    <col min="15377" max="15615" width="9.140625" style="30"/>
    <col min="15616" max="15616" width="2.85546875" style="30" customWidth="1"/>
    <col min="15617" max="15617" width="6.42578125" style="30" customWidth="1"/>
    <col min="15618" max="15618" width="3.85546875" style="30" customWidth="1"/>
    <col min="15619" max="15619" width="16.5703125" style="30" customWidth="1"/>
    <col min="15620" max="15620" width="3" style="30" customWidth="1"/>
    <col min="15621" max="15621" width="11.140625" style="30" customWidth="1"/>
    <col min="15622" max="15622" width="1.42578125" style="30" customWidth="1"/>
    <col min="15623" max="15623" width="3.42578125" style="30" customWidth="1"/>
    <col min="15624" max="15624" width="1.42578125" style="30" customWidth="1"/>
    <col min="15625" max="15625" width="12.5703125" style="30" customWidth="1"/>
    <col min="15626" max="15626" width="3.28515625" style="30" customWidth="1"/>
    <col min="15627" max="15627" width="12.85546875" style="30" customWidth="1"/>
    <col min="15628" max="15628" width="1.42578125" style="30" customWidth="1"/>
    <col min="15629" max="15629" width="3.5703125" style="30" customWidth="1"/>
    <col min="15630" max="15630" width="1.7109375" style="30" customWidth="1"/>
    <col min="15631" max="15631" width="14" style="30" customWidth="1"/>
    <col min="15632" max="15632" width="2.140625" style="30" customWidth="1"/>
    <col min="15633" max="15871" width="9.140625" style="30"/>
    <col min="15872" max="15872" width="2.85546875" style="30" customWidth="1"/>
    <col min="15873" max="15873" width="6.42578125" style="30" customWidth="1"/>
    <col min="15874" max="15874" width="3.85546875" style="30" customWidth="1"/>
    <col min="15875" max="15875" width="16.5703125" style="30" customWidth="1"/>
    <col min="15876" max="15876" width="3" style="30" customWidth="1"/>
    <col min="15877" max="15877" width="11.140625" style="30" customWidth="1"/>
    <col min="15878" max="15878" width="1.42578125" style="30" customWidth="1"/>
    <col min="15879" max="15879" width="3.42578125" style="30" customWidth="1"/>
    <col min="15880" max="15880" width="1.42578125" style="30" customWidth="1"/>
    <col min="15881" max="15881" width="12.5703125" style="30" customWidth="1"/>
    <col min="15882" max="15882" width="3.28515625" style="30" customWidth="1"/>
    <col min="15883" max="15883" width="12.85546875" style="30" customWidth="1"/>
    <col min="15884" max="15884" width="1.42578125" style="30" customWidth="1"/>
    <col min="15885" max="15885" width="3.5703125" style="30" customWidth="1"/>
    <col min="15886" max="15886" width="1.7109375" style="30" customWidth="1"/>
    <col min="15887" max="15887" width="14" style="30" customWidth="1"/>
    <col min="15888" max="15888" width="2.140625" style="30" customWidth="1"/>
    <col min="15889" max="16127" width="9.140625" style="30"/>
    <col min="16128" max="16128" width="2.85546875" style="30" customWidth="1"/>
    <col min="16129" max="16129" width="6.42578125" style="30" customWidth="1"/>
    <col min="16130" max="16130" width="3.85546875" style="30" customWidth="1"/>
    <col min="16131" max="16131" width="16.5703125" style="30" customWidth="1"/>
    <col min="16132" max="16132" width="3" style="30" customWidth="1"/>
    <col min="16133" max="16133" width="11.140625" style="30" customWidth="1"/>
    <col min="16134" max="16134" width="1.42578125" style="30" customWidth="1"/>
    <col min="16135" max="16135" width="3.42578125" style="30" customWidth="1"/>
    <col min="16136" max="16136" width="1.42578125" style="30" customWidth="1"/>
    <col min="16137" max="16137" width="12.5703125" style="30" customWidth="1"/>
    <col min="16138" max="16138" width="3.28515625" style="30" customWidth="1"/>
    <col min="16139" max="16139" width="12.85546875" style="30" customWidth="1"/>
    <col min="16140" max="16140" width="1.42578125" style="30" customWidth="1"/>
    <col min="16141" max="16141" width="3.5703125" style="30" customWidth="1"/>
    <col min="16142" max="16142" width="1.7109375" style="30" customWidth="1"/>
    <col min="16143" max="16143" width="14" style="30" customWidth="1"/>
    <col min="16144" max="16144" width="2.140625" style="30" customWidth="1"/>
    <col min="16145" max="16384" width="9.140625" style="30"/>
  </cols>
  <sheetData>
    <row r="1" spans="1:15" ht="18">
      <c r="A1" s="29"/>
      <c r="K1" s="705" t="s">
        <v>131</v>
      </c>
      <c r="O1" s="32" t="str">
        <f>'LDC Info'!$E$18</f>
        <v>EB-2012-0126</v>
      </c>
    </row>
    <row r="2" spans="1:15">
      <c r="K2" s="705" t="s">
        <v>132</v>
      </c>
      <c r="O2" s="33"/>
    </row>
    <row r="3" spans="1:15">
      <c r="K3" s="705" t="s">
        <v>133</v>
      </c>
      <c r="O3" s="33"/>
    </row>
    <row r="4" spans="1:15">
      <c r="K4" s="705" t="s">
        <v>134</v>
      </c>
      <c r="O4" s="33"/>
    </row>
    <row r="5" spans="1:15">
      <c r="K5" s="705" t="s">
        <v>439</v>
      </c>
      <c r="O5" s="34"/>
    </row>
    <row r="6" spans="1:15">
      <c r="K6" s="705"/>
      <c r="O6" s="32"/>
    </row>
    <row r="7" spans="1:15">
      <c r="K7" s="705" t="s">
        <v>136</v>
      </c>
      <c r="O7" s="34" t="s">
        <v>1171</v>
      </c>
    </row>
    <row r="10" spans="1:15" ht="18">
      <c r="C10" s="1144" t="s">
        <v>821</v>
      </c>
      <c r="D10" s="1144"/>
      <c r="E10" s="1144"/>
      <c r="F10" s="1144"/>
      <c r="G10" s="1144"/>
      <c r="H10" s="1144"/>
      <c r="I10" s="1144"/>
      <c r="J10" s="1144"/>
      <c r="K10" s="1144"/>
      <c r="L10" s="1144"/>
      <c r="M10" s="1144"/>
      <c r="N10" s="1144"/>
      <c r="O10" s="1144"/>
    </row>
    <row r="11" spans="1:15" ht="18">
      <c r="A11" s="706"/>
      <c r="B11" s="706"/>
      <c r="C11" s="1336" t="s">
        <v>822</v>
      </c>
      <c r="D11" s="1336"/>
      <c r="E11" s="1336"/>
      <c r="F11" s="1336"/>
      <c r="G11" s="1336"/>
      <c r="H11" s="1336"/>
      <c r="I11" s="1336"/>
      <c r="J11" s="1336"/>
      <c r="K11" s="1336"/>
      <c r="L11" s="1336"/>
      <c r="M11" s="1336"/>
      <c r="N11" s="1336"/>
      <c r="O11" s="1336"/>
    </row>
    <row r="12" spans="1:15">
      <c r="A12" s="706"/>
      <c r="B12" s="706"/>
      <c r="C12" s="706"/>
      <c r="D12" s="706"/>
      <c r="E12" s="706"/>
      <c r="F12" s="706"/>
      <c r="G12" s="706"/>
      <c r="H12" s="706"/>
      <c r="J12" s="706"/>
      <c r="K12" s="706"/>
      <c r="L12" s="706"/>
      <c r="M12" s="706"/>
      <c r="N12" s="706"/>
      <c r="O12" s="706"/>
    </row>
    <row r="13" spans="1:15">
      <c r="A13" s="1337" t="s">
        <v>823</v>
      </c>
      <c r="B13" s="1337"/>
      <c r="C13" s="1337"/>
      <c r="D13" s="1337"/>
      <c r="E13" s="1337"/>
      <c r="F13" s="1337"/>
      <c r="G13" s="1337"/>
      <c r="H13" s="1337"/>
      <c r="I13" s="1337"/>
      <c r="J13" s="1337"/>
      <c r="K13" s="1337"/>
      <c r="L13" s="1337"/>
      <c r="M13" s="1337"/>
      <c r="N13" s="1337"/>
      <c r="O13" s="1337"/>
    </row>
    <row r="14" spans="1:15">
      <c r="A14" s="706"/>
      <c r="B14" s="706"/>
      <c r="C14" s="706"/>
      <c r="D14" s="706"/>
      <c r="E14" s="706"/>
      <c r="F14" s="706"/>
      <c r="G14" s="706"/>
      <c r="H14" s="706"/>
      <c r="J14" s="706"/>
      <c r="K14" s="706"/>
      <c r="L14" s="706"/>
      <c r="M14" s="706"/>
      <c r="N14" s="706"/>
      <c r="O14" s="706"/>
    </row>
    <row r="15" spans="1:15">
      <c r="A15" s="1338" t="s">
        <v>824</v>
      </c>
      <c r="B15" s="707"/>
      <c r="C15" s="707"/>
      <c r="D15" s="707"/>
      <c r="E15" s="707"/>
      <c r="F15" s="707"/>
      <c r="G15" s="707"/>
      <c r="H15" s="707"/>
      <c r="I15" s="707"/>
      <c r="J15" s="707"/>
      <c r="K15" s="707"/>
      <c r="L15" s="707"/>
      <c r="M15" s="707"/>
      <c r="N15" s="707"/>
      <c r="O15" s="707"/>
    </row>
    <row r="16" spans="1:15">
      <c r="A16" s="1339"/>
      <c r="B16" s="707"/>
      <c r="C16" s="708" t="s">
        <v>825</v>
      </c>
      <c r="D16" s="707"/>
      <c r="E16" s="1340" t="s">
        <v>826</v>
      </c>
      <c r="F16" s="1340"/>
      <c r="G16" s="1340"/>
      <c r="H16" s="1340"/>
      <c r="I16" s="1340"/>
      <c r="J16" s="709"/>
      <c r="K16" s="708" t="s">
        <v>827</v>
      </c>
      <c r="L16" s="710"/>
      <c r="M16" s="707"/>
      <c r="N16" s="707"/>
      <c r="O16" s="708" t="s">
        <v>828</v>
      </c>
    </row>
    <row r="17" spans="1:19">
      <c r="A17" s="711"/>
      <c r="B17" s="707"/>
      <c r="C17" s="707"/>
      <c r="D17" s="707"/>
      <c r="E17" s="707"/>
      <c r="F17" s="707"/>
      <c r="G17" s="707"/>
      <c r="H17" s="707"/>
      <c r="I17" s="712"/>
      <c r="J17" s="712"/>
      <c r="K17" s="707"/>
      <c r="L17" s="707"/>
      <c r="M17" s="707"/>
      <c r="N17" s="707"/>
      <c r="O17" s="707"/>
    </row>
    <row r="18" spans="1:19">
      <c r="A18" s="713"/>
      <c r="B18" s="707"/>
      <c r="C18" s="707"/>
      <c r="D18" s="707"/>
      <c r="E18" s="707"/>
      <c r="F18" s="707"/>
      <c r="G18" s="707"/>
      <c r="H18" s="707"/>
      <c r="I18" s="712"/>
      <c r="J18" s="712"/>
      <c r="K18" s="707"/>
      <c r="L18" s="707"/>
      <c r="M18" s="707"/>
      <c r="N18" s="707"/>
      <c r="O18" s="707"/>
      <c r="P18" s="73"/>
    </row>
    <row r="19" spans="1:19">
      <c r="A19" s="713"/>
      <c r="B19" s="714"/>
      <c r="C19" s="1341" t="s">
        <v>829</v>
      </c>
      <c r="D19" s="1342"/>
      <c r="E19" s="1342"/>
      <c r="F19" s="1342"/>
      <c r="G19" s="1342"/>
      <c r="H19" s="1342"/>
      <c r="I19" s="1342"/>
      <c r="J19" s="1342"/>
      <c r="K19" s="1342"/>
      <c r="L19" s="1342"/>
      <c r="M19" s="1342"/>
      <c r="N19" s="1342"/>
      <c r="O19" s="1343"/>
      <c r="P19" s="73"/>
    </row>
    <row r="20" spans="1:19">
      <c r="A20" s="713"/>
      <c r="B20" s="707"/>
      <c r="C20" s="707"/>
      <c r="D20" s="707"/>
      <c r="E20" s="715" t="s">
        <v>830</v>
      </c>
      <c r="F20" s="716"/>
      <c r="G20" s="716"/>
      <c r="H20" s="716"/>
      <c r="I20" s="715" t="s">
        <v>831</v>
      </c>
      <c r="J20" s="707"/>
      <c r="K20" s="715" t="s">
        <v>830</v>
      </c>
      <c r="L20" s="716"/>
      <c r="M20" s="707"/>
      <c r="N20" s="707"/>
      <c r="O20" s="712" t="s">
        <v>831</v>
      </c>
      <c r="P20" s="73"/>
    </row>
    <row r="21" spans="1:19">
      <c r="A21" s="713"/>
      <c r="B21" s="707"/>
      <c r="C21" s="717" t="s">
        <v>832</v>
      </c>
      <c r="D21" s="707"/>
      <c r="E21" s="707"/>
      <c r="F21" s="707"/>
      <c r="G21" s="707"/>
      <c r="H21" s="707"/>
      <c r="I21" s="707"/>
      <c r="J21" s="707"/>
      <c r="K21" s="707"/>
      <c r="L21" s="707"/>
      <c r="M21" s="707"/>
      <c r="N21" s="707"/>
      <c r="O21" s="707"/>
      <c r="P21" s="73"/>
    </row>
    <row r="22" spans="1:19">
      <c r="A22" s="713">
        <v>1</v>
      </c>
      <c r="B22" s="707"/>
      <c r="C22" s="718" t="s">
        <v>833</v>
      </c>
      <c r="D22" s="707"/>
      <c r="E22" s="719">
        <v>0.52700000000000002</v>
      </c>
      <c r="F22" s="720"/>
      <c r="G22" s="721"/>
      <c r="H22" s="722"/>
      <c r="I22" s="723">
        <f>$I31*E22</f>
        <v>40378747.377999999</v>
      </c>
      <c r="J22" s="707"/>
      <c r="K22" s="719">
        <v>7.0134110271491482E-2</v>
      </c>
      <c r="L22" s="720"/>
      <c r="M22" s="721"/>
      <c r="N22" s="722"/>
      <c r="O22" s="723">
        <f>K22*I22</f>
        <v>2831927.5212333496</v>
      </c>
      <c r="P22" s="73"/>
    </row>
    <row r="23" spans="1:19">
      <c r="A23" s="713">
        <v>2</v>
      </c>
      <c r="B23" s="707"/>
      <c r="C23" s="718" t="s">
        <v>834</v>
      </c>
      <c r="D23" s="707"/>
      <c r="E23" s="724">
        <v>0.04</v>
      </c>
      <c r="F23" s="720"/>
      <c r="G23" s="725" t="s">
        <v>835</v>
      </c>
      <c r="H23" s="725"/>
      <c r="I23" s="726">
        <f>$I31*E23</f>
        <v>3064800.56</v>
      </c>
      <c r="J23" s="707"/>
      <c r="K23" s="719">
        <v>1.3299999999999999E-2</v>
      </c>
      <c r="L23" s="720"/>
      <c r="M23" s="721"/>
      <c r="N23" s="722"/>
      <c r="O23" s="726">
        <f>K23*I23</f>
        <v>40761.847448</v>
      </c>
      <c r="P23" s="73"/>
    </row>
    <row r="24" spans="1:19" ht="15.75" thickBot="1">
      <c r="A24" s="713">
        <v>3</v>
      </c>
      <c r="B24" s="707"/>
      <c r="C24" s="713" t="s">
        <v>836</v>
      </c>
      <c r="D24" s="707"/>
      <c r="E24" s="727">
        <f>SUM(E22:E23)</f>
        <v>0.56700000000000006</v>
      </c>
      <c r="F24" s="728"/>
      <c r="G24" s="727"/>
      <c r="H24" s="728"/>
      <c r="I24" s="729">
        <f>SUM(I22:I23)</f>
        <v>43443547.938000001</v>
      </c>
      <c r="J24" s="707"/>
      <c r="K24" s="730">
        <f>IF(E24=0,0,SUMPRODUCT(E22:E23,K22:K23)/E24)</f>
        <v>6.6124649229410942E-2</v>
      </c>
      <c r="L24" s="720"/>
      <c r="M24" s="731"/>
      <c r="N24" s="732"/>
      <c r="O24" s="729">
        <f>SUM(O22:O23)</f>
        <v>2872689.3686813498</v>
      </c>
      <c r="P24" s="73"/>
      <c r="R24" s="733"/>
      <c r="S24" s="734"/>
    </row>
    <row r="25" spans="1:19" ht="13.5" thickTop="1">
      <c r="A25" s="713"/>
      <c r="B25" s="707"/>
      <c r="C25" s="707"/>
      <c r="D25" s="707"/>
      <c r="E25" s="735"/>
      <c r="F25" s="736"/>
      <c r="G25" s="735"/>
      <c r="H25" s="736"/>
      <c r="I25" s="737"/>
      <c r="J25" s="707"/>
      <c r="K25" s="738"/>
      <c r="L25" s="720"/>
      <c r="M25" s="732"/>
      <c r="N25" s="732"/>
      <c r="O25" s="737"/>
      <c r="P25" s="73"/>
    </row>
    <row r="26" spans="1:19">
      <c r="A26" s="713"/>
      <c r="B26" s="707"/>
      <c r="C26" s="717" t="s">
        <v>837</v>
      </c>
      <c r="D26" s="707"/>
      <c r="E26" s="735"/>
      <c r="F26" s="736"/>
      <c r="G26" s="735"/>
      <c r="H26" s="736"/>
      <c r="I26" s="737"/>
      <c r="J26" s="707"/>
      <c r="K26" s="738"/>
      <c r="L26" s="720"/>
      <c r="M26" s="732"/>
      <c r="N26" s="732"/>
      <c r="O26" s="737"/>
      <c r="P26" s="73"/>
    </row>
    <row r="27" spans="1:19" ht="15">
      <c r="A27" s="739">
        <v>4</v>
      </c>
      <c r="B27" s="740"/>
      <c r="C27" s="741" t="s">
        <v>838</v>
      </c>
      <c r="D27" s="740"/>
      <c r="E27" s="742">
        <v>0.43</v>
      </c>
      <c r="F27" s="743"/>
      <c r="G27" s="721"/>
      <c r="H27" s="722"/>
      <c r="I27" s="744">
        <f>$I31*E27</f>
        <v>32946606.02</v>
      </c>
      <c r="J27" s="740"/>
      <c r="K27" s="719">
        <v>8.0100000000000005E-2</v>
      </c>
      <c r="L27" s="743"/>
      <c r="M27" s="721"/>
      <c r="N27" s="722"/>
      <c r="O27" s="744">
        <f>K27*I27</f>
        <v>2639023.1422020001</v>
      </c>
      <c r="P27" s="73"/>
      <c r="R27" s="733"/>
      <c r="S27" s="734"/>
    </row>
    <row r="28" spans="1:19">
      <c r="A28" s="739">
        <v>5</v>
      </c>
      <c r="B28" s="740"/>
      <c r="C28" s="741" t="s">
        <v>839</v>
      </c>
      <c r="D28" s="740"/>
      <c r="E28" s="745">
        <v>0</v>
      </c>
      <c r="F28" s="743"/>
      <c r="G28" s="721"/>
      <c r="H28" s="722"/>
      <c r="I28" s="746">
        <f>$I$31*E28</f>
        <v>0</v>
      </c>
      <c r="J28" s="740"/>
      <c r="K28" s="745"/>
      <c r="L28" s="743"/>
      <c r="M28" s="721"/>
      <c r="N28" s="722"/>
      <c r="O28" s="746">
        <f>K28*I28</f>
        <v>0</v>
      </c>
      <c r="P28" s="73"/>
    </row>
    <row r="29" spans="1:19" ht="13.5" thickBot="1">
      <c r="A29" s="713">
        <v>6</v>
      </c>
      <c r="B29" s="707"/>
      <c r="C29" s="713" t="s">
        <v>840</v>
      </c>
      <c r="D29" s="707"/>
      <c r="E29" s="727">
        <f>SUM(E27:E28)</f>
        <v>0.43</v>
      </c>
      <c r="F29" s="727"/>
      <c r="G29" s="727"/>
      <c r="H29" s="728"/>
      <c r="I29" s="729">
        <f>SUM(I27:I28)</f>
        <v>32946606.02</v>
      </c>
      <c r="J29" s="707"/>
      <c r="K29" s="730">
        <f>IF(E29=0,0,SUMPRODUCT(E27:E28,K27:K28)/E29)</f>
        <v>8.0100000000000005E-2</v>
      </c>
      <c r="L29" s="720"/>
      <c r="M29" s="732"/>
      <c r="N29" s="732"/>
      <c r="O29" s="729">
        <f>SUM(O27:O28)</f>
        <v>2639023.1422020001</v>
      </c>
      <c r="P29" s="73"/>
    </row>
    <row r="30" spans="1:19" ht="13.5" thickTop="1">
      <c r="A30" s="713"/>
      <c r="B30" s="707"/>
      <c r="C30" s="707"/>
      <c r="D30" s="707"/>
      <c r="E30" s="707"/>
      <c r="F30" s="707"/>
      <c r="G30" s="707"/>
      <c r="H30" s="707"/>
      <c r="I30" s="737"/>
      <c r="J30" s="707"/>
      <c r="K30" s="738"/>
      <c r="L30" s="738"/>
      <c r="M30" s="732"/>
      <c r="N30" s="732"/>
      <c r="O30" s="737"/>
      <c r="P30" s="73"/>
    </row>
    <row r="31" spans="1:19" ht="13.5" thickBot="1">
      <c r="A31" s="713">
        <v>7</v>
      </c>
      <c r="B31" s="707"/>
      <c r="C31" s="717" t="s">
        <v>267</v>
      </c>
      <c r="D31" s="707"/>
      <c r="E31" s="747">
        <v>1</v>
      </c>
      <c r="F31" s="747"/>
      <c r="G31" s="748"/>
      <c r="H31" s="748"/>
      <c r="I31" s="749">
        <v>76620014</v>
      </c>
      <c r="J31" s="707"/>
      <c r="K31" s="750">
        <f>(K24*E24)+(K29*E29)</f>
        <v>7.1935676113076011E-2</v>
      </c>
      <c r="L31" s="738"/>
      <c r="M31" s="707"/>
      <c r="N31" s="707"/>
      <c r="O31" s="751">
        <f>O24+O29</f>
        <v>5511712.5108833499</v>
      </c>
      <c r="P31" s="73"/>
    </row>
    <row r="32" spans="1:19" ht="13.5" thickTop="1">
      <c r="A32" s="713"/>
      <c r="B32" s="707"/>
      <c r="C32" s="707"/>
      <c r="D32" s="707"/>
      <c r="E32" s="707"/>
      <c r="F32" s="707"/>
      <c r="G32" s="707"/>
      <c r="H32" s="707"/>
      <c r="I32" s="707"/>
      <c r="J32" s="707"/>
      <c r="K32" s="707"/>
      <c r="L32" s="707"/>
      <c r="M32" s="707"/>
      <c r="N32" s="707"/>
      <c r="O32" s="707"/>
      <c r="P32" s="73"/>
    </row>
    <row r="33" spans="1:16">
      <c r="A33" s="713"/>
      <c r="B33" s="707"/>
      <c r="C33" s="707"/>
      <c r="D33" s="707"/>
      <c r="E33" s="707"/>
      <c r="F33" s="707"/>
      <c r="G33" s="707"/>
      <c r="H33" s="707"/>
      <c r="I33" s="707"/>
      <c r="J33" s="707"/>
      <c r="K33" s="707"/>
      <c r="L33" s="707"/>
      <c r="M33" s="707"/>
      <c r="N33" s="707"/>
      <c r="O33" s="707"/>
      <c r="P33" s="73"/>
    </row>
    <row r="34" spans="1:16">
      <c r="A34" s="1344" t="s">
        <v>42</v>
      </c>
      <c r="B34" s="1344"/>
      <c r="C34" s="1344"/>
      <c r="D34" s="1344"/>
      <c r="E34" s="1344"/>
      <c r="F34" s="1344"/>
      <c r="G34" s="1344"/>
      <c r="H34" s="1344"/>
      <c r="I34" s="1344"/>
      <c r="J34" s="1344"/>
      <c r="K34" s="1344"/>
      <c r="L34" s="1344"/>
      <c r="M34" s="1344"/>
      <c r="N34" s="1344"/>
      <c r="O34" s="1344"/>
    </row>
    <row r="35" spans="1:16">
      <c r="A35" s="752" t="s">
        <v>835</v>
      </c>
      <c r="B35" s="706"/>
      <c r="C35" s="1345" t="s">
        <v>841</v>
      </c>
      <c r="D35" s="1345"/>
      <c r="E35" s="1345"/>
      <c r="F35" s="1345"/>
      <c r="G35" s="1345"/>
      <c r="H35" s="1345"/>
      <c r="I35" s="1345"/>
      <c r="J35" s="1345"/>
      <c r="K35" s="1345"/>
      <c r="L35" s="1345"/>
      <c r="M35" s="1345"/>
      <c r="N35" s="1345"/>
      <c r="O35" s="1345"/>
    </row>
    <row r="36" spans="1:16">
      <c r="A36" s="753"/>
      <c r="B36" s="706"/>
      <c r="C36" s="1346"/>
      <c r="D36" s="1346"/>
      <c r="E36" s="1346"/>
      <c r="F36" s="1346"/>
      <c r="G36" s="1346"/>
      <c r="H36" s="1346"/>
      <c r="I36" s="1346"/>
      <c r="J36" s="1346"/>
      <c r="K36" s="1346"/>
      <c r="L36" s="1346"/>
      <c r="M36" s="1346"/>
      <c r="N36" s="1346"/>
      <c r="O36" s="1346"/>
    </row>
    <row r="37" spans="1:16">
      <c r="A37" s="753"/>
      <c r="B37" s="706"/>
      <c r="C37" s="1346"/>
      <c r="D37" s="1346"/>
      <c r="E37" s="1346"/>
      <c r="F37" s="1346"/>
      <c r="G37" s="1346"/>
      <c r="H37" s="1346"/>
      <c r="I37" s="1346"/>
      <c r="J37" s="1346"/>
      <c r="K37" s="1346"/>
      <c r="L37" s="1346"/>
      <c r="M37" s="1346"/>
      <c r="N37" s="1346"/>
      <c r="O37" s="1346"/>
    </row>
    <row r="38" spans="1:16" s="61" customFormat="1">
      <c r="A38" s="754"/>
      <c r="B38" s="755"/>
      <c r="C38" s="1335"/>
      <c r="D38" s="1335"/>
      <c r="E38" s="1335"/>
      <c r="F38" s="1335"/>
      <c r="G38" s="1335"/>
      <c r="H38" s="1335"/>
      <c r="I38" s="1335"/>
      <c r="J38" s="1335"/>
      <c r="K38" s="1335"/>
      <c r="L38" s="1335"/>
      <c r="M38" s="1335"/>
      <c r="N38" s="1335"/>
      <c r="O38" s="1335"/>
    </row>
    <row r="39" spans="1:16" s="61" customFormat="1">
      <c r="A39" s="754"/>
      <c r="B39" s="755"/>
      <c r="C39" s="1335"/>
      <c r="D39" s="1335"/>
      <c r="E39" s="1335"/>
      <c r="F39" s="1335"/>
      <c r="G39" s="1335"/>
      <c r="H39" s="1335"/>
      <c r="I39" s="1335"/>
      <c r="J39" s="1335"/>
      <c r="K39" s="1335"/>
      <c r="L39" s="1335"/>
      <c r="M39" s="1335"/>
      <c r="N39" s="1335"/>
      <c r="O39" s="1335"/>
    </row>
    <row r="40" spans="1:16">
      <c r="A40" s="713"/>
      <c r="B40" s="714"/>
      <c r="C40" s="1341" t="s">
        <v>842</v>
      </c>
      <c r="D40" s="1342"/>
      <c r="E40" s="1342"/>
      <c r="F40" s="1342"/>
      <c r="G40" s="1342"/>
      <c r="H40" s="1342"/>
      <c r="I40" s="1342"/>
      <c r="J40" s="1342"/>
      <c r="K40" s="1342"/>
      <c r="L40" s="1342"/>
      <c r="M40" s="1342"/>
      <c r="N40" s="1342"/>
      <c r="O40" s="1343"/>
      <c r="P40" s="73"/>
    </row>
    <row r="41" spans="1:16">
      <c r="A41" s="713"/>
      <c r="B41" s="707"/>
      <c r="C41" s="707"/>
      <c r="D41" s="707"/>
      <c r="E41" s="715" t="s">
        <v>830</v>
      </c>
      <c r="F41" s="716"/>
      <c r="G41" s="716"/>
      <c r="H41" s="716"/>
      <c r="I41" s="715" t="s">
        <v>831</v>
      </c>
      <c r="J41" s="707"/>
      <c r="K41" s="715" t="s">
        <v>830</v>
      </c>
      <c r="L41" s="716"/>
      <c r="M41" s="707"/>
      <c r="N41" s="707"/>
      <c r="O41" s="712" t="s">
        <v>831</v>
      </c>
      <c r="P41" s="73"/>
    </row>
    <row r="42" spans="1:16">
      <c r="A42" s="713"/>
      <c r="B42" s="707"/>
      <c r="C42" s="717" t="s">
        <v>832</v>
      </c>
      <c r="D42" s="707"/>
      <c r="E42" s="707"/>
      <c r="F42" s="707"/>
      <c r="G42" s="707"/>
      <c r="H42" s="707"/>
      <c r="I42" s="707"/>
      <c r="J42" s="707"/>
      <c r="K42" s="707"/>
      <c r="L42" s="707"/>
      <c r="M42" s="707"/>
      <c r="N42" s="707"/>
      <c r="O42" s="707"/>
      <c r="P42" s="73"/>
    </row>
    <row r="43" spans="1:16">
      <c r="A43" s="713">
        <v>1</v>
      </c>
      <c r="B43" s="707"/>
      <c r="C43" s="718" t="s">
        <v>833</v>
      </c>
      <c r="D43" s="707"/>
      <c r="E43" s="719">
        <v>0.56000000000000005</v>
      </c>
      <c r="F43" s="720"/>
      <c r="G43" s="721"/>
      <c r="H43" s="722"/>
      <c r="I43" s="723">
        <f>$I52*E43</f>
        <v>43284419.920000002</v>
      </c>
      <c r="J43" s="707"/>
      <c r="K43" s="719">
        <v>7.2499999999999995E-2</v>
      </c>
      <c r="L43" s="720"/>
      <c r="M43" s="721"/>
      <c r="N43" s="722"/>
      <c r="O43" s="723">
        <f>K43*I43</f>
        <v>3138120.4441999998</v>
      </c>
      <c r="P43" s="73"/>
    </row>
    <row r="44" spans="1:16">
      <c r="A44" s="713">
        <v>2</v>
      </c>
      <c r="B44" s="707"/>
      <c r="C44" s="718" t="s">
        <v>834</v>
      </c>
      <c r="D44" s="707"/>
      <c r="E44" s="724">
        <v>0.04</v>
      </c>
      <c r="F44" s="720"/>
      <c r="G44" s="725" t="s">
        <v>835</v>
      </c>
      <c r="H44" s="725"/>
      <c r="I44" s="726">
        <f>$I52*E44</f>
        <v>3091744.2800000003</v>
      </c>
      <c r="J44" s="707"/>
      <c r="K44" s="719">
        <v>1.3299999999999999E-2</v>
      </c>
      <c r="L44" s="720"/>
      <c r="M44" s="721"/>
      <c r="N44" s="722"/>
      <c r="O44" s="726">
        <f>K44*I44</f>
        <v>41120.198924000004</v>
      </c>
      <c r="P44" s="73"/>
    </row>
    <row r="45" spans="1:16" ht="13.5" thickBot="1">
      <c r="A45" s="713">
        <v>3</v>
      </c>
      <c r="B45" s="707"/>
      <c r="C45" s="713" t="s">
        <v>836</v>
      </c>
      <c r="D45" s="707"/>
      <c r="E45" s="727">
        <f>SUM(E43:E44)</f>
        <v>0.60000000000000009</v>
      </c>
      <c r="F45" s="728"/>
      <c r="G45" s="727"/>
      <c r="H45" s="728"/>
      <c r="I45" s="729">
        <f>SUM(I43:I44)</f>
        <v>46376164.200000003</v>
      </c>
      <c r="J45" s="707"/>
      <c r="K45" s="730">
        <f>IF(E45=0,0,SUMPRODUCT(E43:E44,K43:K44)/E45)</f>
        <v>6.8553333333333327E-2</v>
      </c>
      <c r="L45" s="720"/>
      <c r="M45" s="731"/>
      <c r="N45" s="732"/>
      <c r="O45" s="729">
        <f>SUM(O43:O44)</f>
        <v>3179240.6431239997</v>
      </c>
      <c r="P45" s="73"/>
    </row>
    <row r="46" spans="1:16" ht="13.5" thickTop="1">
      <c r="A46" s="713"/>
      <c r="B46" s="707"/>
      <c r="C46" s="707"/>
      <c r="D46" s="707"/>
      <c r="E46" s="735"/>
      <c r="F46" s="736"/>
      <c r="G46" s="735"/>
      <c r="H46" s="736"/>
      <c r="I46" s="737"/>
      <c r="J46" s="707"/>
      <c r="K46" s="738"/>
      <c r="L46" s="720"/>
      <c r="M46" s="732"/>
      <c r="N46" s="732"/>
      <c r="O46" s="737"/>
      <c r="P46" s="73"/>
    </row>
    <row r="47" spans="1:16">
      <c r="A47" s="713"/>
      <c r="B47" s="707"/>
      <c r="C47" s="717" t="s">
        <v>837</v>
      </c>
      <c r="D47" s="707"/>
      <c r="E47" s="735"/>
      <c r="F47" s="736"/>
      <c r="G47" s="735"/>
      <c r="H47" s="736"/>
      <c r="I47" s="737"/>
      <c r="J47" s="707"/>
      <c r="K47" s="738"/>
      <c r="L47" s="720"/>
      <c r="M47" s="732"/>
      <c r="N47" s="732"/>
      <c r="O47" s="737"/>
      <c r="P47" s="73"/>
    </row>
    <row r="48" spans="1:16">
      <c r="A48" s="739">
        <v>4</v>
      </c>
      <c r="B48" s="740"/>
      <c r="C48" s="741" t="s">
        <v>838</v>
      </c>
      <c r="D48" s="740"/>
      <c r="E48" s="742">
        <v>0.4</v>
      </c>
      <c r="F48" s="743"/>
      <c r="G48" s="721"/>
      <c r="H48" s="722"/>
      <c r="I48" s="744">
        <f>$I52*E48</f>
        <v>30917442.800000001</v>
      </c>
      <c r="J48" s="740"/>
      <c r="K48" s="719">
        <v>8.0100000000000005E-2</v>
      </c>
      <c r="L48" s="743"/>
      <c r="M48" s="721"/>
      <c r="N48" s="722"/>
      <c r="O48" s="744">
        <f>K48*I48</f>
        <v>2476487.1682800003</v>
      </c>
      <c r="P48" s="73"/>
    </row>
    <row r="49" spans="1:16">
      <c r="A49" s="739">
        <v>5</v>
      </c>
      <c r="B49" s="740"/>
      <c r="C49" s="741" t="s">
        <v>839</v>
      </c>
      <c r="D49" s="740"/>
      <c r="E49" s="745">
        <v>0</v>
      </c>
      <c r="F49" s="743"/>
      <c r="G49" s="721"/>
      <c r="H49" s="722"/>
      <c r="I49" s="746">
        <f>$I$31*E49</f>
        <v>0</v>
      </c>
      <c r="J49" s="740"/>
      <c r="K49" s="745"/>
      <c r="L49" s="743"/>
      <c r="M49" s="721"/>
      <c r="N49" s="722"/>
      <c r="O49" s="746">
        <f>K49*I49</f>
        <v>0</v>
      </c>
      <c r="P49" s="73"/>
    </row>
    <row r="50" spans="1:16" ht="13.5" thickBot="1">
      <c r="A50" s="713">
        <v>6</v>
      </c>
      <c r="B50" s="707"/>
      <c r="C50" s="713" t="s">
        <v>840</v>
      </c>
      <c r="D50" s="707"/>
      <c r="E50" s="727">
        <f>SUM(E48:E49)</f>
        <v>0.4</v>
      </c>
      <c r="F50" s="727"/>
      <c r="G50" s="727"/>
      <c r="H50" s="728"/>
      <c r="I50" s="729">
        <f>SUM(I48:I49)</f>
        <v>30917442.800000001</v>
      </c>
      <c r="J50" s="707"/>
      <c r="K50" s="730">
        <f>IF(E50=0,0,SUMPRODUCT(E48:E49,K48:K49)/E50)</f>
        <v>8.0100000000000005E-2</v>
      </c>
      <c r="L50" s="720"/>
      <c r="M50" s="732"/>
      <c r="N50" s="732"/>
      <c r="O50" s="729">
        <f>SUM(O48:O49)</f>
        <v>2476487.1682800003</v>
      </c>
      <c r="P50" s="73"/>
    </row>
    <row r="51" spans="1:16" ht="13.5" thickTop="1">
      <c r="A51" s="713"/>
      <c r="B51" s="707"/>
      <c r="C51" s="707"/>
      <c r="D51" s="707"/>
      <c r="E51" s="707"/>
      <c r="F51" s="707"/>
      <c r="G51" s="707"/>
      <c r="H51" s="707"/>
      <c r="I51" s="737"/>
      <c r="J51" s="707"/>
      <c r="K51" s="738"/>
      <c r="L51" s="738"/>
      <c r="M51" s="732"/>
      <c r="N51" s="732"/>
      <c r="O51" s="737"/>
      <c r="P51" s="73"/>
    </row>
    <row r="52" spans="1:16" ht="13.5" thickBot="1">
      <c r="A52" s="713">
        <v>7</v>
      </c>
      <c r="B52" s="707"/>
      <c r="C52" s="717" t="s">
        <v>267</v>
      </c>
      <c r="D52" s="707"/>
      <c r="E52" s="747">
        <v>1</v>
      </c>
      <c r="F52" s="747"/>
      <c r="G52" s="748"/>
      <c r="H52" s="748"/>
      <c r="I52" s="749">
        <v>77293607</v>
      </c>
      <c r="J52" s="707"/>
      <c r="K52" s="750">
        <f>(K45*E45)+(K50*E50)</f>
        <v>7.3172000000000015E-2</v>
      </c>
      <c r="L52" s="738"/>
      <c r="M52" s="707"/>
      <c r="N52" s="707"/>
      <c r="O52" s="751">
        <f>O45+O50</f>
        <v>5655727.811404</v>
      </c>
      <c r="P52" s="73"/>
    </row>
    <row r="53" spans="1:16" ht="13.5" thickTop="1">
      <c r="A53" s="713"/>
      <c r="B53" s="707"/>
      <c r="C53" s="707"/>
      <c r="D53" s="707"/>
      <c r="E53" s="707"/>
      <c r="F53" s="707"/>
      <c r="G53" s="707"/>
      <c r="H53" s="707"/>
      <c r="I53" s="707"/>
      <c r="J53" s="707"/>
      <c r="K53" s="707"/>
      <c r="L53" s="707"/>
      <c r="M53" s="707"/>
      <c r="N53" s="707"/>
      <c r="O53" s="707"/>
      <c r="P53" s="73"/>
    </row>
    <row r="54" spans="1:16">
      <c r="A54" s="713"/>
      <c r="B54" s="707"/>
      <c r="C54" s="707"/>
      <c r="D54" s="707"/>
      <c r="E54" s="707"/>
      <c r="F54" s="707"/>
      <c r="G54" s="707"/>
      <c r="H54" s="707"/>
      <c r="I54" s="707"/>
      <c r="J54" s="707"/>
      <c r="K54" s="707"/>
      <c r="L54" s="707"/>
      <c r="M54" s="707"/>
      <c r="N54" s="707"/>
      <c r="O54" s="707"/>
      <c r="P54" s="73"/>
    </row>
    <row r="55" spans="1:16">
      <c r="A55" s="1344" t="s">
        <v>42</v>
      </c>
      <c r="B55" s="1344"/>
      <c r="C55" s="1344"/>
      <c r="D55" s="1344"/>
      <c r="E55" s="1344"/>
      <c r="F55" s="1344"/>
      <c r="G55" s="1344"/>
      <c r="H55" s="1344"/>
      <c r="I55" s="1344"/>
      <c r="J55" s="1344"/>
      <c r="K55" s="1344"/>
      <c r="L55" s="1344"/>
      <c r="M55" s="1344"/>
      <c r="N55" s="1344"/>
      <c r="O55" s="1344"/>
    </row>
    <row r="56" spans="1:16">
      <c r="A56" s="752" t="s">
        <v>835</v>
      </c>
      <c r="B56" s="706"/>
      <c r="C56" s="1345" t="s">
        <v>841</v>
      </c>
      <c r="D56" s="1345"/>
      <c r="E56" s="1345"/>
      <c r="F56" s="1345"/>
      <c r="G56" s="1345"/>
      <c r="H56" s="1345"/>
      <c r="I56" s="1345"/>
      <c r="J56" s="1345"/>
      <c r="K56" s="1345"/>
      <c r="L56" s="1345"/>
      <c r="M56" s="1345"/>
      <c r="N56" s="1345"/>
      <c r="O56" s="1345"/>
    </row>
    <row r="57" spans="1:16">
      <c r="A57" s="753"/>
      <c r="B57" s="706"/>
      <c r="C57" s="1346"/>
      <c r="D57" s="1346"/>
      <c r="E57" s="1346"/>
      <c r="F57" s="1346"/>
      <c r="G57" s="1346"/>
      <c r="H57" s="1346"/>
      <c r="I57" s="1346"/>
      <c r="J57" s="1346"/>
      <c r="K57" s="1346"/>
      <c r="L57" s="1346"/>
      <c r="M57" s="1346"/>
      <c r="N57" s="1346"/>
      <c r="O57" s="1346"/>
    </row>
    <row r="58" spans="1:16">
      <c r="A58" s="753"/>
      <c r="B58" s="706"/>
      <c r="C58" s="1346"/>
      <c r="D58" s="1346"/>
      <c r="E58" s="1346"/>
      <c r="F58" s="1346"/>
      <c r="G58" s="1346"/>
      <c r="H58" s="1346"/>
      <c r="I58" s="1346"/>
      <c r="J58" s="1346"/>
      <c r="K58" s="1346"/>
      <c r="L58" s="1346"/>
      <c r="M58" s="1346"/>
      <c r="N58" s="1346"/>
      <c r="O58" s="1346"/>
    </row>
    <row r="61" spans="1:16">
      <c r="A61" s="713"/>
      <c r="B61" s="714"/>
      <c r="C61" s="1341" t="s">
        <v>843</v>
      </c>
      <c r="D61" s="1342"/>
      <c r="E61" s="1342"/>
      <c r="F61" s="1342"/>
      <c r="G61" s="1342"/>
      <c r="H61" s="1342"/>
      <c r="I61" s="1342"/>
      <c r="J61" s="1342"/>
      <c r="K61" s="1342"/>
      <c r="L61" s="1342"/>
      <c r="M61" s="1342"/>
      <c r="N61" s="1342"/>
      <c r="O61" s="1343"/>
      <c r="P61" s="73"/>
    </row>
    <row r="62" spans="1:16">
      <c r="A62" s="713"/>
      <c r="B62" s="707"/>
      <c r="C62" s="707"/>
      <c r="D62" s="707"/>
      <c r="E62" s="715" t="s">
        <v>830</v>
      </c>
      <c r="F62" s="716"/>
      <c r="G62" s="716"/>
      <c r="H62" s="716"/>
      <c r="I62" s="715" t="s">
        <v>831</v>
      </c>
      <c r="J62" s="707"/>
      <c r="K62" s="715" t="s">
        <v>830</v>
      </c>
      <c r="L62" s="716"/>
      <c r="M62" s="707"/>
      <c r="N62" s="707"/>
      <c r="O62" s="712" t="s">
        <v>831</v>
      </c>
      <c r="P62" s="73"/>
    </row>
    <row r="63" spans="1:16">
      <c r="A63" s="713"/>
      <c r="B63" s="707"/>
      <c r="C63" s="717" t="s">
        <v>832</v>
      </c>
      <c r="D63" s="707"/>
      <c r="E63" s="707"/>
      <c r="F63" s="707"/>
      <c r="G63" s="707"/>
      <c r="H63" s="707"/>
      <c r="I63" s="707"/>
      <c r="J63" s="707"/>
      <c r="K63" s="707"/>
      <c r="L63" s="707"/>
      <c r="M63" s="707"/>
      <c r="N63" s="707"/>
      <c r="O63" s="707"/>
      <c r="P63" s="73"/>
    </row>
    <row r="64" spans="1:16">
      <c r="A64" s="713">
        <v>1</v>
      </c>
      <c r="B64" s="707"/>
      <c r="C64" s="718" t="s">
        <v>833</v>
      </c>
      <c r="D64" s="707"/>
      <c r="E64" s="719">
        <v>0.56000000000000005</v>
      </c>
      <c r="F64" s="720"/>
      <c r="G64" s="721"/>
      <c r="H64" s="722"/>
      <c r="I64" s="723">
        <f>$I73*E64</f>
        <v>44708624.240000002</v>
      </c>
      <c r="J64" s="707"/>
      <c r="K64" s="719">
        <v>7.2499999999999995E-2</v>
      </c>
      <c r="L64" s="720"/>
      <c r="M64" s="721"/>
      <c r="N64" s="722"/>
      <c r="O64" s="723">
        <f>K64*I64</f>
        <v>3241375.2574</v>
      </c>
      <c r="P64" s="73"/>
    </row>
    <row r="65" spans="1:16">
      <c r="A65" s="713">
        <v>2</v>
      </c>
      <c r="B65" s="707"/>
      <c r="C65" s="718" t="s">
        <v>834</v>
      </c>
      <c r="D65" s="707"/>
      <c r="E65" s="724">
        <v>0.04</v>
      </c>
      <c r="F65" s="720"/>
      <c r="G65" s="725" t="s">
        <v>835</v>
      </c>
      <c r="H65" s="725"/>
      <c r="I65" s="726">
        <f>$I73*E65</f>
        <v>3193473.16</v>
      </c>
      <c r="J65" s="707"/>
      <c r="K65" s="719">
        <v>1.3299999999999999E-2</v>
      </c>
      <c r="L65" s="720"/>
      <c r="M65" s="721"/>
      <c r="N65" s="722"/>
      <c r="O65" s="726">
        <f>K65*I65</f>
        <v>42473.193028000002</v>
      </c>
      <c r="P65" s="73"/>
    </row>
    <row r="66" spans="1:16" ht="13.5" thickBot="1">
      <c r="A66" s="713">
        <v>3</v>
      </c>
      <c r="B66" s="707"/>
      <c r="C66" s="713" t="s">
        <v>836</v>
      </c>
      <c r="D66" s="707"/>
      <c r="E66" s="727">
        <f>SUM(E64:E65)</f>
        <v>0.60000000000000009</v>
      </c>
      <c r="F66" s="728"/>
      <c r="G66" s="727"/>
      <c r="H66" s="728"/>
      <c r="I66" s="729">
        <f>SUM(I64:I65)</f>
        <v>47902097.400000006</v>
      </c>
      <c r="J66" s="707"/>
      <c r="K66" s="730">
        <f>IF(E66=0,0,SUMPRODUCT(E64:E65,K64:K65)/E66)</f>
        <v>6.8553333333333327E-2</v>
      </c>
      <c r="L66" s="720"/>
      <c r="M66" s="731"/>
      <c r="N66" s="732"/>
      <c r="O66" s="729">
        <f>SUM(O64:O65)</f>
        <v>3283848.4504280002</v>
      </c>
      <c r="P66" s="73"/>
    </row>
    <row r="67" spans="1:16" ht="13.5" thickTop="1">
      <c r="A67" s="713"/>
      <c r="B67" s="707"/>
      <c r="C67" s="707"/>
      <c r="D67" s="707"/>
      <c r="E67" s="735"/>
      <c r="F67" s="736"/>
      <c r="G67" s="735"/>
      <c r="H67" s="736"/>
      <c r="I67" s="737"/>
      <c r="J67" s="707"/>
      <c r="K67" s="738"/>
      <c r="L67" s="720"/>
      <c r="M67" s="732"/>
      <c r="N67" s="732"/>
      <c r="O67" s="737"/>
      <c r="P67" s="73"/>
    </row>
    <row r="68" spans="1:16">
      <c r="A68" s="713"/>
      <c r="B68" s="707"/>
      <c r="C68" s="717" t="s">
        <v>837</v>
      </c>
      <c r="D68" s="707"/>
      <c r="E68" s="735"/>
      <c r="F68" s="736"/>
      <c r="G68" s="735"/>
      <c r="H68" s="736"/>
      <c r="I68" s="737"/>
      <c r="J68" s="707"/>
      <c r="K68" s="738"/>
      <c r="L68" s="720"/>
      <c r="M68" s="732"/>
      <c r="N68" s="732"/>
      <c r="O68" s="737"/>
      <c r="P68" s="73"/>
    </row>
    <row r="69" spans="1:16">
      <c r="A69" s="739">
        <v>4</v>
      </c>
      <c r="B69" s="740"/>
      <c r="C69" s="741" t="s">
        <v>838</v>
      </c>
      <c r="D69" s="740"/>
      <c r="E69" s="742">
        <v>0.4</v>
      </c>
      <c r="F69" s="743"/>
      <c r="G69" s="721"/>
      <c r="H69" s="722"/>
      <c r="I69" s="744">
        <f>$I73*E69</f>
        <v>31934731.600000001</v>
      </c>
      <c r="J69" s="740"/>
      <c r="K69" s="719">
        <v>8.0100000000000005E-2</v>
      </c>
      <c r="L69" s="743"/>
      <c r="M69" s="721"/>
      <c r="N69" s="722"/>
      <c r="O69" s="744">
        <f>K69*I69</f>
        <v>2557972.0011600005</v>
      </c>
      <c r="P69" s="73"/>
    </row>
    <row r="70" spans="1:16">
      <c r="A70" s="739">
        <v>5</v>
      </c>
      <c r="B70" s="740"/>
      <c r="C70" s="741" t="s">
        <v>839</v>
      </c>
      <c r="D70" s="740"/>
      <c r="E70" s="745">
        <v>0</v>
      </c>
      <c r="F70" s="743"/>
      <c r="G70" s="721"/>
      <c r="H70" s="722"/>
      <c r="I70" s="746">
        <f>$I$31*E70</f>
        <v>0</v>
      </c>
      <c r="J70" s="740"/>
      <c r="K70" s="745"/>
      <c r="L70" s="743"/>
      <c r="M70" s="721"/>
      <c r="N70" s="722"/>
      <c r="O70" s="746">
        <f>K70*I70</f>
        <v>0</v>
      </c>
      <c r="P70" s="73"/>
    </row>
    <row r="71" spans="1:16" ht="13.5" thickBot="1">
      <c r="A71" s="713">
        <v>6</v>
      </c>
      <c r="B71" s="707"/>
      <c r="C71" s="713" t="s">
        <v>840</v>
      </c>
      <c r="D71" s="707"/>
      <c r="E71" s="727">
        <f>SUM(E69:E70)</f>
        <v>0.4</v>
      </c>
      <c r="F71" s="727"/>
      <c r="G71" s="727"/>
      <c r="H71" s="728"/>
      <c r="I71" s="729">
        <f>SUM(I69:I70)</f>
        <v>31934731.600000001</v>
      </c>
      <c r="J71" s="707"/>
      <c r="K71" s="730">
        <f>IF(E71=0,0,SUMPRODUCT(E69:E70,K69:K70)/E71)</f>
        <v>8.0100000000000005E-2</v>
      </c>
      <c r="L71" s="720"/>
      <c r="M71" s="732"/>
      <c r="N71" s="732"/>
      <c r="O71" s="729">
        <f>SUM(O69:O70)</f>
        <v>2557972.0011600005</v>
      </c>
      <c r="P71" s="73"/>
    </row>
    <row r="72" spans="1:16" ht="13.5" thickTop="1">
      <c r="A72" s="713"/>
      <c r="B72" s="707"/>
      <c r="C72" s="707"/>
      <c r="D72" s="707"/>
      <c r="E72" s="707"/>
      <c r="F72" s="707"/>
      <c r="G72" s="707"/>
      <c r="H72" s="707"/>
      <c r="I72" s="737"/>
      <c r="J72" s="707"/>
      <c r="K72" s="738"/>
      <c r="L72" s="738"/>
      <c r="M72" s="732"/>
      <c r="N72" s="732"/>
      <c r="O72" s="737"/>
      <c r="P72" s="73"/>
    </row>
    <row r="73" spans="1:16" ht="13.5" thickBot="1">
      <c r="A73" s="713">
        <v>7</v>
      </c>
      <c r="B73" s="707"/>
      <c r="C73" s="717" t="s">
        <v>267</v>
      </c>
      <c r="D73" s="707"/>
      <c r="E73" s="747">
        <v>1</v>
      </c>
      <c r="F73" s="747"/>
      <c r="G73" s="748"/>
      <c r="H73" s="748"/>
      <c r="I73" s="749">
        <v>79836829</v>
      </c>
      <c r="J73" s="707"/>
      <c r="K73" s="750">
        <f>(K66*E66)+(K71*E71)</f>
        <v>7.3172000000000015E-2</v>
      </c>
      <c r="L73" s="738"/>
      <c r="M73" s="707"/>
      <c r="N73" s="707"/>
      <c r="O73" s="751">
        <f>O66+O71</f>
        <v>5841820.4515880011</v>
      </c>
      <c r="P73" s="73"/>
    </row>
    <row r="74" spans="1:16" ht="13.5" thickTop="1">
      <c r="A74" s="713"/>
      <c r="B74" s="707"/>
      <c r="C74" s="707"/>
      <c r="D74" s="707"/>
      <c r="E74" s="707"/>
      <c r="F74" s="707"/>
      <c r="G74" s="707"/>
      <c r="H74" s="707"/>
      <c r="I74" s="707"/>
      <c r="J74" s="707"/>
      <c r="K74" s="707"/>
      <c r="L74" s="707"/>
      <c r="M74" s="707"/>
      <c r="N74" s="707"/>
      <c r="O74" s="707"/>
      <c r="P74" s="73"/>
    </row>
    <row r="75" spans="1:16">
      <c r="A75" s="713"/>
      <c r="B75" s="707"/>
      <c r="C75" s="707"/>
      <c r="D75" s="707"/>
      <c r="E75" s="707"/>
      <c r="F75" s="707"/>
      <c r="G75" s="707"/>
      <c r="H75" s="707"/>
      <c r="I75" s="707"/>
      <c r="J75" s="707"/>
      <c r="K75" s="707"/>
      <c r="L75" s="707"/>
      <c r="M75" s="707"/>
      <c r="N75" s="707"/>
      <c r="O75" s="707"/>
      <c r="P75" s="73"/>
    </row>
    <row r="76" spans="1:16">
      <c r="A76" s="1344" t="s">
        <v>42</v>
      </c>
      <c r="B76" s="1344"/>
      <c r="C76" s="1344"/>
      <c r="D76" s="1344"/>
      <c r="E76" s="1344"/>
      <c r="F76" s="1344"/>
      <c r="G76" s="1344"/>
      <c r="H76" s="1344"/>
      <c r="I76" s="1344"/>
      <c r="J76" s="1344"/>
      <c r="K76" s="1344"/>
      <c r="L76" s="1344"/>
      <c r="M76" s="1344"/>
      <c r="N76" s="1344"/>
      <c r="O76" s="1344"/>
    </row>
    <row r="77" spans="1:16">
      <c r="A77" s="752" t="s">
        <v>835</v>
      </c>
      <c r="B77" s="706"/>
      <c r="C77" s="1345" t="s">
        <v>841</v>
      </c>
      <c r="D77" s="1345"/>
      <c r="E77" s="1345"/>
      <c r="F77" s="1345"/>
      <c r="G77" s="1345"/>
      <c r="H77" s="1345"/>
      <c r="I77" s="1345"/>
      <c r="J77" s="1345"/>
      <c r="K77" s="1345"/>
      <c r="L77" s="1345"/>
      <c r="M77" s="1345"/>
      <c r="N77" s="1345"/>
      <c r="O77" s="1345"/>
    </row>
    <row r="78" spans="1:16">
      <c r="A78" s="753"/>
      <c r="B78" s="706"/>
      <c r="C78" s="1346"/>
      <c r="D78" s="1346"/>
      <c r="E78" s="1346"/>
      <c r="F78" s="1346"/>
      <c r="G78" s="1346"/>
      <c r="H78" s="1346"/>
      <c r="I78" s="1346"/>
      <c r="J78" s="1346"/>
      <c r="K78" s="1346"/>
      <c r="L78" s="1346"/>
      <c r="M78" s="1346"/>
      <c r="N78" s="1346"/>
      <c r="O78" s="1346"/>
    </row>
    <row r="79" spans="1:16">
      <c r="A79" s="753"/>
      <c r="B79" s="706"/>
      <c r="C79" s="1346"/>
      <c r="D79" s="1346"/>
      <c r="E79" s="1346"/>
      <c r="F79" s="1346"/>
      <c r="G79" s="1346"/>
      <c r="H79" s="1346"/>
      <c r="I79" s="1346"/>
      <c r="J79" s="1346"/>
      <c r="K79" s="1346"/>
      <c r="L79" s="1346"/>
      <c r="M79" s="1346"/>
      <c r="N79" s="1346"/>
      <c r="O79" s="1346"/>
    </row>
    <row r="82" spans="1:16">
      <c r="A82" s="713"/>
      <c r="B82" s="714"/>
      <c r="C82" s="1341" t="s">
        <v>844</v>
      </c>
      <c r="D82" s="1342"/>
      <c r="E82" s="1342"/>
      <c r="F82" s="1342"/>
      <c r="G82" s="1342"/>
      <c r="H82" s="1342"/>
      <c r="I82" s="1342"/>
      <c r="J82" s="1342"/>
      <c r="K82" s="1342"/>
      <c r="L82" s="1342"/>
      <c r="M82" s="1342"/>
      <c r="N82" s="1342"/>
      <c r="O82" s="1343"/>
      <c r="P82" s="73"/>
    </row>
    <row r="83" spans="1:16">
      <c r="A83" s="713"/>
      <c r="B83" s="707"/>
      <c r="C83" s="707"/>
      <c r="D83" s="707"/>
      <c r="E83" s="715" t="s">
        <v>830</v>
      </c>
      <c r="F83" s="716"/>
      <c r="G83" s="716"/>
      <c r="H83" s="716"/>
      <c r="I83" s="715" t="s">
        <v>831</v>
      </c>
      <c r="J83" s="707"/>
      <c r="K83" s="715" t="s">
        <v>830</v>
      </c>
      <c r="L83" s="716"/>
      <c r="M83" s="707"/>
      <c r="N83" s="707"/>
      <c r="O83" s="712" t="s">
        <v>831</v>
      </c>
      <c r="P83" s="73"/>
    </row>
    <row r="84" spans="1:16">
      <c r="A84" s="713"/>
      <c r="B84" s="707"/>
      <c r="C84" s="717" t="s">
        <v>832</v>
      </c>
      <c r="D84" s="707"/>
      <c r="E84" s="707"/>
      <c r="F84" s="707"/>
      <c r="G84" s="707"/>
      <c r="H84" s="707"/>
      <c r="I84" s="707"/>
      <c r="J84" s="707"/>
      <c r="K84" s="707"/>
      <c r="L84" s="707"/>
      <c r="M84" s="707"/>
      <c r="N84" s="707"/>
      <c r="O84" s="707"/>
      <c r="P84" s="73"/>
    </row>
    <row r="85" spans="1:16">
      <c r="A85" s="713">
        <v>1</v>
      </c>
      <c r="B85" s="707"/>
      <c r="C85" s="718" t="s">
        <v>833</v>
      </c>
      <c r="D85" s="707"/>
      <c r="E85" s="719">
        <v>0.56000000000000005</v>
      </c>
      <c r="F85" s="720"/>
      <c r="G85" s="721"/>
      <c r="H85" s="722"/>
      <c r="I85" s="723">
        <f>$I94*E85</f>
        <v>46041977.520000003</v>
      </c>
      <c r="J85" s="707"/>
      <c r="K85" s="719">
        <v>5.0099999999999999E-2</v>
      </c>
      <c r="L85" s="720"/>
      <c r="M85" s="721"/>
      <c r="N85" s="722"/>
      <c r="O85" s="723">
        <f>K85*I85</f>
        <v>2306703.073752</v>
      </c>
      <c r="P85" s="73"/>
    </row>
    <row r="86" spans="1:16">
      <c r="A86" s="713">
        <v>2</v>
      </c>
      <c r="B86" s="707"/>
      <c r="C86" s="718" t="s">
        <v>834</v>
      </c>
      <c r="D86" s="707"/>
      <c r="E86" s="724">
        <v>0.04</v>
      </c>
      <c r="F86" s="720"/>
      <c r="G86" s="725" t="s">
        <v>835</v>
      </c>
      <c r="H86" s="725"/>
      <c r="I86" s="726">
        <f>$I94*E86</f>
        <v>3288712.68</v>
      </c>
      <c r="J86" s="707"/>
      <c r="K86" s="724">
        <v>2.0799999999999999E-2</v>
      </c>
      <c r="L86" s="720"/>
      <c r="M86" s="721"/>
      <c r="N86" s="722"/>
      <c r="O86" s="726">
        <f>K86*I86</f>
        <v>68405.223744000003</v>
      </c>
      <c r="P86" s="73"/>
    </row>
    <row r="87" spans="1:16" ht="13.5" thickBot="1">
      <c r="A87" s="713">
        <v>3</v>
      </c>
      <c r="B87" s="707"/>
      <c r="C87" s="713" t="s">
        <v>836</v>
      </c>
      <c r="D87" s="707"/>
      <c r="E87" s="727">
        <f>SUM(E85:E86)</f>
        <v>0.60000000000000009</v>
      </c>
      <c r="F87" s="728"/>
      <c r="G87" s="727"/>
      <c r="H87" s="728"/>
      <c r="I87" s="729">
        <f>SUM(I85:I86)</f>
        <v>49330690.200000003</v>
      </c>
      <c r="J87" s="707"/>
      <c r="K87" s="730">
        <f>IF(E87=0,0,SUMPRODUCT(E85:E86,K85:K86)/E87)</f>
        <v>4.8146666666666657E-2</v>
      </c>
      <c r="L87" s="720"/>
      <c r="M87" s="731"/>
      <c r="N87" s="732"/>
      <c r="O87" s="729">
        <f>SUM(O85:O86)</f>
        <v>2375108.2974959998</v>
      </c>
      <c r="P87" s="73"/>
    </row>
    <row r="88" spans="1:16" ht="13.5" thickTop="1">
      <c r="A88" s="713"/>
      <c r="B88" s="707"/>
      <c r="C88" s="707"/>
      <c r="D88" s="707"/>
      <c r="E88" s="735"/>
      <c r="F88" s="736"/>
      <c r="G88" s="735"/>
      <c r="H88" s="736"/>
      <c r="I88" s="737"/>
      <c r="J88" s="707"/>
      <c r="K88" s="738"/>
      <c r="L88" s="720"/>
      <c r="M88" s="732"/>
      <c r="N88" s="732"/>
      <c r="O88" s="737"/>
      <c r="P88" s="73"/>
    </row>
    <row r="89" spans="1:16">
      <c r="A89" s="713"/>
      <c r="B89" s="707"/>
      <c r="C89" s="717" t="s">
        <v>837</v>
      </c>
      <c r="D89" s="707"/>
      <c r="E89" s="735"/>
      <c r="F89" s="736"/>
      <c r="G89" s="735"/>
      <c r="H89" s="736"/>
      <c r="I89" s="737"/>
      <c r="J89" s="707"/>
      <c r="K89" s="738"/>
      <c r="L89" s="720"/>
      <c r="M89" s="732"/>
      <c r="N89" s="732"/>
      <c r="O89" s="737"/>
      <c r="P89" s="73"/>
    </row>
    <row r="90" spans="1:16">
      <c r="A90" s="739">
        <v>4</v>
      </c>
      <c r="B90" s="740"/>
      <c r="C90" s="741" t="s">
        <v>838</v>
      </c>
      <c r="D90" s="740"/>
      <c r="E90" s="742">
        <v>0.4</v>
      </c>
      <c r="F90" s="743"/>
      <c r="G90" s="721"/>
      <c r="H90" s="722"/>
      <c r="I90" s="744">
        <f>$I94*E90</f>
        <v>32887126.800000001</v>
      </c>
      <c r="J90" s="740"/>
      <c r="K90" s="742">
        <v>9.4200000000000006E-2</v>
      </c>
      <c r="L90" s="743"/>
      <c r="M90" s="721"/>
      <c r="N90" s="722"/>
      <c r="O90" s="744">
        <f>K90*I90</f>
        <v>3097967.3445600001</v>
      </c>
      <c r="P90" s="73"/>
    </row>
    <row r="91" spans="1:16">
      <c r="A91" s="739">
        <v>5</v>
      </c>
      <c r="B91" s="740"/>
      <c r="C91" s="741" t="s">
        <v>839</v>
      </c>
      <c r="D91" s="740"/>
      <c r="E91" s="745">
        <v>0</v>
      </c>
      <c r="F91" s="743"/>
      <c r="G91" s="721"/>
      <c r="H91" s="722"/>
      <c r="I91" s="746">
        <f>$I$31*E91</f>
        <v>0</v>
      </c>
      <c r="J91" s="740"/>
      <c r="K91" s="745"/>
      <c r="L91" s="743"/>
      <c r="M91" s="721"/>
      <c r="N91" s="722"/>
      <c r="O91" s="746">
        <f>K91*I91</f>
        <v>0</v>
      </c>
      <c r="P91" s="73"/>
    </row>
    <row r="92" spans="1:16" ht="13.5" thickBot="1">
      <c r="A92" s="713">
        <v>6</v>
      </c>
      <c r="B92" s="707"/>
      <c r="C92" s="713" t="s">
        <v>840</v>
      </c>
      <c r="D92" s="707"/>
      <c r="E92" s="727">
        <f>SUM(E90:E91)</f>
        <v>0.4</v>
      </c>
      <c r="F92" s="727"/>
      <c r="G92" s="727"/>
      <c r="H92" s="728"/>
      <c r="I92" s="729">
        <f>SUM(I90:I91)</f>
        <v>32887126.800000001</v>
      </c>
      <c r="J92" s="707"/>
      <c r="K92" s="730">
        <f>IF(E92=0,0,SUMPRODUCT(E90:E91,K90:K91)/E92)</f>
        <v>9.4200000000000006E-2</v>
      </c>
      <c r="L92" s="720"/>
      <c r="M92" s="732"/>
      <c r="N92" s="732"/>
      <c r="O92" s="729">
        <f>SUM(O90:O91)</f>
        <v>3097967.3445600001</v>
      </c>
      <c r="P92" s="73"/>
    </row>
    <row r="93" spans="1:16" ht="13.5" thickTop="1">
      <c r="A93" s="713"/>
      <c r="B93" s="707"/>
      <c r="C93" s="707"/>
      <c r="D93" s="707"/>
      <c r="E93" s="707"/>
      <c r="F93" s="707"/>
      <c r="G93" s="707"/>
      <c r="H93" s="707"/>
      <c r="I93" s="737"/>
      <c r="J93" s="707"/>
      <c r="K93" s="738"/>
      <c r="L93" s="738"/>
      <c r="M93" s="732"/>
      <c r="N93" s="732"/>
      <c r="O93" s="737"/>
      <c r="P93" s="73"/>
    </row>
    <row r="94" spans="1:16" ht="13.5" thickBot="1">
      <c r="A94" s="713">
        <v>7</v>
      </c>
      <c r="B94" s="707"/>
      <c r="C94" s="717" t="s">
        <v>267</v>
      </c>
      <c r="D94" s="707"/>
      <c r="E94" s="747">
        <v>1</v>
      </c>
      <c r="F94" s="747"/>
      <c r="G94" s="748"/>
      <c r="H94" s="748"/>
      <c r="I94" s="749">
        <v>82217817</v>
      </c>
      <c r="J94" s="707"/>
      <c r="K94" s="750">
        <f>(K87*E87)+(K92*E92)</f>
        <v>6.6568000000000002E-2</v>
      </c>
      <c r="L94" s="738"/>
      <c r="M94" s="707"/>
      <c r="N94" s="707"/>
      <c r="O94" s="751">
        <f>O87+O92</f>
        <v>5473075.6420559995</v>
      </c>
      <c r="P94" s="73"/>
    </row>
    <row r="95" spans="1:16" ht="13.5" thickTop="1">
      <c r="A95" s="713"/>
      <c r="B95" s="707"/>
      <c r="C95" s="707"/>
      <c r="D95" s="707"/>
      <c r="E95" s="707"/>
      <c r="F95" s="707"/>
      <c r="G95" s="707"/>
      <c r="H95" s="707"/>
      <c r="I95" s="707"/>
      <c r="J95" s="707"/>
      <c r="K95" s="707"/>
      <c r="L95" s="707"/>
      <c r="M95" s="707"/>
      <c r="N95" s="707"/>
      <c r="O95" s="707"/>
      <c r="P95" s="73"/>
    </row>
    <row r="96" spans="1:16">
      <c r="A96" s="713"/>
      <c r="B96" s="707"/>
      <c r="C96" s="707"/>
      <c r="D96" s="707"/>
      <c r="E96" s="707"/>
      <c r="F96" s="707"/>
      <c r="G96" s="707"/>
      <c r="H96" s="707"/>
      <c r="I96" s="707"/>
      <c r="J96" s="707"/>
      <c r="K96" s="707"/>
      <c r="L96" s="707"/>
      <c r="M96" s="707"/>
      <c r="N96" s="707"/>
      <c r="O96" s="707"/>
      <c r="P96" s="73"/>
    </row>
    <row r="97" spans="1:16">
      <c r="A97" s="1344" t="s">
        <v>42</v>
      </c>
      <c r="B97" s="1344"/>
      <c r="C97" s="1344"/>
      <c r="D97" s="1344"/>
      <c r="E97" s="1344"/>
      <c r="F97" s="1344"/>
      <c r="G97" s="1344"/>
      <c r="H97" s="1344"/>
      <c r="I97" s="1344"/>
      <c r="J97" s="1344"/>
      <c r="K97" s="1344"/>
      <c r="L97" s="1344"/>
      <c r="M97" s="1344"/>
      <c r="N97" s="1344"/>
      <c r="O97" s="1344"/>
    </row>
    <row r="98" spans="1:16">
      <c r="A98" s="752" t="s">
        <v>835</v>
      </c>
      <c r="B98" s="706"/>
      <c r="C98" s="1345" t="s">
        <v>841</v>
      </c>
      <c r="D98" s="1345"/>
      <c r="E98" s="1345"/>
      <c r="F98" s="1345"/>
      <c r="G98" s="1345"/>
      <c r="H98" s="1345"/>
      <c r="I98" s="1345"/>
      <c r="J98" s="1345"/>
      <c r="K98" s="1345"/>
      <c r="L98" s="1345"/>
      <c r="M98" s="1345"/>
      <c r="N98" s="1345"/>
      <c r="O98" s="1345"/>
    </row>
    <row r="99" spans="1:16">
      <c r="A99" s="753"/>
      <c r="B99" s="706"/>
      <c r="C99" s="1346"/>
      <c r="D99" s="1346"/>
      <c r="E99" s="1346"/>
      <c r="F99" s="1346"/>
      <c r="G99" s="1346"/>
      <c r="H99" s="1346"/>
      <c r="I99" s="1346"/>
      <c r="J99" s="1346"/>
      <c r="K99" s="1346"/>
      <c r="L99" s="1346"/>
      <c r="M99" s="1346"/>
      <c r="N99" s="1346"/>
      <c r="O99" s="1346"/>
    </row>
    <row r="100" spans="1:16">
      <c r="A100" s="753"/>
      <c r="B100" s="706"/>
      <c r="C100" s="1346"/>
      <c r="D100" s="1346"/>
      <c r="E100" s="1346"/>
      <c r="F100" s="1346"/>
      <c r="G100" s="1346"/>
      <c r="H100" s="1346"/>
      <c r="I100" s="1346"/>
      <c r="J100" s="1346"/>
      <c r="K100" s="1346"/>
      <c r="L100" s="1346"/>
      <c r="M100" s="1346"/>
      <c r="N100" s="1346"/>
      <c r="O100" s="1346"/>
    </row>
    <row r="103" spans="1:16">
      <c r="A103" s="713"/>
      <c r="B103" s="714"/>
      <c r="C103" s="1341" t="s">
        <v>845</v>
      </c>
      <c r="D103" s="1342"/>
      <c r="E103" s="1342"/>
      <c r="F103" s="1342"/>
      <c r="G103" s="1342"/>
      <c r="H103" s="1342"/>
      <c r="I103" s="1342"/>
      <c r="J103" s="1342"/>
      <c r="K103" s="1342"/>
      <c r="L103" s="1342"/>
      <c r="M103" s="1342"/>
      <c r="N103" s="1342"/>
      <c r="O103" s="1343"/>
      <c r="P103" s="73"/>
    </row>
    <row r="104" spans="1:16">
      <c r="A104" s="713"/>
      <c r="B104" s="707"/>
      <c r="C104" s="707"/>
      <c r="D104" s="707"/>
      <c r="E104" s="715" t="s">
        <v>830</v>
      </c>
      <c r="F104" s="716"/>
      <c r="G104" s="716"/>
      <c r="H104" s="716"/>
      <c r="I104" s="715" t="s">
        <v>831</v>
      </c>
      <c r="J104" s="707"/>
      <c r="K104" s="715" t="s">
        <v>830</v>
      </c>
      <c r="L104" s="716"/>
      <c r="M104" s="707"/>
      <c r="N104" s="707"/>
      <c r="O104" s="712" t="s">
        <v>831</v>
      </c>
      <c r="P104" s="73"/>
    </row>
    <row r="105" spans="1:16">
      <c r="A105" s="713"/>
      <c r="B105" s="707"/>
      <c r="C105" s="717" t="s">
        <v>832</v>
      </c>
      <c r="D105" s="707"/>
      <c r="E105" s="707"/>
      <c r="F105" s="707"/>
      <c r="G105" s="707"/>
      <c r="H105" s="707"/>
      <c r="I105" s="707"/>
      <c r="J105" s="707"/>
      <c r="K105" s="707"/>
      <c r="L105" s="707"/>
      <c r="M105" s="707"/>
      <c r="N105" s="707"/>
      <c r="O105" s="707"/>
      <c r="P105" s="73"/>
    </row>
    <row r="106" spans="1:16">
      <c r="A106" s="713">
        <v>1</v>
      </c>
      <c r="B106" s="707"/>
      <c r="C106" s="718" t="s">
        <v>833</v>
      </c>
      <c r="D106" s="707"/>
      <c r="E106" s="719">
        <v>0.56000000000000005</v>
      </c>
      <c r="F106" s="720"/>
      <c r="G106" s="721"/>
      <c r="H106" s="722"/>
      <c r="I106" s="723">
        <f>$I115*E106</f>
        <v>49324637.600000001</v>
      </c>
      <c r="J106" s="707"/>
      <c r="K106" s="719">
        <v>4.1369999999999997E-2</v>
      </c>
      <c r="L106" s="720"/>
      <c r="M106" s="721"/>
      <c r="N106" s="722"/>
      <c r="O106" s="723">
        <f>K106*I106</f>
        <v>2040560.2575119999</v>
      </c>
      <c r="P106" s="73"/>
    </row>
    <row r="107" spans="1:16">
      <c r="A107" s="713">
        <v>2</v>
      </c>
      <c r="B107" s="707"/>
      <c r="C107" s="718" t="s">
        <v>834</v>
      </c>
      <c r="D107" s="707"/>
      <c r="E107" s="724">
        <v>0.04</v>
      </c>
      <c r="F107" s="720"/>
      <c r="G107" s="725" t="s">
        <v>835</v>
      </c>
      <c r="H107" s="725"/>
      <c r="I107" s="726">
        <f>$I115*E107</f>
        <v>3523188.4</v>
      </c>
      <c r="J107" s="707"/>
      <c r="K107" s="724">
        <v>2.07E-2</v>
      </c>
      <c r="L107" s="720"/>
      <c r="M107" s="721"/>
      <c r="N107" s="722"/>
      <c r="O107" s="726">
        <f>K107*I107</f>
        <v>72929.999880000003</v>
      </c>
      <c r="P107" s="73"/>
    </row>
    <row r="108" spans="1:16" ht="13.5" thickBot="1">
      <c r="A108" s="713">
        <v>3</v>
      </c>
      <c r="B108" s="707"/>
      <c r="C108" s="713" t="s">
        <v>836</v>
      </c>
      <c r="D108" s="707"/>
      <c r="E108" s="727">
        <f>SUM(E106:E107)</f>
        <v>0.60000000000000009</v>
      </c>
      <c r="F108" s="728"/>
      <c r="G108" s="727"/>
      <c r="H108" s="728"/>
      <c r="I108" s="729">
        <f>SUM(I106:I107)</f>
        <v>52847826</v>
      </c>
      <c r="J108" s="707"/>
      <c r="K108" s="730">
        <f>IF(E108=0,0,SUMPRODUCT(E106:E107,K106:K107)/E108)</f>
        <v>3.9991999999999993E-2</v>
      </c>
      <c r="L108" s="720"/>
      <c r="M108" s="731"/>
      <c r="N108" s="732"/>
      <c r="O108" s="729">
        <f>SUM(O106:O107)</f>
        <v>2113490.2573919999</v>
      </c>
      <c r="P108" s="73"/>
    </row>
    <row r="109" spans="1:16" ht="13.5" thickTop="1">
      <c r="A109" s="713"/>
      <c r="B109" s="707"/>
      <c r="C109" s="707"/>
      <c r="D109" s="707"/>
      <c r="E109" s="735"/>
      <c r="F109" s="736"/>
      <c r="G109" s="735"/>
      <c r="H109" s="736"/>
      <c r="I109" s="737"/>
      <c r="J109" s="707"/>
      <c r="K109" s="738"/>
      <c r="L109" s="720"/>
      <c r="M109" s="732"/>
      <c r="N109" s="732"/>
      <c r="O109" s="737"/>
      <c r="P109" s="73"/>
    </row>
    <row r="110" spans="1:16">
      <c r="A110" s="713"/>
      <c r="B110" s="707"/>
      <c r="C110" s="717" t="s">
        <v>837</v>
      </c>
      <c r="D110" s="707"/>
      <c r="E110" s="735"/>
      <c r="F110" s="736"/>
      <c r="G110" s="735"/>
      <c r="H110" s="736"/>
      <c r="I110" s="737"/>
      <c r="J110" s="707"/>
      <c r="K110" s="738"/>
      <c r="L110" s="720"/>
      <c r="M110" s="732"/>
      <c r="N110" s="732"/>
      <c r="O110" s="737"/>
      <c r="P110" s="73"/>
    </row>
    <row r="111" spans="1:16">
      <c r="A111" s="739">
        <v>4</v>
      </c>
      <c r="B111" s="740"/>
      <c r="C111" s="741" t="s">
        <v>838</v>
      </c>
      <c r="D111" s="740"/>
      <c r="E111" s="742">
        <v>0.4</v>
      </c>
      <c r="F111" s="743"/>
      <c r="G111" s="721"/>
      <c r="H111" s="722"/>
      <c r="I111" s="744">
        <f>$I115*E111</f>
        <v>35231884</v>
      </c>
      <c r="J111" s="740"/>
      <c r="K111" s="742">
        <v>8.9800000000000005E-2</v>
      </c>
      <c r="L111" s="743"/>
      <c r="M111" s="721"/>
      <c r="N111" s="722"/>
      <c r="O111" s="744">
        <f>K111*I111</f>
        <v>3163823.1832000003</v>
      </c>
      <c r="P111" s="73"/>
    </row>
    <row r="112" spans="1:16">
      <c r="A112" s="739">
        <v>5</v>
      </c>
      <c r="B112" s="740"/>
      <c r="C112" s="741" t="s">
        <v>839</v>
      </c>
      <c r="D112" s="740"/>
      <c r="E112" s="745">
        <v>0</v>
      </c>
      <c r="F112" s="743"/>
      <c r="G112" s="721"/>
      <c r="H112" s="722"/>
      <c r="I112" s="746">
        <f>$I$31*E112</f>
        <v>0</v>
      </c>
      <c r="J112" s="740"/>
      <c r="K112" s="745"/>
      <c r="L112" s="743"/>
      <c r="M112" s="721"/>
      <c r="N112" s="722"/>
      <c r="O112" s="746">
        <f>K112*I112</f>
        <v>0</v>
      </c>
      <c r="P112" s="73"/>
    </row>
    <row r="113" spans="1:16" ht="13.5" thickBot="1">
      <c r="A113" s="713">
        <v>6</v>
      </c>
      <c r="B113" s="707"/>
      <c r="C113" s="713" t="s">
        <v>840</v>
      </c>
      <c r="D113" s="707"/>
      <c r="E113" s="727">
        <f>SUM(E111:E112)</f>
        <v>0.4</v>
      </c>
      <c r="F113" s="727"/>
      <c r="G113" s="727"/>
      <c r="H113" s="728"/>
      <c r="I113" s="729">
        <f>SUM(I111:I112)</f>
        <v>35231884</v>
      </c>
      <c r="J113" s="707"/>
      <c r="K113" s="730">
        <f>IF(E113=0,0,SUMPRODUCT(E111:E112,K111:K112)/E113)</f>
        <v>8.9799999999999991E-2</v>
      </c>
      <c r="L113" s="720"/>
      <c r="M113" s="732"/>
      <c r="N113" s="732"/>
      <c r="O113" s="729">
        <f>SUM(O111:O112)</f>
        <v>3163823.1832000003</v>
      </c>
      <c r="P113" s="73"/>
    </row>
    <row r="114" spans="1:16" ht="13.5" thickTop="1">
      <c r="A114" s="713"/>
      <c r="B114" s="707"/>
      <c r="C114" s="707"/>
      <c r="D114" s="707"/>
      <c r="E114" s="707"/>
      <c r="F114" s="707"/>
      <c r="G114" s="707"/>
      <c r="H114" s="707"/>
      <c r="I114" s="737"/>
      <c r="J114" s="707"/>
      <c r="K114" s="738"/>
      <c r="L114" s="738"/>
      <c r="M114" s="732"/>
      <c r="N114" s="732"/>
      <c r="O114" s="737"/>
      <c r="P114" s="73"/>
    </row>
    <row r="115" spans="1:16" ht="13.5" thickBot="1">
      <c r="A115" s="713">
        <v>7</v>
      </c>
      <c r="B115" s="707"/>
      <c r="C115" s="717" t="s">
        <v>267</v>
      </c>
      <c r="D115" s="707"/>
      <c r="E115" s="747">
        <v>1</v>
      </c>
      <c r="F115" s="747"/>
      <c r="G115" s="748"/>
      <c r="H115" s="748"/>
      <c r="I115" s="749">
        <v>88079710</v>
      </c>
      <c r="J115" s="707"/>
      <c r="K115" s="750">
        <f>(K108*E108)+(K113*E113)</f>
        <v>5.9915200000000002E-2</v>
      </c>
      <c r="L115" s="738"/>
      <c r="M115" s="707"/>
      <c r="N115" s="707"/>
      <c r="O115" s="751">
        <f>O108+O113</f>
        <v>5277313.4405920003</v>
      </c>
      <c r="P115" s="73"/>
    </row>
    <row r="116" spans="1:16" ht="13.5" thickTop="1">
      <c r="A116" s="713"/>
      <c r="B116" s="707"/>
      <c r="C116" s="707"/>
      <c r="D116" s="707"/>
      <c r="E116" s="707"/>
      <c r="F116" s="707"/>
      <c r="G116" s="707"/>
      <c r="H116" s="707"/>
      <c r="I116" s="707"/>
      <c r="J116" s="707"/>
      <c r="K116" s="707"/>
      <c r="L116" s="707"/>
      <c r="M116" s="707"/>
      <c r="N116" s="707"/>
      <c r="O116" s="707"/>
      <c r="P116" s="73"/>
    </row>
    <row r="117" spans="1:16">
      <c r="A117" s="713"/>
      <c r="B117" s="707"/>
      <c r="C117" s="707"/>
      <c r="D117" s="707"/>
      <c r="E117" s="707"/>
      <c r="F117" s="707"/>
      <c r="G117" s="707"/>
      <c r="H117" s="707"/>
      <c r="I117" s="707"/>
      <c r="J117" s="707"/>
      <c r="K117" s="707"/>
      <c r="L117" s="707"/>
      <c r="M117" s="707"/>
      <c r="N117" s="707"/>
      <c r="O117" s="707"/>
      <c r="P117" s="73"/>
    </row>
    <row r="118" spans="1:16">
      <c r="A118" s="1344" t="s">
        <v>42</v>
      </c>
      <c r="B118" s="1344"/>
      <c r="C118" s="1344"/>
      <c r="D118" s="1344"/>
      <c r="E118" s="1344"/>
      <c r="F118" s="1344"/>
      <c r="G118" s="1344"/>
      <c r="H118" s="1344"/>
      <c r="I118" s="1344"/>
      <c r="J118" s="1344"/>
      <c r="K118" s="1344"/>
      <c r="L118" s="1344"/>
      <c r="M118" s="1344"/>
      <c r="N118" s="1344"/>
      <c r="O118" s="1344"/>
    </row>
    <row r="119" spans="1:16">
      <c r="A119" s="752" t="s">
        <v>835</v>
      </c>
      <c r="B119" s="706"/>
      <c r="C119" s="1345" t="s">
        <v>841</v>
      </c>
      <c r="D119" s="1345"/>
      <c r="E119" s="1345"/>
      <c r="F119" s="1345"/>
      <c r="G119" s="1345"/>
      <c r="H119" s="1345"/>
      <c r="I119" s="1345"/>
      <c r="J119" s="1345"/>
      <c r="K119" s="1345"/>
      <c r="L119" s="1345"/>
      <c r="M119" s="1345"/>
      <c r="N119" s="1345"/>
      <c r="O119" s="1345"/>
    </row>
    <row r="120" spans="1:16">
      <c r="A120" s="753"/>
      <c r="B120" s="706"/>
      <c r="C120" s="1346"/>
      <c r="D120" s="1346"/>
      <c r="E120" s="1346"/>
      <c r="F120" s="1346"/>
      <c r="G120" s="1346"/>
      <c r="H120" s="1346"/>
      <c r="I120" s="1346"/>
      <c r="J120" s="1346"/>
      <c r="K120" s="1346"/>
      <c r="L120" s="1346"/>
      <c r="M120" s="1346"/>
      <c r="N120" s="1346"/>
      <c r="O120" s="1346"/>
    </row>
    <row r="121" spans="1:16">
      <c r="A121" s="753"/>
      <c r="B121" s="706"/>
      <c r="C121" s="1346"/>
      <c r="D121" s="1346"/>
      <c r="E121" s="1346"/>
      <c r="F121" s="1346"/>
      <c r="G121" s="1346"/>
      <c r="H121" s="1346"/>
      <c r="I121" s="1346"/>
      <c r="J121" s="1346"/>
      <c r="K121" s="1346"/>
      <c r="L121" s="1346"/>
      <c r="M121" s="1346"/>
      <c r="N121" s="1346"/>
      <c r="O121" s="1346"/>
    </row>
  </sheetData>
  <mergeCells count="32">
    <mergeCell ref="C120:O120"/>
    <mergeCell ref="C121:O121"/>
    <mergeCell ref="C98:O98"/>
    <mergeCell ref="C99:O99"/>
    <mergeCell ref="C100:O100"/>
    <mergeCell ref="C103:O103"/>
    <mergeCell ref="A118:O118"/>
    <mergeCell ref="C119:O119"/>
    <mergeCell ref="A97:O97"/>
    <mergeCell ref="C40:O40"/>
    <mergeCell ref="A55:O55"/>
    <mergeCell ref="C56:O56"/>
    <mergeCell ref="C57:O57"/>
    <mergeCell ref="C58:O58"/>
    <mergeCell ref="C61:O61"/>
    <mergeCell ref="A76:O76"/>
    <mergeCell ref="C77:O77"/>
    <mergeCell ref="C78:O78"/>
    <mergeCell ref="C79:O79"/>
    <mergeCell ref="C82:O82"/>
    <mergeCell ref="C39:O39"/>
    <mergeCell ref="C10:O10"/>
    <mergeCell ref="C11:O11"/>
    <mergeCell ref="A13:O13"/>
    <mergeCell ref="A15:A16"/>
    <mergeCell ref="E16:I16"/>
    <mergeCell ref="C19:O19"/>
    <mergeCell ref="A34:O34"/>
    <mergeCell ref="C35:O35"/>
    <mergeCell ref="C36:O36"/>
    <mergeCell ref="C37:O37"/>
    <mergeCell ref="C38:O38"/>
  </mergeCells>
  <dataValidations count="1">
    <dataValidation allowBlank="1" showInputMessage="1" showErrorMessage="1" promptTitle="Date Format" prompt="E.g:  &quot;August 1, 2011&quot;" sqref="O7 WVW983049 WMA983049 WCE983049 VSI983049 VIM983049 UYQ983049 UOU983049 UEY983049 TVC983049 TLG983049 TBK983049 SRO983049 SHS983049 RXW983049 ROA983049 REE983049 QUI983049 QKM983049 QAQ983049 PQU983049 PGY983049 OXC983049 ONG983049 ODK983049 NTO983049 NJS983049 MZW983049 MQA983049 MGE983049 LWI983049 LMM983049 LCQ983049 KSU983049 KIY983049 JZC983049 JPG983049 JFK983049 IVO983049 ILS983049 IBW983049 HSA983049 HIE983049 GYI983049 GOM983049 GEQ983049 FUU983049 FKY983049 FBC983049 ERG983049 EHK983049 DXO983049 DNS983049 DDW983049 CUA983049 CKE983049 CAI983049 BQM983049 BGQ983049 AWU983049 AMY983049 ADC983049 TG983049 JK983049 O983049 WVW917513 WMA917513 WCE917513 VSI917513 VIM917513 UYQ917513 UOU917513 UEY917513 TVC917513 TLG917513 TBK917513 SRO917513 SHS917513 RXW917513 ROA917513 REE917513 QUI917513 QKM917513 QAQ917513 PQU917513 PGY917513 OXC917513 ONG917513 ODK917513 NTO917513 NJS917513 MZW917513 MQA917513 MGE917513 LWI917513 LMM917513 LCQ917513 KSU917513 KIY917513 JZC917513 JPG917513 JFK917513 IVO917513 ILS917513 IBW917513 HSA917513 HIE917513 GYI917513 GOM917513 GEQ917513 FUU917513 FKY917513 FBC917513 ERG917513 EHK917513 DXO917513 DNS917513 DDW917513 CUA917513 CKE917513 CAI917513 BQM917513 BGQ917513 AWU917513 AMY917513 ADC917513 TG917513 JK917513 O917513 WVW851977 WMA851977 WCE851977 VSI851977 VIM851977 UYQ851977 UOU851977 UEY851977 TVC851977 TLG851977 TBK851977 SRO851977 SHS851977 RXW851977 ROA851977 REE851977 QUI851977 QKM851977 QAQ851977 PQU851977 PGY851977 OXC851977 ONG851977 ODK851977 NTO851977 NJS851977 MZW851977 MQA851977 MGE851977 LWI851977 LMM851977 LCQ851977 KSU851977 KIY851977 JZC851977 JPG851977 JFK851977 IVO851977 ILS851977 IBW851977 HSA851977 HIE851977 GYI851977 GOM851977 GEQ851977 FUU851977 FKY851977 FBC851977 ERG851977 EHK851977 DXO851977 DNS851977 DDW851977 CUA851977 CKE851977 CAI851977 BQM851977 BGQ851977 AWU851977 AMY851977 ADC851977 TG851977 JK851977 O851977 WVW786441 WMA786441 WCE786441 VSI786441 VIM786441 UYQ786441 UOU786441 UEY786441 TVC786441 TLG786441 TBK786441 SRO786441 SHS786441 RXW786441 ROA786441 REE786441 QUI786441 QKM786441 QAQ786441 PQU786441 PGY786441 OXC786441 ONG786441 ODK786441 NTO786441 NJS786441 MZW786441 MQA786441 MGE786441 LWI786441 LMM786441 LCQ786441 KSU786441 KIY786441 JZC786441 JPG786441 JFK786441 IVO786441 ILS786441 IBW786441 HSA786441 HIE786441 GYI786441 GOM786441 GEQ786441 FUU786441 FKY786441 FBC786441 ERG786441 EHK786441 DXO786441 DNS786441 DDW786441 CUA786441 CKE786441 CAI786441 BQM786441 BGQ786441 AWU786441 AMY786441 ADC786441 TG786441 JK786441 O786441 WVW720905 WMA720905 WCE720905 VSI720905 VIM720905 UYQ720905 UOU720905 UEY720905 TVC720905 TLG720905 TBK720905 SRO720905 SHS720905 RXW720905 ROA720905 REE720905 QUI720905 QKM720905 QAQ720905 PQU720905 PGY720905 OXC720905 ONG720905 ODK720905 NTO720905 NJS720905 MZW720905 MQA720905 MGE720905 LWI720905 LMM720905 LCQ720905 KSU720905 KIY720905 JZC720905 JPG720905 JFK720905 IVO720905 ILS720905 IBW720905 HSA720905 HIE720905 GYI720905 GOM720905 GEQ720905 FUU720905 FKY720905 FBC720905 ERG720905 EHK720905 DXO720905 DNS720905 DDW720905 CUA720905 CKE720905 CAI720905 BQM720905 BGQ720905 AWU720905 AMY720905 ADC720905 TG720905 JK720905 O720905 WVW655369 WMA655369 WCE655369 VSI655369 VIM655369 UYQ655369 UOU655369 UEY655369 TVC655369 TLG655369 TBK655369 SRO655369 SHS655369 RXW655369 ROA655369 REE655369 QUI655369 QKM655369 QAQ655369 PQU655369 PGY655369 OXC655369 ONG655369 ODK655369 NTO655369 NJS655369 MZW655369 MQA655369 MGE655369 LWI655369 LMM655369 LCQ655369 KSU655369 KIY655369 JZC655369 JPG655369 JFK655369 IVO655369 ILS655369 IBW655369 HSA655369 HIE655369 GYI655369 GOM655369 GEQ655369 FUU655369 FKY655369 FBC655369 ERG655369 EHK655369 DXO655369 DNS655369 DDW655369 CUA655369 CKE655369 CAI655369 BQM655369 BGQ655369 AWU655369 AMY655369 ADC655369 TG655369 JK655369 O655369 WVW589833 WMA589833 WCE589833 VSI589833 VIM589833 UYQ589833 UOU589833 UEY589833 TVC589833 TLG589833 TBK589833 SRO589833 SHS589833 RXW589833 ROA589833 REE589833 QUI589833 QKM589833 QAQ589833 PQU589833 PGY589833 OXC589833 ONG589833 ODK589833 NTO589833 NJS589833 MZW589833 MQA589833 MGE589833 LWI589833 LMM589833 LCQ589833 KSU589833 KIY589833 JZC589833 JPG589833 JFK589833 IVO589833 ILS589833 IBW589833 HSA589833 HIE589833 GYI589833 GOM589833 GEQ589833 FUU589833 FKY589833 FBC589833 ERG589833 EHK589833 DXO589833 DNS589833 DDW589833 CUA589833 CKE589833 CAI589833 BQM589833 BGQ589833 AWU589833 AMY589833 ADC589833 TG589833 JK589833 O589833 WVW524297 WMA524297 WCE524297 VSI524297 VIM524297 UYQ524297 UOU524297 UEY524297 TVC524297 TLG524297 TBK524297 SRO524297 SHS524297 RXW524297 ROA524297 REE524297 QUI524297 QKM524297 QAQ524297 PQU524297 PGY524297 OXC524297 ONG524297 ODK524297 NTO524297 NJS524297 MZW524297 MQA524297 MGE524297 LWI524297 LMM524297 LCQ524297 KSU524297 KIY524297 JZC524297 JPG524297 JFK524297 IVO524297 ILS524297 IBW524297 HSA524297 HIE524297 GYI524297 GOM524297 GEQ524297 FUU524297 FKY524297 FBC524297 ERG524297 EHK524297 DXO524297 DNS524297 DDW524297 CUA524297 CKE524297 CAI524297 BQM524297 BGQ524297 AWU524297 AMY524297 ADC524297 TG524297 JK524297 O524297 WVW458761 WMA458761 WCE458761 VSI458761 VIM458761 UYQ458761 UOU458761 UEY458761 TVC458761 TLG458761 TBK458761 SRO458761 SHS458761 RXW458761 ROA458761 REE458761 QUI458761 QKM458761 QAQ458761 PQU458761 PGY458761 OXC458761 ONG458761 ODK458761 NTO458761 NJS458761 MZW458761 MQA458761 MGE458761 LWI458761 LMM458761 LCQ458761 KSU458761 KIY458761 JZC458761 JPG458761 JFK458761 IVO458761 ILS458761 IBW458761 HSA458761 HIE458761 GYI458761 GOM458761 GEQ458761 FUU458761 FKY458761 FBC458761 ERG458761 EHK458761 DXO458761 DNS458761 DDW458761 CUA458761 CKE458761 CAI458761 BQM458761 BGQ458761 AWU458761 AMY458761 ADC458761 TG458761 JK458761 O458761 WVW393225 WMA393225 WCE393225 VSI393225 VIM393225 UYQ393225 UOU393225 UEY393225 TVC393225 TLG393225 TBK393225 SRO393225 SHS393225 RXW393225 ROA393225 REE393225 QUI393225 QKM393225 QAQ393225 PQU393225 PGY393225 OXC393225 ONG393225 ODK393225 NTO393225 NJS393225 MZW393225 MQA393225 MGE393225 LWI393225 LMM393225 LCQ393225 KSU393225 KIY393225 JZC393225 JPG393225 JFK393225 IVO393225 ILS393225 IBW393225 HSA393225 HIE393225 GYI393225 GOM393225 GEQ393225 FUU393225 FKY393225 FBC393225 ERG393225 EHK393225 DXO393225 DNS393225 DDW393225 CUA393225 CKE393225 CAI393225 BQM393225 BGQ393225 AWU393225 AMY393225 ADC393225 TG393225 JK393225 O393225 WVW327689 WMA327689 WCE327689 VSI327689 VIM327689 UYQ327689 UOU327689 UEY327689 TVC327689 TLG327689 TBK327689 SRO327689 SHS327689 RXW327689 ROA327689 REE327689 QUI327689 QKM327689 QAQ327689 PQU327689 PGY327689 OXC327689 ONG327689 ODK327689 NTO327689 NJS327689 MZW327689 MQA327689 MGE327689 LWI327689 LMM327689 LCQ327689 KSU327689 KIY327689 JZC327689 JPG327689 JFK327689 IVO327689 ILS327689 IBW327689 HSA327689 HIE327689 GYI327689 GOM327689 GEQ327689 FUU327689 FKY327689 FBC327689 ERG327689 EHK327689 DXO327689 DNS327689 DDW327689 CUA327689 CKE327689 CAI327689 BQM327689 BGQ327689 AWU327689 AMY327689 ADC327689 TG327689 JK327689 O327689 WVW262153 WMA262153 WCE262153 VSI262153 VIM262153 UYQ262153 UOU262153 UEY262153 TVC262153 TLG262153 TBK262153 SRO262153 SHS262153 RXW262153 ROA262153 REE262153 QUI262153 QKM262153 QAQ262153 PQU262153 PGY262153 OXC262153 ONG262153 ODK262153 NTO262153 NJS262153 MZW262153 MQA262153 MGE262153 LWI262153 LMM262153 LCQ262153 KSU262153 KIY262153 JZC262153 JPG262153 JFK262153 IVO262153 ILS262153 IBW262153 HSA262153 HIE262153 GYI262153 GOM262153 GEQ262153 FUU262153 FKY262153 FBC262153 ERG262153 EHK262153 DXO262153 DNS262153 DDW262153 CUA262153 CKE262153 CAI262153 BQM262153 BGQ262153 AWU262153 AMY262153 ADC262153 TG262153 JK262153 O262153 WVW196617 WMA196617 WCE196617 VSI196617 VIM196617 UYQ196617 UOU196617 UEY196617 TVC196617 TLG196617 TBK196617 SRO196617 SHS196617 RXW196617 ROA196617 REE196617 QUI196617 QKM196617 QAQ196617 PQU196617 PGY196617 OXC196617 ONG196617 ODK196617 NTO196617 NJS196617 MZW196617 MQA196617 MGE196617 LWI196617 LMM196617 LCQ196617 KSU196617 KIY196617 JZC196617 JPG196617 JFK196617 IVO196617 ILS196617 IBW196617 HSA196617 HIE196617 GYI196617 GOM196617 GEQ196617 FUU196617 FKY196617 FBC196617 ERG196617 EHK196617 DXO196617 DNS196617 DDW196617 CUA196617 CKE196617 CAI196617 BQM196617 BGQ196617 AWU196617 AMY196617 ADC196617 TG196617 JK196617 O196617 WVW131081 WMA131081 WCE131081 VSI131081 VIM131081 UYQ131081 UOU131081 UEY131081 TVC131081 TLG131081 TBK131081 SRO131081 SHS131081 RXW131081 ROA131081 REE131081 QUI131081 QKM131081 QAQ131081 PQU131081 PGY131081 OXC131081 ONG131081 ODK131081 NTO131081 NJS131081 MZW131081 MQA131081 MGE131081 LWI131081 LMM131081 LCQ131081 KSU131081 KIY131081 JZC131081 JPG131081 JFK131081 IVO131081 ILS131081 IBW131081 HSA131081 HIE131081 GYI131081 GOM131081 GEQ131081 FUU131081 FKY131081 FBC131081 ERG131081 EHK131081 DXO131081 DNS131081 DDW131081 CUA131081 CKE131081 CAI131081 BQM131081 BGQ131081 AWU131081 AMY131081 ADC131081 TG131081 JK131081 O131081 WVW65545 WMA65545 WCE65545 VSI65545 VIM65545 UYQ65545 UOU65545 UEY65545 TVC65545 TLG65545 TBK65545 SRO65545 SHS65545 RXW65545 ROA65545 REE65545 QUI65545 QKM65545 QAQ65545 PQU65545 PGY65545 OXC65545 ONG65545 ODK65545 NTO65545 NJS65545 MZW65545 MQA65545 MGE65545 LWI65545 LMM65545 LCQ65545 KSU65545 KIY65545 JZC65545 JPG65545 JFK65545 IVO65545 ILS65545 IBW65545 HSA65545 HIE65545 GYI65545 GOM65545 GEQ65545 FUU65545 FKY65545 FBC65545 ERG65545 EHK65545 DXO65545 DNS65545 DDW65545 CUA65545 CKE65545 CAI65545 BQM65545 BGQ65545 AWU65545 AMY65545 ADC65545 TG65545 JK65545 O65545 WVW7 WMA7 WCE7 VSI7 VIM7 UYQ7 UOU7 UEY7 TVC7 TLG7 TBK7 SRO7 SHS7 RXW7 ROA7 REE7 QUI7 QKM7 QAQ7 PQU7 PGY7 OXC7 ONG7 ODK7 NTO7 NJS7 MZW7 MQA7 MGE7 LWI7 LMM7 LCQ7 KSU7 KIY7 JZC7 JPG7 JFK7 IVO7 ILS7 IBW7 HSA7 HIE7 GYI7 GOM7 GEQ7 FUU7 FKY7 FBC7 ERG7 EHK7 DXO7 DNS7 DDW7 CUA7 CKE7 CAI7 BQM7 BGQ7 AWU7 AMY7 ADC7 TG7 JK7"/>
  </dataValidations>
  <printOptions horizontalCentered="1" verticalCentered="1"/>
  <pageMargins left="0.31496062992125984" right="0.31496062992125984" top="0.39370078740157483" bottom="0.39370078740157483" header="0.19685039370078741" footer="0.19685039370078741"/>
  <pageSetup scale="48" orientation="portrait" r:id="rId1"/>
  <headerFooter alignWithMargins="0"/>
</worksheet>
</file>

<file path=xl/worksheets/sheet25.xml><?xml version="1.0" encoding="utf-8"?>
<worksheet xmlns="http://schemas.openxmlformats.org/spreadsheetml/2006/main" xmlns:r="http://schemas.openxmlformats.org/officeDocument/2006/relationships">
  <sheetPr>
    <pageSetUpPr autoPageBreaks="0" fitToPage="1"/>
  </sheetPr>
  <dimension ref="A1:S154"/>
  <sheetViews>
    <sheetView showGridLines="0" zoomScaleNormal="100" workbookViewId="0">
      <selection activeCell="J24" sqref="J24"/>
    </sheetView>
  </sheetViews>
  <sheetFormatPr defaultRowHeight="12.75"/>
  <cols>
    <col min="1" max="1" width="5.85546875" style="30" bestFit="1" customWidth="1"/>
    <col min="2" max="2" width="35.140625" style="30" customWidth="1"/>
    <col min="3" max="3" width="20.85546875" style="30" customWidth="1"/>
    <col min="4" max="4" width="15.42578125" style="30" bestFit="1" customWidth="1"/>
    <col min="5" max="5" width="14" style="30" customWidth="1"/>
    <col min="6" max="6" width="12.28515625" style="30" customWidth="1"/>
    <col min="7" max="7" width="8.42578125" style="30" customWidth="1"/>
    <col min="8" max="8" width="13.140625" style="30" customWidth="1"/>
    <col min="9" max="9" width="8.28515625" style="30" bestFit="1" customWidth="1"/>
    <col min="10" max="10" width="19.85546875" style="30" customWidth="1"/>
    <col min="11" max="11" width="18.140625" style="30" customWidth="1"/>
    <col min="12" max="12" width="1.42578125" style="30" customWidth="1"/>
    <col min="13" max="13" width="3.5703125" style="30" customWidth="1"/>
    <col min="14" max="14" width="1.7109375" style="30" customWidth="1"/>
    <col min="15" max="15" width="14" style="30" customWidth="1"/>
    <col min="16" max="16" width="2.140625" style="30" customWidth="1"/>
    <col min="17" max="16384" width="9.140625" style="30"/>
  </cols>
  <sheetData>
    <row r="1" spans="1:15" ht="18">
      <c r="A1" s="29"/>
      <c r="J1" s="756" t="s">
        <v>131</v>
      </c>
      <c r="K1" s="32" t="str">
        <f>'LDC Info'!$E$18</f>
        <v>EB-2012-0126</v>
      </c>
    </row>
    <row r="2" spans="1:15">
      <c r="J2" s="756" t="s">
        <v>132</v>
      </c>
      <c r="K2" s="33"/>
    </row>
    <row r="3" spans="1:15">
      <c r="J3" s="756" t="s">
        <v>133</v>
      </c>
      <c r="K3" s="33"/>
    </row>
    <row r="4" spans="1:15">
      <c r="J4" s="756" t="s">
        <v>134</v>
      </c>
      <c r="K4" s="33"/>
    </row>
    <row r="5" spans="1:15">
      <c r="J5" s="756" t="s">
        <v>439</v>
      </c>
      <c r="K5" s="34"/>
    </row>
    <row r="6" spans="1:15">
      <c r="J6" s="757"/>
      <c r="K6" s="32"/>
    </row>
    <row r="7" spans="1:15">
      <c r="J7" s="756" t="s">
        <v>136</v>
      </c>
      <c r="K7" s="34" t="s">
        <v>1171</v>
      </c>
    </row>
    <row r="10" spans="1:15" ht="18">
      <c r="A10" s="1144" t="s">
        <v>846</v>
      </c>
      <c r="B10" s="1144"/>
      <c r="C10" s="1144"/>
      <c r="D10" s="1144"/>
      <c r="E10" s="1144"/>
      <c r="F10" s="1144"/>
      <c r="G10" s="1144"/>
      <c r="H10" s="1144"/>
      <c r="I10" s="1144"/>
      <c r="J10" s="1144"/>
      <c r="K10" s="1144"/>
      <c r="L10" s="36"/>
      <c r="M10" s="36"/>
      <c r="N10" s="36"/>
      <c r="O10" s="36"/>
    </row>
    <row r="13" spans="1:15" ht="18">
      <c r="A13" s="1144" t="s">
        <v>847</v>
      </c>
      <c r="B13" s="1144"/>
      <c r="C13" s="1144"/>
      <c r="D13" s="1144"/>
      <c r="E13" s="1144"/>
      <c r="F13" s="1144"/>
      <c r="G13" s="1144"/>
      <c r="H13" s="1144"/>
      <c r="I13" s="1144"/>
      <c r="J13" s="1144"/>
      <c r="K13" s="1144"/>
      <c r="L13" s="1144"/>
      <c r="M13" s="1144"/>
      <c r="N13" s="1144"/>
      <c r="O13" s="1144"/>
    </row>
    <row r="14" spans="1:15" ht="9" customHeight="1">
      <c r="L14" s="123"/>
      <c r="M14" s="123"/>
      <c r="N14" s="123"/>
      <c r="O14" s="123"/>
    </row>
    <row r="15" spans="1:15" ht="28.5" customHeight="1">
      <c r="A15" s="1347" t="s">
        <v>823</v>
      </c>
      <c r="B15" s="1347"/>
      <c r="C15" s="1347"/>
      <c r="D15" s="1347"/>
      <c r="E15" s="1347"/>
      <c r="F15" s="1347"/>
      <c r="G15" s="1347"/>
      <c r="H15" s="1347"/>
      <c r="I15" s="1347"/>
      <c r="J15" s="1347"/>
      <c r="K15" s="1347"/>
      <c r="L15" s="123"/>
      <c r="M15" s="123"/>
      <c r="N15" s="123"/>
      <c r="O15" s="123"/>
    </row>
    <row r="16" spans="1:15" ht="15.75">
      <c r="D16" s="758" t="s">
        <v>333</v>
      </c>
      <c r="E16" s="759">
        <v>2013</v>
      </c>
    </row>
    <row r="17" spans="1:19" ht="16.5" customHeight="1" thickBot="1"/>
    <row r="18" spans="1:19" ht="25.5">
      <c r="A18" s="760" t="s">
        <v>848</v>
      </c>
      <c r="B18" s="761" t="s">
        <v>279</v>
      </c>
      <c r="C18" s="762" t="s">
        <v>849</v>
      </c>
      <c r="D18" s="763" t="s">
        <v>850</v>
      </c>
      <c r="E18" s="763" t="s">
        <v>851</v>
      </c>
      <c r="F18" s="762" t="s">
        <v>852</v>
      </c>
      <c r="G18" s="764" t="s">
        <v>853</v>
      </c>
      <c r="H18" s="764" t="s">
        <v>854</v>
      </c>
      <c r="I18" s="763" t="s">
        <v>855</v>
      </c>
      <c r="J18" s="763" t="s">
        <v>856</v>
      </c>
      <c r="K18" s="765"/>
    </row>
    <row r="19" spans="1:19">
      <c r="A19" s="766"/>
      <c r="B19" s="767" t="s">
        <v>857</v>
      </c>
      <c r="C19" s="767" t="s">
        <v>858</v>
      </c>
      <c r="D19" s="759" t="s">
        <v>859</v>
      </c>
      <c r="E19" s="759" t="s">
        <v>860</v>
      </c>
      <c r="F19" s="768">
        <v>40561</v>
      </c>
      <c r="G19" s="769">
        <v>15</v>
      </c>
      <c r="H19" s="344">
        <v>1764379</v>
      </c>
      <c r="I19" s="770">
        <f>I49</f>
        <v>4.6902326480245317E-2</v>
      </c>
      <c r="J19" s="771">
        <f>H19*I19</f>
        <v>82753.479892888747</v>
      </c>
      <c r="K19" s="772"/>
    </row>
    <row r="20" spans="1:19">
      <c r="A20" s="766">
        <v>2</v>
      </c>
      <c r="B20" s="767" t="s">
        <v>861</v>
      </c>
      <c r="C20" s="767" t="s">
        <v>862</v>
      </c>
      <c r="D20" s="773" t="s">
        <v>863</v>
      </c>
      <c r="E20" s="773" t="s">
        <v>864</v>
      </c>
      <c r="F20" s="768">
        <v>36831</v>
      </c>
      <c r="G20" s="769" t="s">
        <v>865</v>
      </c>
      <c r="H20" s="344">
        <v>48645458</v>
      </c>
      <c r="I20" s="770">
        <v>4.1200000000000001E-2</v>
      </c>
      <c r="J20" s="771">
        <f t="shared" ref="J20:J30" si="0">H20*I20</f>
        <v>2004192.8696000001</v>
      </c>
      <c r="K20" s="772"/>
    </row>
    <row r="21" spans="1:19">
      <c r="A21" s="766">
        <v>3</v>
      </c>
      <c r="B21" s="769" t="s">
        <v>866</v>
      </c>
      <c r="C21" s="769" t="s">
        <v>867</v>
      </c>
      <c r="D21" s="759" t="s">
        <v>859</v>
      </c>
      <c r="E21" s="759" t="s">
        <v>864</v>
      </c>
      <c r="F21" s="768">
        <v>41548</v>
      </c>
      <c r="G21" s="769">
        <v>15</v>
      </c>
      <c r="H21" s="344">
        <v>1000000</v>
      </c>
      <c r="I21" s="770">
        <v>3.9899999999999998E-2</v>
      </c>
      <c r="J21" s="771">
        <f t="shared" si="0"/>
        <v>39900</v>
      </c>
      <c r="K21" s="772"/>
    </row>
    <row r="22" spans="1:19">
      <c r="A22" s="766">
        <v>4</v>
      </c>
      <c r="B22" s="769"/>
      <c r="C22" s="769"/>
      <c r="D22" s="759"/>
      <c r="E22" s="759"/>
      <c r="F22" s="768"/>
      <c r="G22" s="769"/>
      <c r="H22" s="344"/>
      <c r="I22" s="769"/>
      <c r="J22" s="771">
        <f t="shared" si="0"/>
        <v>0</v>
      </c>
      <c r="K22" s="772"/>
    </row>
    <row r="23" spans="1:19">
      <c r="A23" s="766">
        <v>5</v>
      </c>
      <c r="B23" s="769"/>
      <c r="C23" s="769"/>
      <c r="D23" s="759"/>
      <c r="E23" s="759"/>
      <c r="F23" s="768"/>
      <c r="G23" s="769"/>
      <c r="H23" s="344"/>
      <c r="I23" s="769"/>
      <c r="J23" s="771">
        <f t="shared" si="0"/>
        <v>0</v>
      </c>
      <c r="K23" s="772"/>
      <c r="Q23" s="756"/>
      <c r="R23" s="756"/>
      <c r="S23" s="756"/>
    </row>
    <row r="24" spans="1:19">
      <c r="A24" s="766">
        <v>6</v>
      </c>
      <c r="B24" s="769"/>
      <c r="C24" s="769"/>
      <c r="D24" s="759"/>
      <c r="E24" s="759"/>
      <c r="F24" s="768"/>
      <c r="G24" s="769"/>
      <c r="H24" s="344"/>
      <c r="I24" s="769"/>
      <c r="J24" s="771">
        <f t="shared" si="0"/>
        <v>0</v>
      </c>
      <c r="K24" s="772"/>
      <c r="Q24" s="756"/>
      <c r="R24" s="756"/>
      <c r="S24" s="756"/>
    </row>
    <row r="25" spans="1:19">
      <c r="A25" s="766">
        <v>7</v>
      </c>
      <c r="B25" s="769"/>
      <c r="C25" s="769"/>
      <c r="D25" s="759"/>
      <c r="E25" s="759"/>
      <c r="F25" s="768"/>
      <c r="G25" s="769"/>
      <c r="H25" s="344"/>
      <c r="I25" s="769"/>
      <c r="J25" s="771">
        <f t="shared" si="0"/>
        <v>0</v>
      </c>
      <c r="K25" s="772"/>
      <c r="Q25" s="756"/>
      <c r="R25" s="756"/>
      <c r="S25" s="756"/>
    </row>
    <row r="26" spans="1:19">
      <c r="A26" s="766">
        <v>8</v>
      </c>
      <c r="B26" s="769"/>
      <c r="C26" s="769"/>
      <c r="D26" s="759"/>
      <c r="E26" s="759"/>
      <c r="F26" s="768"/>
      <c r="G26" s="769"/>
      <c r="H26" s="344"/>
      <c r="I26" s="769"/>
      <c r="J26" s="771">
        <f t="shared" si="0"/>
        <v>0</v>
      </c>
      <c r="K26" s="772"/>
      <c r="Q26" s="756"/>
      <c r="R26" s="756"/>
      <c r="S26" s="756"/>
    </row>
    <row r="27" spans="1:19">
      <c r="A27" s="766">
        <v>9</v>
      </c>
      <c r="B27" s="769"/>
      <c r="C27" s="769"/>
      <c r="D27" s="759"/>
      <c r="E27" s="759"/>
      <c r="F27" s="768"/>
      <c r="G27" s="769"/>
      <c r="H27" s="344"/>
      <c r="I27" s="769"/>
      <c r="J27" s="771">
        <f t="shared" si="0"/>
        <v>0</v>
      </c>
      <c r="K27" s="772"/>
      <c r="Q27" s="756"/>
      <c r="R27" s="756"/>
      <c r="S27" s="756"/>
    </row>
    <row r="28" spans="1:19">
      <c r="A28" s="766">
        <v>10</v>
      </c>
      <c r="B28" s="769"/>
      <c r="C28" s="769"/>
      <c r="D28" s="759"/>
      <c r="E28" s="759"/>
      <c r="F28" s="768"/>
      <c r="G28" s="769"/>
      <c r="H28" s="344"/>
      <c r="I28" s="769"/>
      <c r="J28" s="771">
        <f t="shared" si="0"/>
        <v>0</v>
      </c>
      <c r="K28" s="772"/>
      <c r="Q28" s="774"/>
      <c r="R28" s="774"/>
      <c r="S28" s="774"/>
    </row>
    <row r="29" spans="1:19">
      <c r="A29" s="766">
        <v>11</v>
      </c>
      <c r="B29" s="769"/>
      <c r="C29" s="769"/>
      <c r="D29" s="759"/>
      <c r="E29" s="759"/>
      <c r="F29" s="768"/>
      <c r="G29" s="769"/>
      <c r="H29" s="344"/>
      <c r="I29" s="769"/>
      <c r="J29" s="771">
        <f t="shared" si="0"/>
        <v>0</v>
      </c>
      <c r="K29" s="772"/>
      <c r="Q29" s="756"/>
      <c r="R29" s="756"/>
      <c r="S29" s="756"/>
    </row>
    <row r="30" spans="1:19">
      <c r="A30" s="766">
        <v>12</v>
      </c>
      <c r="B30" s="769"/>
      <c r="C30" s="769"/>
      <c r="D30" s="759"/>
      <c r="E30" s="759"/>
      <c r="F30" s="768"/>
      <c r="G30" s="769"/>
      <c r="H30" s="344"/>
      <c r="I30" s="769"/>
      <c r="J30" s="771">
        <f t="shared" si="0"/>
        <v>0</v>
      </c>
      <c r="K30" s="772"/>
    </row>
    <row r="31" spans="1:19" ht="13.5" thickBot="1">
      <c r="A31" s="775"/>
      <c r="B31" s="776"/>
      <c r="C31" s="777"/>
      <c r="D31" s="777"/>
      <c r="E31" s="777"/>
      <c r="F31" s="776"/>
      <c r="G31" s="777"/>
      <c r="H31" s="777"/>
      <c r="I31" s="777"/>
      <c r="J31" s="776"/>
      <c r="K31" s="772"/>
    </row>
    <row r="32" spans="1:19" ht="14.25" thickTop="1" thickBot="1">
      <c r="A32" s="778" t="s">
        <v>267</v>
      </c>
      <c r="B32" s="779"/>
      <c r="C32" s="780"/>
      <c r="D32" s="780"/>
      <c r="E32" s="780"/>
      <c r="F32" s="779"/>
      <c r="G32" s="780"/>
      <c r="H32" s="351">
        <f>SUM(H19:H30)</f>
        <v>51409837</v>
      </c>
      <c r="I32" s="781">
        <f>IF(H32=0,"",J32/H32)</f>
        <v>4.1370416122752711E-2</v>
      </c>
      <c r="J32" s="782">
        <f>SUM(J19:J30)</f>
        <v>2126846.3494928889</v>
      </c>
      <c r="K32" s="783"/>
    </row>
    <row r="34" spans="1:15">
      <c r="A34" s="31" t="s">
        <v>42</v>
      </c>
    </row>
    <row r="36" spans="1:15">
      <c r="A36" s="172">
        <v>1</v>
      </c>
      <c r="B36" s="30" t="s">
        <v>868</v>
      </c>
    </row>
    <row r="37" spans="1:15">
      <c r="A37" s="172">
        <v>2</v>
      </c>
      <c r="B37" s="30" t="s">
        <v>869</v>
      </c>
    </row>
    <row r="38" spans="1:15">
      <c r="A38" s="172">
        <v>3</v>
      </c>
      <c r="B38" s="30" t="s">
        <v>870</v>
      </c>
    </row>
    <row r="41" spans="1:15" hidden="1"/>
    <row r="42" spans="1:15" hidden="1"/>
    <row r="43" spans="1:15" ht="18" hidden="1">
      <c r="A43" s="1144" t="s">
        <v>847</v>
      </c>
      <c r="B43" s="1144"/>
      <c r="C43" s="1144"/>
      <c r="D43" s="1144"/>
      <c r="E43" s="1144"/>
      <c r="F43" s="1144"/>
      <c r="G43" s="1144"/>
      <c r="H43" s="1144"/>
      <c r="I43" s="1144"/>
      <c r="J43" s="1144"/>
      <c r="K43" s="1144"/>
      <c r="L43" s="1144"/>
      <c r="M43" s="1144"/>
      <c r="N43" s="1144"/>
      <c r="O43" s="1144"/>
    </row>
    <row r="44" spans="1:15" ht="9" hidden="1" customHeight="1">
      <c r="L44" s="123"/>
      <c r="M44" s="123"/>
      <c r="N44" s="123"/>
      <c r="O44" s="123"/>
    </row>
    <row r="45" spans="1:15" ht="28.5" hidden="1" customHeight="1">
      <c r="A45" s="1347" t="s">
        <v>823</v>
      </c>
      <c r="B45" s="1347"/>
      <c r="C45" s="1347"/>
      <c r="D45" s="1347"/>
      <c r="E45" s="1347"/>
      <c r="F45" s="1347"/>
      <c r="G45" s="1347"/>
      <c r="H45" s="1347"/>
      <c r="I45" s="1347"/>
      <c r="J45" s="1347"/>
      <c r="K45" s="1347"/>
      <c r="L45" s="123"/>
      <c r="M45" s="123"/>
      <c r="N45" s="123"/>
      <c r="O45" s="123"/>
    </row>
    <row r="46" spans="1:15" ht="15.75">
      <c r="D46" s="758" t="s">
        <v>333</v>
      </c>
      <c r="E46" s="759">
        <v>2012</v>
      </c>
    </row>
    <row r="47" spans="1:15" ht="16.5" customHeight="1" thickBot="1"/>
    <row r="48" spans="1:15" ht="25.5">
      <c r="A48" s="760" t="s">
        <v>848</v>
      </c>
      <c r="B48" s="761" t="s">
        <v>279</v>
      </c>
      <c r="C48" s="762" t="s">
        <v>849</v>
      </c>
      <c r="D48" s="763" t="s">
        <v>850</v>
      </c>
      <c r="E48" s="763" t="s">
        <v>851</v>
      </c>
      <c r="F48" s="762" t="s">
        <v>852</v>
      </c>
      <c r="G48" s="764" t="s">
        <v>853</v>
      </c>
      <c r="H48" s="764" t="s">
        <v>854</v>
      </c>
      <c r="I48" s="763" t="s">
        <v>855</v>
      </c>
      <c r="J48" s="763" t="s">
        <v>856</v>
      </c>
      <c r="K48" s="765"/>
    </row>
    <row r="49" spans="1:19">
      <c r="A49" s="766">
        <v>1</v>
      </c>
      <c r="B49" s="767" t="s">
        <v>857</v>
      </c>
      <c r="C49" s="767" t="s">
        <v>858</v>
      </c>
      <c r="D49" s="759" t="s">
        <v>859</v>
      </c>
      <c r="E49" s="759" t="s">
        <v>860</v>
      </c>
      <c r="F49" s="768">
        <v>40561</v>
      </c>
      <c r="G49" s="769">
        <v>15</v>
      </c>
      <c r="H49" s="344">
        <v>1873194.5</v>
      </c>
      <c r="I49" s="770">
        <v>4.6902326480245317E-2</v>
      </c>
      <c r="J49" s="771">
        <f>H49*I49</f>
        <v>87857.179999999891</v>
      </c>
      <c r="K49" s="772"/>
    </row>
    <row r="50" spans="1:19">
      <c r="A50" s="766">
        <v>2</v>
      </c>
      <c r="B50" s="767" t="s">
        <v>861</v>
      </c>
      <c r="C50" s="767" t="s">
        <v>862</v>
      </c>
      <c r="D50" s="773" t="s">
        <v>863</v>
      </c>
      <c r="E50" s="773" t="s">
        <v>864</v>
      </c>
      <c r="F50" s="768"/>
      <c r="G50" s="769"/>
      <c r="H50" s="344">
        <v>48645458</v>
      </c>
      <c r="I50" s="770">
        <v>4.41E-2</v>
      </c>
      <c r="J50" s="771">
        <f t="shared" ref="J50:J60" si="1">H50*I50</f>
        <v>2145264.6978000002</v>
      </c>
      <c r="K50" s="772"/>
    </row>
    <row r="51" spans="1:19">
      <c r="A51" s="766">
        <v>3</v>
      </c>
      <c r="B51" s="769"/>
      <c r="C51" s="769"/>
      <c r="D51" s="759"/>
      <c r="E51" s="759"/>
      <c r="F51" s="768"/>
      <c r="G51" s="769"/>
      <c r="H51" s="344"/>
      <c r="I51" s="769"/>
      <c r="J51" s="771">
        <f t="shared" si="1"/>
        <v>0</v>
      </c>
      <c r="K51" s="772"/>
    </row>
    <row r="52" spans="1:19">
      <c r="A52" s="766">
        <v>4</v>
      </c>
      <c r="B52" s="769"/>
      <c r="C52" s="769"/>
      <c r="D52" s="759"/>
      <c r="E52" s="759"/>
      <c r="F52" s="768"/>
      <c r="G52" s="769"/>
      <c r="H52" s="344"/>
      <c r="I52" s="769"/>
      <c r="J52" s="771">
        <f t="shared" si="1"/>
        <v>0</v>
      </c>
      <c r="K52" s="772"/>
    </row>
    <row r="53" spans="1:19">
      <c r="A53" s="766">
        <v>5</v>
      </c>
      <c r="B53" s="769"/>
      <c r="C53" s="769"/>
      <c r="D53" s="759"/>
      <c r="E53" s="759"/>
      <c r="F53" s="768"/>
      <c r="G53" s="769"/>
      <c r="H53" s="344"/>
      <c r="I53" s="769"/>
      <c r="J53" s="771">
        <f t="shared" si="1"/>
        <v>0</v>
      </c>
      <c r="K53" s="772"/>
      <c r="Q53" s="756"/>
      <c r="R53" s="756"/>
      <c r="S53" s="756"/>
    </row>
    <row r="54" spans="1:19">
      <c r="A54" s="766">
        <v>6</v>
      </c>
      <c r="B54" s="769"/>
      <c r="C54" s="769"/>
      <c r="D54" s="759"/>
      <c r="E54" s="759"/>
      <c r="F54" s="768"/>
      <c r="G54" s="769"/>
      <c r="H54" s="344"/>
      <c r="I54" s="769"/>
      <c r="J54" s="771">
        <f t="shared" si="1"/>
        <v>0</v>
      </c>
      <c r="K54" s="772"/>
      <c r="Q54" s="756"/>
      <c r="R54" s="756"/>
      <c r="S54" s="756"/>
    </row>
    <row r="55" spans="1:19">
      <c r="A55" s="766">
        <v>7</v>
      </c>
      <c r="B55" s="769"/>
      <c r="C55" s="769"/>
      <c r="D55" s="759"/>
      <c r="E55" s="759"/>
      <c r="F55" s="768"/>
      <c r="G55" s="769"/>
      <c r="H55" s="344"/>
      <c r="I55" s="769"/>
      <c r="J55" s="771">
        <f t="shared" si="1"/>
        <v>0</v>
      </c>
      <c r="K55" s="772"/>
      <c r="Q55" s="756"/>
      <c r="R55" s="756"/>
      <c r="S55" s="756"/>
    </row>
    <row r="56" spans="1:19">
      <c r="A56" s="766">
        <v>8</v>
      </c>
      <c r="B56" s="769"/>
      <c r="C56" s="769"/>
      <c r="D56" s="759"/>
      <c r="E56" s="759"/>
      <c r="F56" s="768"/>
      <c r="G56" s="769"/>
      <c r="H56" s="344"/>
      <c r="I56" s="769"/>
      <c r="J56" s="771">
        <f t="shared" si="1"/>
        <v>0</v>
      </c>
      <c r="K56" s="772"/>
      <c r="Q56" s="756"/>
      <c r="R56" s="756"/>
      <c r="S56" s="756"/>
    </row>
    <row r="57" spans="1:19">
      <c r="A57" s="766">
        <v>9</v>
      </c>
      <c r="B57" s="769"/>
      <c r="C57" s="769"/>
      <c r="D57" s="759"/>
      <c r="E57" s="759"/>
      <c r="F57" s="768"/>
      <c r="G57" s="769"/>
      <c r="H57" s="344"/>
      <c r="I57" s="769"/>
      <c r="J57" s="771">
        <f t="shared" si="1"/>
        <v>0</v>
      </c>
      <c r="K57" s="772"/>
      <c r="Q57" s="756"/>
      <c r="R57" s="756"/>
      <c r="S57" s="756"/>
    </row>
    <row r="58" spans="1:19">
      <c r="A58" s="766">
        <v>10</v>
      </c>
      <c r="B58" s="769"/>
      <c r="C58" s="769"/>
      <c r="D58" s="759"/>
      <c r="E58" s="759"/>
      <c r="F58" s="768"/>
      <c r="G58" s="769"/>
      <c r="H58" s="344"/>
      <c r="I58" s="769"/>
      <c r="J58" s="771">
        <f t="shared" si="1"/>
        <v>0</v>
      </c>
      <c r="K58" s="772"/>
      <c r="Q58" s="774"/>
      <c r="R58" s="774"/>
      <c r="S58" s="774"/>
    </row>
    <row r="59" spans="1:19">
      <c r="A59" s="766">
        <v>11</v>
      </c>
      <c r="B59" s="769"/>
      <c r="C59" s="769"/>
      <c r="D59" s="759"/>
      <c r="E59" s="759"/>
      <c r="F59" s="768"/>
      <c r="G59" s="769"/>
      <c r="H59" s="344"/>
      <c r="I59" s="769"/>
      <c r="J59" s="771">
        <f t="shared" si="1"/>
        <v>0</v>
      </c>
      <c r="K59" s="772"/>
      <c r="Q59" s="756"/>
      <c r="R59" s="756"/>
      <c r="S59" s="756"/>
    </row>
    <row r="60" spans="1:19">
      <c r="A60" s="766">
        <v>12</v>
      </c>
      <c r="B60" s="769"/>
      <c r="C60" s="769"/>
      <c r="D60" s="759"/>
      <c r="E60" s="759"/>
      <c r="F60" s="768"/>
      <c r="G60" s="769"/>
      <c r="H60" s="344"/>
      <c r="I60" s="769"/>
      <c r="J60" s="771">
        <f t="shared" si="1"/>
        <v>0</v>
      </c>
      <c r="K60" s="772"/>
    </row>
    <row r="61" spans="1:19" ht="13.5" thickBot="1">
      <c r="A61" s="775"/>
      <c r="B61" s="776"/>
      <c r="C61" s="777"/>
      <c r="D61" s="777"/>
      <c r="E61" s="777"/>
      <c r="F61" s="776"/>
      <c r="G61" s="777"/>
      <c r="H61" s="777"/>
      <c r="I61" s="777"/>
      <c r="J61" s="776"/>
      <c r="K61" s="772"/>
    </row>
    <row r="62" spans="1:19" ht="14.25" thickTop="1" thickBot="1">
      <c r="A62" s="778" t="s">
        <v>267</v>
      </c>
      <c r="B62" s="779"/>
      <c r="C62" s="780"/>
      <c r="D62" s="780"/>
      <c r="E62" s="780"/>
      <c r="F62" s="779"/>
      <c r="G62" s="780"/>
      <c r="H62" s="351">
        <f>SUM(H49:H60)</f>
        <v>50518652.5</v>
      </c>
      <c r="I62" s="780">
        <f>IF(H62=0,"",J62/H62)</f>
        <v>4.4203908205983918E-2</v>
      </c>
      <c r="J62" s="782">
        <f>SUM(J49:J60)</f>
        <v>2233121.8777999999</v>
      </c>
      <c r="K62" s="783"/>
    </row>
    <row r="64" spans="1:19">
      <c r="A64" s="31" t="s">
        <v>42</v>
      </c>
    </row>
    <row r="66" spans="1:15">
      <c r="A66" s="172">
        <v>1</v>
      </c>
      <c r="B66" s="30" t="s">
        <v>868</v>
      </c>
    </row>
    <row r="67" spans="1:15">
      <c r="A67" s="172">
        <v>2</v>
      </c>
      <c r="B67" s="30" t="s">
        <v>869</v>
      </c>
    </row>
    <row r="68" spans="1:15">
      <c r="A68" s="172">
        <v>3</v>
      </c>
      <c r="B68" s="30" t="s">
        <v>870</v>
      </c>
    </row>
    <row r="71" spans="1:15" hidden="1"/>
    <row r="72" spans="1:15" ht="18" hidden="1">
      <c r="A72" s="1144" t="s">
        <v>847</v>
      </c>
      <c r="B72" s="1144"/>
      <c r="C72" s="1144"/>
      <c r="D72" s="1144"/>
      <c r="E72" s="1144"/>
      <c r="F72" s="1144"/>
      <c r="G72" s="1144"/>
      <c r="H72" s="1144"/>
      <c r="I72" s="1144"/>
      <c r="J72" s="1144"/>
      <c r="K72" s="1144"/>
      <c r="L72" s="1144"/>
      <c r="M72" s="1144"/>
      <c r="N72" s="1144"/>
      <c r="O72" s="1144"/>
    </row>
    <row r="73" spans="1:15" ht="9" hidden="1" customHeight="1">
      <c r="L73" s="123"/>
      <c r="M73" s="123"/>
      <c r="N73" s="123"/>
      <c r="O73" s="123"/>
    </row>
    <row r="74" spans="1:15" ht="28.5" hidden="1" customHeight="1">
      <c r="A74" s="1347" t="s">
        <v>823</v>
      </c>
      <c r="B74" s="1347"/>
      <c r="C74" s="1347"/>
      <c r="D74" s="1347"/>
      <c r="E74" s="1347"/>
      <c r="F74" s="1347"/>
      <c r="G74" s="1347"/>
      <c r="H74" s="1347"/>
      <c r="I74" s="1347"/>
      <c r="J74" s="1347"/>
      <c r="K74" s="1347"/>
      <c r="L74" s="123"/>
      <c r="M74" s="123"/>
      <c r="N74" s="123"/>
      <c r="O74" s="123"/>
    </row>
    <row r="75" spans="1:15" ht="15.75">
      <c r="D75" s="758" t="s">
        <v>333</v>
      </c>
      <c r="E75" s="759">
        <v>2011</v>
      </c>
    </row>
    <row r="76" spans="1:15" ht="16.5" customHeight="1" thickBot="1"/>
    <row r="77" spans="1:15" ht="25.5">
      <c r="A77" s="760" t="s">
        <v>848</v>
      </c>
      <c r="B77" s="761" t="s">
        <v>279</v>
      </c>
      <c r="C77" s="762" t="s">
        <v>849</v>
      </c>
      <c r="D77" s="763" t="s">
        <v>850</v>
      </c>
      <c r="E77" s="763" t="s">
        <v>851</v>
      </c>
      <c r="F77" s="762" t="s">
        <v>852</v>
      </c>
      <c r="G77" s="764" t="s">
        <v>853</v>
      </c>
      <c r="H77" s="764" t="s">
        <v>854</v>
      </c>
      <c r="I77" s="763" t="s">
        <v>855</v>
      </c>
      <c r="J77" s="763" t="s">
        <v>856</v>
      </c>
      <c r="K77" s="765"/>
    </row>
    <row r="78" spans="1:15">
      <c r="A78" s="766">
        <v>1</v>
      </c>
      <c r="B78" s="767" t="s">
        <v>857</v>
      </c>
      <c r="C78" s="767" t="s">
        <v>858</v>
      </c>
      <c r="D78" s="759" t="s">
        <v>859</v>
      </c>
      <c r="E78" s="759" t="s">
        <v>860</v>
      </c>
      <c r="F78" s="768">
        <v>40561</v>
      </c>
      <c r="G78" s="769">
        <v>15</v>
      </c>
      <c r="H78" s="344">
        <v>1960931.5</v>
      </c>
      <c r="I78" s="770">
        <v>4.2993939359941939E-2</v>
      </c>
      <c r="J78" s="771">
        <f>H78*I78</f>
        <v>84308.169999999984</v>
      </c>
      <c r="K78" s="772"/>
    </row>
    <row r="79" spans="1:15">
      <c r="A79" s="766">
        <v>2</v>
      </c>
      <c r="B79" s="767" t="s">
        <v>861</v>
      </c>
      <c r="C79" s="767" t="s">
        <v>862</v>
      </c>
      <c r="D79" s="773" t="s">
        <v>863</v>
      </c>
      <c r="E79" s="773" t="s">
        <v>864</v>
      </c>
      <c r="F79" s="768"/>
      <c r="G79" s="769"/>
      <c r="H79" s="344">
        <v>48645458</v>
      </c>
      <c r="I79" s="770">
        <v>4.41E-2</v>
      </c>
      <c r="J79" s="771">
        <f t="shared" ref="J79:J89" si="2">H79*I79</f>
        <v>2145264.6978000002</v>
      </c>
      <c r="K79" s="772"/>
    </row>
    <row r="80" spans="1:15">
      <c r="A80" s="766">
        <v>3</v>
      </c>
      <c r="B80" s="769"/>
      <c r="C80" s="769"/>
      <c r="D80" s="759"/>
      <c r="E80" s="759"/>
      <c r="F80" s="768"/>
      <c r="G80" s="769"/>
      <c r="H80" s="344"/>
      <c r="I80" s="769"/>
      <c r="J80" s="771">
        <f t="shared" si="2"/>
        <v>0</v>
      </c>
      <c r="K80" s="772"/>
    </row>
    <row r="81" spans="1:19">
      <c r="A81" s="766">
        <v>4</v>
      </c>
      <c r="B81" s="769"/>
      <c r="C81" s="769"/>
      <c r="D81" s="759"/>
      <c r="E81" s="759"/>
      <c r="F81" s="768"/>
      <c r="G81" s="769"/>
      <c r="H81" s="344"/>
      <c r="I81" s="769"/>
      <c r="J81" s="771">
        <f t="shared" si="2"/>
        <v>0</v>
      </c>
      <c r="K81" s="772"/>
    </row>
    <row r="82" spans="1:19">
      <c r="A82" s="766">
        <v>5</v>
      </c>
      <c r="B82" s="769"/>
      <c r="C82" s="769"/>
      <c r="D82" s="759"/>
      <c r="E82" s="759"/>
      <c r="F82" s="768"/>
      <c r="G82" s="769"/>
      <c r="H82" s="344"/>
      <c r="I82" s="769"/>
      <c r="J82" s="771">
        <f t="shared" si="2"/>
        <v>0</v>
      </c>
      <c r="K82" s="772"/>
      <c r="Q82" s="756"/>
      <c r="R82" s="756"/>
      <c r="S82" s="756"/>
    </row>
    <row r="83" spans="1:19">
      <c r="A83" s="766">
        <v>6</v>
      </c>
      <c r="B83" s="769"/>
      <c r="C83" s="769"/>
      <c r="D83" s="759"/>
      <c r="E83" s="759"/>
      <c r="F83" s="768"/>
      <c r="G83" s="769"/>
      <c r="H83" s="344"/>
      <c r="I83" s="769"/>
      <c r="J83" s="771">
        <f t="shared" si="2"/>
        <v>0</v>
      </c>
      <c r="K83" s="772"/>
      <c r="Q83" s="756"/>
      <c r="R83" s="756"/>
      <c r="S83" s="756"/>
    </row>
    <row r="84" spans="1:19">
      <c r="A84" s="766">
        <v>7</v>
      </c>
      <c r="B84" s="769"/>
      <c r="C84" s="769"/>
      <c r="D84" s="759"/>
      <c r="E84" s="759"/>
      <c r="F84" s="768"/>
      <c r="G84" s="769"/>
      <c r="H84" s="344"/>
      <c r="I84" s="769"/>
      <c r="J84" s="771">
        <f t="shared" si="2"/>
        <v>0</v>
      </c>
      <c r="K84" s="772"/>
      <c r="Q84" s="756"/>
      <c r="R84" s="756"/>
      <c r="S84" s="756"/>
    </row>
    <row r="85" spans="1:19">
      <c r="A85" s="766">
        <v>8</v>
      </c>
      <c r="B85" s="769"/>
      <c r="C85" s="769"/>
      <c r="D85" s="759"/>
      <c r="E85" s="759"/>
      <c r="F85" s="768"/>
      <c r="G85" s="769"/>
      <c r="H85" s="344"/>
      <c r="I85" s="769"/>
      <c r="J85" s="771">
        <f t="shared" si="2"/>
        <v>0</v>
      </c>
      <c r="K85" s="772"/>
      <c r="Q85" s="756"/>
      <c r="R85" s="756"/>
      <c r="S85" s="756"/>
    </row>
    <row r="86" spans="1:19">
      <c r="A86" s="766">
        <v>9</v>
      </c>
      <c r="B86" s="769"/>
      <c r="C86" s="769"/>
      <c r="D86" s="759"/>
      <c r="E86" s="759"/>
      <c r="F86" s="768"/>
      <c r="G86" s="769"/>
      <c r="H86" s="344"/>
      <c r="I86" s="769"/>
      <c r="J86" s="771">
        <f t="shared" si="2"/>
        <v>0</v>
      </c>
      <c r="K86" s="772"/>
      <c r="Q86" s="756"/>
      <c r="R86" s="756"/>
      <c r="S86" s="756"/>
    </row>
    <row r="87" spans="1:19">
      <c r="A87" s="766">
        <v>10</v>
      </c>
      <c r="B87" s="769"/>
      <c r="C87" s="769"/>
      <c r="D87" s="759"/>
      <c r="E87" s="759"/>
      <c r="F87" s="768"/>
      <c r="G87" s="769"/>
      <c r="H87" s="344"/>
      <c r="I87" s="769"/>
      <c r="J87" s="771">
        <f t="shared" si="2"/>
        <v>0</v>
      </c>
      <c r="K87" s="772"/>
      <c r="Q87" s="774"/>
      <c r="R87" s="774"/>
      <c r="S87" s="774"/>
    </row>
    <row r="88" spans="1:19">
      <c r="A88" s="766">
        <v>11</v>
      </c>
      <c r="B88" s="769"/>
      <c r="C88" s="769"/>
      <c r="D88" s="759"/>
      <c r="E88" s="759"/>
      <c r="F88" s="768"/>
      <c r="G88" s="769"/>
      <c r="H88" s="344"/>
      <c r="I88" s="769"/>
      <c r="J88" s="771">
        <f t="shared" si="2"/>
        <v>0</v>
      </c>
      <c r="K88" s="772"/>
      <c r="Q88" s="756"/>
      <c r="R88" s="756"/>
      <c r="S88" s="756"/>
    </row>
    <row r="89" spans="1:19">
      <c r="A89" s="766">
        <v>12</v>
      </c>
      <c r="B89" s="769"/>
      <c r="C89" s="769"/>
      <c r="D89" s="759"/>
      <c r="E89" s="759"/>
      <c r="F89" s="768"/>
      <c r="G89" s="769"/>
      <c r="H89" s="344"/>
      <c r="I89" s="769"/>
      <c r="J89" s="771">
        <f t="shared" si="2"/>
        <v>0</v>
      </c>
      <c r="K89" s="772"/>
    </row>
    <row r="90" spans="1:19" ht="13.5" thickBot="1">
      <c r="A90" s="775"/>
      <c r="B90" s="776"/>
      <c r="C90" s="777"/>
      <c r="D90" s="777"/>
      <c r="E90" s="777"/>
      <c r="F90" s="776"/>
      <c r="G90" s="777"/>
      <c r="H90" s="777"/>
      <c r="I90" s="777"/>
      <c r="J90" s="776"/>
      <c r="K90" s="772"/>
    </row>
    <row r="91" spans="1:19" ht="14.25" thickTop="1" thickBot="1">
      <c r="A91" s="778" t="s">
        <v>267</v>
      </c>
      <c r="B91" s="779"/>
      <c r="C91" s="780"/>
      <c r="D91" s="780"/>
      <c r="E91" s="780"/>
      <c r="F91" s="779"/>
      <c r="G91" s="780"/>
      <c r="H91" s="351">
        <f>SUM(H78:H89)</f>
        <v>50606389.5</v>
      </c>
      <c r="I91" s="227">
        <f>IF(H91=0,"",J91/H91)</f>
        <v>4.4057141594738745E-2</v>
      </c>
      <c r="J91" s="782">
        <f>SUM(J78:J89)</f>
        <v>2229572.8678000001</v>
      </c>
      <c r="K91" s="783"/>
    </row>
    <row r="93" spans="1:19">
      <c r="A93" s="31" t="s">
        <v>42</v>
      </c>
    </row>
    <row r="95" spans="1:19">
      <c r="A95" s="172">
        <v>1</v>
      </c>
      <c r="B95" s="30" t="s">
        <v>868</v>
      </c>
    </row>
    <row r="96" spans="1:19">
      <c r="A96" s="172">
        <v>2</v>
      </c>
      <c r="B96" s="30" t="s">
        <v>869</v>
      </c>
    </row>
    <row r="97" spans="1:19">
      <c r="A97" s="172">
        <v>3</v>
      </c>
      <c r="B97" s="30" t="s">
        <v>870</v>
      </c>
    </row>
    <row r="101" spans="1:19" ht="18" hidden="1">
      <c r="A101" s="1144" t="s">
        <v>847</v>
      </c>
      <c r="B101" s="1144"/>
      <c r="C101" s="1144"/>
      <c r="D101" s="1144"/>
      <c r="E101" s="1144"/>
      <c r="F101" s="1144"/>
      <c r="G101" s="1144"/>
      <c r="H101" s="1144"/>
      <c r="I101" s="1144"/>
      <c r="J101" s="1144"/>
      <c r="K101" s="1144"/>
      <c r="L101" s="1144"/>
      <c r="M101" s="1144"/>
      <c r="N101" s="1144"/>
      <c r="O101" s="1144"/>
    </row>
    <row r="102" spans="1:19" ht="9" hidden="1" customHeight="1">
      <c r="L102" s="123"/>
      <c r="M102" s="123"/>
      <c r="N102" s="123"/>
      <c r="O102" s="123"/>
    </row>
    <row r="103" spans="1:19" ht="28.5" hidden="1" customHeight="1">
      <c r="A103" s="1347" t="s">
        <v>823</v>
      </c>
      <c r="B103" s="1347"/>
      <c r="C103" s="1347"/>
      <c r="D103" s="1347"/>
      <c r="E103" s="1347"/>
      <c r="F103" s="1347"/>
      <c r="G103" s="1347"/>
      <c r="H103" s="1347"/>
      <c r="I103" s="1347"/>
      <c r="J103" s="1347"/>
      <c r="K103" s="1347"/>
      <c r="L103" s="123"/>
      <c r="M103" s="123"/>
      <c r="N103" s="123"/>
      <c r="O103" s="123"/>
    </row>
    <row r="104" spans="1:19" ht="15.75">
      <c r="D104" s="758" t="s">
        <v>333</v>
      </c>
      <c r="E104" s="759">
        <v>2010</v>
      </c>
    </row>
    <row r="105" spans="1:19" ht="16.5" customHeight="1" thickBot="1"/>
    <row r="106" spans="1:19" ht="25.5">
      <c r="A106" s="760" t="s">
        <v>848</v>
      </c>
      <c r="B106" s="761" t="s">
        <v>279</v>
      </c>
      <c r="C106" s="762" t="s">
        <v>849</v>
      </c>
      <c r="D106" s="763" t="s">
        <v>850</v>
      </c>
      <c r="E106" s="763" t="s">
        <v>851</v>
      </c>
      <c r="F106" s="762" t="s">
        <v>852</v>
      </c>
      <c r="G106" s="764" t="s">
        <v>853</v>
      </c>
      <c r="H106" s="764" t="s">
        <v>854</v>
      </c>
      <c r="I106" s="763" t="s">
        <v>855</v>
      </c>
      <c r="J106" s="763" t="s">
        <v>856</v>
      </c>
      <c r="K106" s="765"/>
    </row>
    <row r="107" spans="1:19">
      <c r="A107" s="766">
        <v>1</v>
      </c>
      <c r="B107" s="767"/>
      <c r="C107" s="767"/>
      <c r="D107" s="759"/>
      <c r="E107" s="759"/>
      <c r="F107" s="768"/>
      <c r="G107" s="769"/>
      <c r="H107" s="344"/>
      <c r="I107" s="784"/>
      <c r="J107" s="771">
        <f>H107*I107</f>
        <v>0</v>
      </c>
      <c r="K107" s="772"/>
    </row>
    <row r="108" spans="1:19">
      <c r="A108" s="766">
        <v>2</v>
      </c>
      <c r="B108" s="767" t="s">
        <v>861</v>
      </c>
      <c r="C108" s="767" t="s">
        <v>862</v>
      </c>
      <c r="D108" s="773" t="s">
        <v>863</v>
      </c>
      <c r="E108" s="773" t="s">
        <v>864</v>
      </c>
      <c r="F108" s="768"/>
      <c r="G108" s="769"/>
      <c r="H108" s="344">
        <v>48645458</v>
      </c>
      <c r="I108" s="770">
        <v>4.41E-2</v>
      </c>
      <c r="J108" s="771">
        <f t="shared" ref="J108:J118" si="3">H108*I108</f>
        <v>2145264.6978000002</v>
      </c>
      <c r="K108" s="772"/>
    </row>
    <row r="109" spans="1:19">
      <c r="A109" s="766">
        <v>3</v>
      </c>
      <c r="B109" s="769"/>
      <c r="C109" s="769"/>
      <c r="D109" s="759"/>
      <c r="E109" s="759"/>
      <c r="F109" s="768"/>
      <c r="G109" s="769"/>
      <c r="H109" s="344"/>
      <c r="I109" s="769"/>
      <c r="J109" s="771">
        <f t="shared" si="3"/>
        <v>0</v>
      </c>
      <c r="K109" s="772"/>
    </row>
    <row r="110" spans="1:19">
      <c r="A110" s="766">
        <v>4</v>
      </c>
      <c r="B110" s="769"/>
      <c r="C110" s="769"/>
      <c r="D110" s="759"/>
      <c r="E110" s="759"/>
      <c r="F110" s="768"/>
      <c r="G110" s="769"/>
      <c r="H110" s="344"/>
      <c r="I110" s="769"/>
      <c r="J110" s="771">
        <f t="shared" si="3"/>
        <v>0</v>
      </c>
      <c r="K110" s="772"/>
    </row>
    <row r="111" spans="1:19">
      <c r="A111" s="766">
        <v>5</v>
      </c>
      <c r="B111" s="769"/>
      <c r="C111" s="769"/>
      <c r="D111" s="759"/>
      <c r="E111" s="759"/>
      <c r="F111" s="768"/>
      <c r="G111" s="769"/>
      <c r="H111" s="344"/>
      <c r="I111" s="769"/>
      <c r="J111" s="771">
        <f t="shared" si="3"/>
        <v>0</v>
      </c>
      <c r="K111" s="772"/>
      <c r="Q111" s="756"/>
      <c r="R111" s="756"/>
      <c r="S111" s="756"/>
    </row>
    <row r="112" spans="1:19">
      <c r="A112" s="766">
        <v>6</v>
      </c>
      <c r="B112" s="769"/>
      <c r="C112" s="769"/>
      <c r="D112" s="759"/>
      <c r="E112" s="759"/>
      <c r="F112" s="768"/>
      <c r="G112" s="769"/>
      <c r="H112" s="344"/>
      <c r="I112" s="769"/>
      <c r="J112" s="771">
        <f t="shared" si="3"/>
        <v>0</v>
      </c>
      <c r="K112" s="772"/>
      <c r="Q112" s="756"/>
      <c r="R112" s="756"/>
      <c r="S112" s="756"/>
    </row>
    <row r="113" spans="1:19">
      <c r="A113" s="766">
        <v>7</v>
      </c>
      <c r="B113" s="769"/>
      <c r="C113" s="769"/>
      <c r="D113" s="759"/>
      <c r="E113" s="759"/>
      <c r="F113" s="768"/>
      <c r="G113" s="769"/>
      <c r="H113" s="344"/>
      <c r="I113" s="769"/>
      <c r="J113" s="771">
        <f t="shared" si="3"/>
        <v>0</v>
      </c>
      <c r="K113" s="772"/>
      <c r="Q113" s="756"/>
      <c r="R113" s="756"/>
      <c r="S113" s="756"/>
    </row>
    <row r="114" spans="1:19">
      <c r="A114" s="766">
        <v>8</v>
      </c>
      <c r="B114" s="769"/>
      <c r="C114" s="769"/>
      <c r="D114" s="759"/>
      <c r="E114" s="759"/>
      <c r="F114" s="768"/>
      <c r="G114" s="769"/>
      <c r="H114" s="344"/>
      <c r="I114" s="769"/>
      <c r="J114" s="771">
        <f t="shared" si="3"/>
        <v>0</v>
      </c>
      <c r="K114" s="772"/>
      <c r="Q114" s="756"/>
      <c r="R114" s="756"/>
      <c r="S114" s="756"/>
    </row>
    <row r="115" spans="1:19">
      <c r="A115" s="766">
        <v>9</v>
      </c>
      <c r="B115" s="769"/>
      <c r="C115" s="769"/>
      <c r="D115" s="759"/>
      <c r="E115" s="759"/>
      <c r="F115" s="768"/>
      <c r="G115" s="769"/>
      <c r="H115" s="344"/>
      <c r="I115" s="769"/>
      <c r="J115" s="771">
        <f t="shared" si="3"/>
        <v>0</v>
      </c>
      <c r="K115" s="772"/>
      <c r="Q115" s="756"/>
      <c r="R115" s="756"/>
      <c r="S115" s="756"/>
    </row>
    <row r="116" spans="1:19">
      <c r="A116" s="766">
        <v>10</v>
      </c>
      <c r="B116" s="769"/>
      <c r="C116" s="769"/>
      <c r="D116" s="759"/>
      <c r="E116" s="759"/>
      <c r="F116" s="768"/>
      <c r="G116" s="769"/>
      <c r="H116" s="344"/>
      <c r="I116" s="769"/>
      <c r="J116" s="771">
        <f t="shared" si="3"/>
        <v>0</v>
      </c>
      <c r="K116" s="772"/>
      <c r="Q116" s="774"/>
      <c r="R116" s="774"/>
      <c r="S116" s="774"/>
    </row>
    <row r="117" spans="1:19">
      <c r="A117" s="766">
        <v>11</v>
      </c>
      <c r="B117" s="769"/>
      <c r="C117" s="769"/>
      <c r="D117" s="759"/>
      <c r="E117" s="759"/>
      <c r="F117" s="768"/>
      <c r="G117" s="769"/>
      <c r="H117" s="344"/>
      <c r="I117" s="769"/>
      <c r="J117" s="771">
        <f t="shared" si="3"/>
        <v>0</v>
      </c>
      <c r="K117" s="772"/>
      <c r="Q117" s="756"/>
      <c r="R117" s="756"/>
      <c r="S117" s="756"/>
    </row>
    <row r="118" spans="1:19">
      <c r="A118" s="766">
        <v>12</v>
      </c>
      <c r="B118" s="769"/>
      <c r="C118" s="769"/>
      <c r="D118" s="759"/>
      <c r="E118" s="759"/>
      <c r="F118" s="768"/>
      <c r="G118" s="769"/>
      <c r="H118" s="344"/>
      <c r="I118" s="769"/>
      <c r="J118" s="771">
        <f t="shared" si="3"/>
        <v>0</v>
      </c>
      <c r="K118" s="772"/>
    </row>
    <row r="119" spans="1:19" ht="13.5" thickBot="1">
      <c r="A119" s="775"/>
      <c r="B119" s="776"/>
      <c r="C119" s="777"/>
      <c r="D119" s="777"/>
      <c r="E119" s="777"/>
      <c r="F119" s="776"/>
      <c r="G119" s="777"/>
      <c r="H119" s="777"/>
      <c r="I119" s="777"/>
      <c r="J119" s="776"/>
      <c r="K119" s="772"/>
    </row>
    <row r="120" spans="1:19" ht="14.25" thickTop="1" thickBot="1">
      <c r="A120" s="778" t="s">
        <v>267</v>
      </c>
      <c r="B120" s="779"/>
      <c r="C120" s="780"/>
      <c r="D120" s="780"/>
      <c r="E120" s="780"/>
      <c r="F120" s="779"/>
      <c r="G120" s="780"/>
      <c r="H120" s="351">
        <f>SUM(H107:H118)</f>
        <v>48645458</v>
      </c>
      <c r="I120" s="780">
        <f>IF(H120=0,"",J120/H120)</f>
        <v>4.4100000000000007E-2</v>
      </c>
      <c r="J120" s="782">
        <f>SUM(J107:J118)</f>
        <v>2145264.6978000002</v>
      </c>
      <c r="K120" s="783"/>
    </row>
    <row r="122" spans="1:19">
      <c r="A122" s="31" t="s">
        <v>42</v>
      </c>
    </row>
    <row r="124" spans="1:19">
      <c r="A124" s="172">
        <v>1</v>
      </c>
      <c r="B124" s="30" t="s">
        <v>868</v>
      </c>
    </row>
    <row r="125" spans="1:19">
      <c r="A125" s="172">
        <v>2</v>
      </c>
      <c r="B125" s="30" t="s">
        <v>869</v>
      </c>
    </row>
    <row r="126" spans="1:19">
      <c r="A126" s="172">
        <v>3</v>
      </c>
      <c r="B126" s="30" t="s">
        <v>870</v>
      </c>
    </row>
    <row r="129" spans="1:19" hidden="1"/>
    <row r="130" spans="1:19" hidden="1"/>
    <row r="131" spans="1:19" ht="28.5" hidden="1" customHeight="1">
      <c r="A131" s="1347" t="s">
        <v>823</v>
      </c>
      <c r="B131" s="1347"/>
      <c r="C131" s="1347"/>
      <c r="D131" s="1347"/>
      <c r="E131" s="1347"/>
      <c r="F131" s="1347"/>
      <c r="G131" s="1347"/>
      <c r="H131" s="1347"/>
      <c r="I131" s="1347"/>
      <c r="J131" s="1347"/>
      <c r="K131" s="1347"/>
      <c r="L131" s="123"/>
      <c r="M131" s="123"/>
      <c r="N131" s="123"/>
      <c r="O131" s="123"/>
    </row>
    <row r="132" spans="1:19" ht="15.75">
      <c r="D132" s="758" t="s">
        <v>333</v>
      </c>
      <c r="E132" s="759">
        <v>2009</v>
      </c>
    </row>
    <row r="133" spans="1:19" ht="16.5" customHeight="1" thickBot="1"/>
    <row r="134" spans="1:19" ht="25.5">
      <c r="A134" s="760" t="s">
        <v>848</v>
      </c>
      <c r="B134" s="761" t="s">
        <v>279</v>
      </c>
      <c r="C134" s="762" t="s">
        <v>849</v>
      </c>
      <c r="D134" s="763" t="s">
        <v>850</v>
      </c>
      <c r="E134" s="763" t="s">
        <v>851</v>
      </c>
      <c r="F134" s="762" t="s">
        <v>852</v>
      </c>
      <c r="G134" s="764" t="s">
        <v>853</v>
      </c>
      <c r="H134" s="764" t="s">
        <v>854</v>
      </c>
      <c r="I134" s="763" t="s">
        <v>855</v>
      </c>
      <c r="J134" s="763" t="s">
        <v>856</v>
      </c>
      <c r="K134" s="765"/>
    </row>
    <row r="135" spans="1:19">
      <c r="A135" s="766">
        <v>1</v>
      </c>
      <c r="B135" s="767"/>
      <c r="C135" s="767"/>
      <c r="D135" s="759"/>
      <c r="E135" s="759"/>
      <c r="F135" s="768"/>
      <c r="G135" s="769"/>
      <c r="H135" s="344"/>
      <c r="I135" s="784"/>
      <c r="J135" s="771">
        <f>H135*I135</f>
        <v>0</v>
      </c>
      <c r="K135" s="772"/>
    </row>
    <row r="136" spans="1:19">
      <c r="A136" s="766">
        <v>2</v>
      </c>
      <c r="B136" s="767" t="s">
        <v>861</v>
      </c>
      <c r="C136" s="767" t="s">
        <v>862</v>
      </c>
      <c r="D136" s="773" t="s">
        <v>863</v>
      </c>
      <c r="E136" s="773" t="s">
        <v>864</v>
      </c>
      <c r="F136" s="768">
        <v>36831</v>
      </c>
      <c r="G136" s="769" t="s">
        <v>865</v>
      </c>
      <c r="H136" s="344">
        <v>48645458</v>
      </c>
      <c r="I136" s="770">
        <v>4.41E-2</v>
      </c>
      <c r="J136" s="771">
        <f>H136*I136</f>
        <v>2145264.6978000002</v>
      </c>
      <c r="K136" s="772"/>
    </row>
    <row r="137" spans="1:19">
      <c r="A137" s="766">
        <v>3</v>
      </c>
      <c r="B137" s="769"/>
      <c r="C137" s="769"/>
      <c r="D137" s="759"/>
      <c r="E137" s="759"/>
      <c r="F137" s="768"/>
      <c r="G137" s="769"/>
      <c r="H137" s="344"/>
      <c r="I137" s="769"/>
      <c r="J137" s="771">
        <f t="shared" ref="J137:J146" si="4">H137*I137</f>
        <v>0</v>
      </c>
      <c r="K137" s="772"/>
    </row>
    <row r="138" spans="1:19">
      <c r="A138" s="766">
        <v>4</v>
      </c>
      <c r="B138" s="769"/>
      <c r="C138" s="769"/>
      <c r="D138" s="759"/>
      <c r="E138" s="759"/>
      <c r="F138" s="768"/>
      <c r="G138" s="769"/>
      <c r="H138" s="344"/>
      <c r="I138" s="769"/>
      <c r="J138" s="771">
        <f t="shared" si="4"/>
        <v>0</v>
      </c>
      <c r="K138" s="772"/>
    </row>
    <row r="139" spans="1:19">
      <c r="A139" s="766">
        <v>5</v>
      </c>
      <c r="B139" s="769"/>
      <c r="C139" s="769"/>
      <c r="D139" s="759"/>
      <c r="E139" s="759"/>
      <c r="F139" s="768"/>
      <c r="G139" s="769"/>
      <c r="H139" s="344"/>
      <c r="I139" s="769"/>
      <c r="J139" s="771">
        <f t="shared" si="4"/>
        <v>0</v>
      </c>
      <c r="K139" s="772"/>
      <c r="Q139" s="756"/>
      <c r="R139" s="756"/>
      <c r="S139" s="756"/>
    </row>
    <row r="140" spans="1:19">
      <c r="A140" s="766">
        <v>6</v>
      </c>
      <c r="B140" s="769"/>
      <c r="C140" s="769"/>
      <c r="D140" s="759"/>
      <c r="E140" s="759"/>
      <c r="F140" s="768"/>
      <c r="G140" s="769"/>
      <c r="H140" s="344"/>
      <c r="I140" s="769"/>
      <c r="J140" s="771">
        <f t="shared" si="4"/>
        <v>0</v>
      </c>
      <c r="K140" s="772"/>
      <c r="Q140" s="756"/>
      <c r="R140" s="756"/>
      <c r="S140" s="756"/>
    </row>
    <row r="141" spans="1:19">
      <c r="A141" s="766">
        <v>7</v>
      </c>
      <c r="B141" s="769"/>
      <c r="C141" s="769"/>
      <c r="D141" s="759"/>
      <c r="E141" s="759"/>
      <c r="F141" s="768"/>
      <c r="G141" s="769"/>
      <c r="H141" s="344"/>
      <c r="I141" s="769"/>
      <c r="J141" s="771">
        <f t="shared" si="4"/>
        <v>0</v>
      </c>
      <c r="K141" s="772"/>
      <c r="Q141" s="756"/>
      <c r="R141" s="756"/>
      <c r="S141" s="756"/>
    </row>
    <row r="142" spans="1:19">
      <c r="A142" s="766">
        <v>8</v>
      </c>
      <c r="B142" s="769"/>
      <c r="C142" s="769"/>
      <c r="D142" s="759"/>
      <c r="E142" s="759"/>
      <c r="F142" s="768"/>
      <c r="G142" s="769"/>
      <c r="H142" s="344"/>
      <c r="I142" s="769"/>
      <c r="J142" s="771">
        <f t="shared" si="4"/>
        <v>0</v>
      </c>
      <c r="K142" s="772"/>
      <c r="Q142" s="756"/>
      <c r="R142" s="756"/>
      <c r="S142" s="756"/>
    </row>
    <row r="143" spans="1:19">
      <c r="A143" s="766">
        <v>9</v>
      </c>
      <c r="B143" s="769"/>
      <c r="C143" s="769"/>
      <c r="D143" s="759"/>
      <c r="E143" s="759"/>
      <c r="F143" s="768"/>
      <c r="G143" s="769"/>
      <c r="H143" s="344"/>
      <c r="I143" s="769"/>
      <c r="J143" s="771">
        <f t="shared" si="4"/>
        <v>0</v>
      </c>
      <c r="K143" s="772"/>
      <c r="Q143" s="756"/>
      <c r="R143" s="756"/>
      <c r="S143" s="756"/>
    </row>
    <row r="144" spans="1:19">
      <c r="A144" s="766">
        <v>10</v>
      </c>
      <c r="B144" s="769"/>
      <c r="C144" s="769"/>
      <c r="D144" s="759"/>
      <c r="E144" s="759"/>
      <c r="F144" s="768"/>
      <c r="G144" s="769"/>
      <c r="H144" s="344"/>
      <c r="I144" s="769"/>
      <c r="J144" s="771">
        <f t="shared" si="4"/>
        <v>0</v>
      </c>
      <c r="K144" s="772"/>
      <c r="Q144" s="774"/>
      <c r="R144" s="774"/>
      <c r="S144" s="774"/>
    </row>
    <row r="145" spans="1:19">
      <c r="A145" s="766">
        <v>11</v>
      </c>
      <c r="B145" s="769"/>
      <c r="C145" s="769"/>
      <c r="D145" s="759"/>
      <c r="E145" s="759"/>
      <c r="F145" s="768"/>
      <c r="G145" s="769"/>
      <c r="H145" s="344"/>
      <c r="I145" s="769"/>
      <c r="J145" s="771">
        <f t="shared" si="4"/>
        <v>0</v>
      </c>
      <c r="K145" s="772"/>
      <c r="Q145" s="756"/>
      <c r="R145" s="756"/>
      <c r="S145" s="756"/>
    </row>
    <row r="146" spans="1:19">
      <c r="A146" s="766">
        <v>12</v>
      </c>
      <c r="B146" s="769"/>
      <c r="C146" s="769"/>
      <c r="D146" s="759"/>
      <c r="E146" s="759"/>
      <c r="F146" s="768"/>
      <c r="G146" s="769"/>
      <c r="H146" s="344"/>
      <c r="I146" s="769"/>
      <c r="J146" s="771">
        <f t="shared" si="4"/>
        <v>0</v>
      </c>
      <c r="K146" s="772"/>
    </row>
    <row r="147" spans="1:19" ht="13.5" thickBot="1">
      <c r="A147" s="775"/>
      <c r="B147" s="776"/>
      <c r="C147" s="777"/>
      <c r="D147" s="777"/>
      <c r="E147" s="777"/>
      <c r="F147" s="776"/>
      <c r="G147" s="777"/>
      <c r="H147" s="777"/>
      <c r="I147" s="777"/>
      <c r="J147" s="776"/>
      <c r="K147" s="772"/>
    </row>
    <row r="148" spans="1:19" ht="14.25" thickTop="1" thickBot="1">
      <c r="A148" s="778" t="s">
        <v>267</v>
      </c>
      <c r="B148" s="779"/>
      <c r="C148" s="780"/>
      <c r="D148" s="780"/>
      <c r="E148" s="780"/>
      <c r="F148" s="779"/>
      <c r="G148" s="780"/>
      <c r="H148" s="351">
        <f>SUM(H135:H146)</f>
        <v>48645458</v>
      </c>
      <c r="I148" s="780">
        <f>IF(H148=0,"",J148/H148)</f>
        <v>4.4100000000000007E-2</v>
      </c>
      <c r="J148" s="782">
        <f>SUM(J135:J146)</f>
        <v>2145264.6978000002</v>
      </c>
      <c r="K148" s="783"/>
    </row>
    <row r="150" spans="1:19">
      <c r="A150" s="31" t="s">
        <v>42</v>
      </c>
    </row>
    <row r="152" spans="1:19">
      <c r="A152" s="172">
        <v>1</v>
      </c>
      <c r="B152" s="30" t="s">
        <v>868</v>
      </c>
    </row>
    <row r="153" spans="1:19">
      <c r="A153" s="172">
        <v>2</v>
      </c>
      <c r="B153" s="30" t="s">
        <v>869</v>
      </c>
    </row>
    <row r="154" spans="1:19">
      <c r="A154" s="172">
        <v>3</v>
      </c>
      <c r="B154" s="30" t="s">
        <v>870</v>
      </c>
    </row>
  </sheetData>
  <mergeCells count="14">
    <mergeCell ref="A103:K103"/>
    <mergeCell ref="A131:K131"/>
    <mergeCell ref="A45:K45"/>
    <mergeCell ref="A72:K72"/>
    <mergeCell ref="L72:O72"/>
    <mergeCell ref="A74:K74"/>
    <mergeCell ref="A101:K101"/>
    <mergeCell ref="L101:O101"/>
    <mergeCell ref="A10:K10"/>
    <mergeCell ref="A13:K13"/>
    <mergeCell ref="L13:O13"/>
    <mergeCell ref="A15:K15"/>
    <mergeCell ref="A43:K43"/>
    <mergeCell ref="L43:O43"/>
  </mergeCells>
  <dataValidations count="5">
    <dataValidation allowBlank="1" showInputMessage="1" showErrorMessage="1" promptTitle="Date Format" prompt="E.g:  &quot;August 1, 2011&quot;" sqref="K7"/>
    <dataValidation type="list" allowBlank="1" showInputMessage="1" showErrorMessage="1" sqref="E75 E104">
      <formula1>"2006,2007,2008,2009,2010,2011,2012,2013"</formula1>
    </dataValidation>
    <dataValidation type="list" allowBlank="1" showInputMessage="1" showErrorMessage="1" sqref="E135:E146 E107:E118 E78:E89 E19:E30 E49:E60">
      <formula1>"Fixed Rate, Variable Rate"</formula1>
    </dataValidation>
    <dataValidation type="list" allowBlank="1" showInputMessage="1" showErrorMessage="1" sqref="D135:D146 D107:D118 D78:D89 D19:D30 D49:D60">
      <formula1>"Affiliated, Third-Party"</formula1>
    </dataValidation>
    <dataValidation type="list" allowBlank="1" showInputMessage="1" showErrorMessage="1" sqref="E132 E16 E46">
      <formula1>"2006,2007,2008,2009,2012,2013"</formula1>
    </dataValidation>
  </dataValidations>
  <printOptions horizontalCentered="1" verticalCentered="1"/>
  <pageMargins left="0.19685039370078741" right="0.19685039370078741" top="0.39370078740157483" bottom="0.39370078740157483" header="0.19685039370078741" footer="0.19685039370078741"/>
  <pageSetup scale="39" orientation="portrait" r:id="rId1"/>
  <headerFooter alignWithMargins="0"/>
</worksheet>
</file>

<file path=xl/worksheets/sheet26.xml><?xml version="1.0" encoding="utf-8"?>
<worksheet xmlns="http://schemas.openxmlformats.org/spreadsheetml/2006/main" xmlns:r="http://schemas.openxmlformats.org/officeDocument/2006/relationships">
  <dimension ref="A1:L124"/>
  <sheetViews>
    <sheetView showGridLines="0" zoomScaleNormal="100" workbookViewId="0">
      <selection activeCell="J24" sqref="J24"/>
    </sheetView>
  </sheetViews>
  <sheetFormatPr defaultRowHeight="12.75"/>
  <cols>
    <col min="1" max="1" width="29" style="1026" customWidth="1"/>
    <col min="2" max="2" width="15" style="1026" customWidth="1"/>
    <col min="3" max="3" width="15.5703125" style="1026" customWidth="1"/>
    <col min="4" max="4" width="16" style="1026" customWidth="1"/>
    <col min="5" max="5" width="17.5703125" style="1026" customWidth="1"/>
    <col min="6" max="6" width="16.28515625" style="1026" customWidth="1"/>
    <col min="7" max="16384" width="9.140625" style="1026"/>
  </cols>
  <sheetData>
    <row r="1" spans="1:6">
      <c r="E1" s="1056" t="s">
        <v>131</v>
      </c>
      <c r="F1" s="1028" t="s">
        <v>20</v>
      </c>
    </row>
    <row r="2" spans="1:6">
      <c r="E2" s="1056" t="s">
        <v>132</v>
      </c>
      <c r="F2" s="1029"/>
    </row>
    <row r="3" spans="1:6">
      <c r="E3" s="1056" t="s">
        <v>133</v>
      </c>
      <c r="F3" s="1029"/>
    </row>
    <row r="4" spans="1:6">
      <c r="E4" s="1056" t="s">
        <v>134</v>
      </c>
      <c r="F4" s="1029"/>
    </row>
    <row r="5" spans="1:6">
      <c r="E5" s="1056" t="s">
        <v>135</v>
      </c>
      <c r="F5" s="1030"/>
    </row>
    <row r="6" spans="1:6">
      <c r="E6" s="1056"/>
      <c r="F6" s="1028"/>
    </row>
    <row r="7" spans="1:6">
      <c r="E7" s="1056" t="s">
        <v>136</v>
      </c>
      <c r="F7" s="1030" t="s">
        <v>1171</v>
      </c>
    </row>
    <row r="9" spans="1:6" ht="18">
      <c r="A9" s="1394" t="s">
        <v>871</v>
      </c>
      <c r="B9" s="1394"/>
      <c r="C9" s="1394"/>
      <c r="D9" s="1394"/>
      <c r="E9" s="1394"/>
      <c r="F9" s="1394"/>
    </row>
    <row r="10" spans="1:6" ht="18">
      <c r="A10" s="1394" t="s">
        <v>872</v>
      </c>
      <c r="B10" s="1394"/>
      <c r="C10" s="1394"/>
      <c r="D10" s="1394"/>
      <c r="E10" s="1394"/>
      <c r="F10" s="1394"/>
    </row>
    <row r="12" spans="1:6">
      <c r="A12" s="1026" t="s">
        <v>873</v>
      </c>
    </row>
    <row r="14" spans="1:6">
      <c r="A14" s="1027" t="s">
        <v>874</v>
      </c>
      <c r="B14" s="1027"/>
    </row>
    <row r="15" spans="1:6" ht="13.5" thickBot="1"/>
    <row r="16" spans="1:6" ht="51">
      <c r="A16" s="1057" t="s">
        <v>875</v>
      </c>
      <c r="B16" s="1058" t="s">
        <v>876</v>
      </c>
      <c r="C16" s="1058" t="s">
        <v>811</v>
      </c>
      <c r="D16" s="1058" t="s">
        <v>877</v>
      </c>
      <c r="E16" s="1059" t="s">
        <v>811</v>
      </c>
    </row>
    <row r="17" spans="1:5">
      <c r="A17" s="1060" t="s">
        <v>478</v>
      </c>
      <c r="B17" s="344">
        <v>12265368</v>
      </c>
      <c r="C17" s="785">
        <f>IF(B$28=0,"",B17/B$28)</f>
        <v>0.59651425329623209</v>
      </c>
      <c r="D17" s="344">
        <v>15252549</v>
      </c>
      <c r="E17" s="786">
        <f>IF(D$28=0,"",D17/D$28)</f>
        <v>0.63682624605024951</v>
      </c>
    </row>
    <row r="18" spans="1:5">
      <c r="A18" s="1060" t="s">
        <v>878</v>
      </c>
      <c r="B18" s="344">
        <v>3045667</v>
      </c>
      <c r="C18" s="785">
        <f t="shared" ref="C18:E27" si="0">IF(B$28=0,"",B18/B$28)</f>
        <v>0.148123054790853</v>
      </c>
      <c r="D18" s="344">
        <v>3258128</v>
      </c>
      <c r="E18" s="786">
        <f t="shared" si="0"/>
        <v>0.13603374907310295</v>
      </c>
    </row>
    <row r="19" spans="1:5" ht="25.5">
      <c r="A19" s="1061" t="s">
        <v>879</v>
      </c>
      <c r="B19" s="344">
        <v>4312464</v>
      </c>
      <c r="C19" s="785">
        <f t="shared" si="0"/>
        <v>0.2097324958229449</v>
      </c>
      <c r="D19" s="344">
        <v>4557185</v>
      </c>
      <c r="E19" s="786">
        <f t="shared" si="0"/>
        <v>0.19027213196341847</v>
      </c>
    </row>
    <row r="20" spans="1:5" hidden="1">
      <c r="A20" s="1061" t="s">
        <v>880</v>
      </c>
      <c r="B20" s="344"/>
      <c r="C20" s="785">
        <f t="shared" si="0"/>
        <v>0</v>
      </c>
      <c r="D20" s="344"/>
      <c r="E20" s="786">
        <f t="shared" si="0"/>
        <v>0</v>
      </c>
    </row>
    <row r="21" spans="1:5" hidden="1">
      <c r="A21" s="1060" t="s">
        <v>881</v>
      </c>
      <c r="B21" s="344"/>
      <c r="C21" s="785">
        <f t="shared" si="0"/>
        <v>0</v>
      </c>
      <c r="D21" s="344"/>
      <c r="E21" s="786">
        <f t="shared" si="0"/>
        <v>0</v>
      </c>
    </row>
    <row r="22" spans="1:5">
      <c r="A22" s="1060" t="s">
        <v>483</v>
      </c>
      <c r="B22" s="344">
        <v>844907</v>
      </c>
      <c r="C22" s="785">
        <f t="shared" si="0"/>
        <v>4.1091230871324817E-2</v>
      </c>
      <c r="D22" s="344">
        <v>799299</v>
      </c>
      <c r="E22" s="786">
        <f t="shared" si="0"/>
        <v>3.3372427234406421E-2</v>
      </c>
    </row>
    <row r="23" spans="1:5">
      <c r="A23" s="1060" t="s">
        <v>482</v>
      </c>
      <c r="B23" s="344">
        <v>46633</v>
      </c>
      <c r="C23" s="785">
        <f t="shared" si="0"/>
        <v>2.267950637434049E-3</v>
      </c>
      <c r="D23" s="344">
        <v>44183</v>
      </c>
      <c r="E23" s="786">
        <f t="shared" si="0"/>
        <v>1.84473388869219E-3</v>
      </c>
    </row>
    <row r="24" spans="1:5">
      <c r="A24" s="1060" t="s">
        <v>882</v>
      </c>
      <c r="B24" s="344">
        <v>46696</v>
      </c>
      <c r="C24" s="785">
        <f t="shared" si="0"/>
        <v>2.2710145812111673E-3</v>
      </c>
      <c r="D24" s="344">
        <v>39536</v>
      </c>
      <c r="E24" s="786">
        <f t="shared" si="0"/>
        <v>1.6507117901304669E-3</v>
      </c>
    </row>
    <row r="25" spans="1:5" hidden="1">
      <c r="A25" s="1061" t="s">
        <v>883</v>
      </c>
      <c r="B25" s="344"/>
      <c r="C25" s="785">
        <f t="shared" si="0"/>
        <v>0</v>
      </c>
      <c r="D25" s="344"/>
      <c r="E25" s="786">
        <f t="shared" si="0"/>
        <v>0</v>
      </c>
    </row>
    <row r="26" spans="1:5" hidden="1">
      <c r="A26" s="1061"/>
      <c r="B26" s="344"/>
      <c r="C26" s="785">
        <f t="shared" si="0"/>
        <v>0</v>
      </c>
      <c r="D26" s="344"/>
      <c r="E26" s="786">
        <f t="shared" si="0"/>
        <v>0</v>
      </c>
    </row>
    <row r="27" spans="1:5" hidden="1">
      <c r="A27" s="1062" t="s">
        <v>884</v>
      </c>
      <c r="B27" s="344"/>
      <c r="C27" s="785">
        <f t="shared" si="0"/>
        <v>0</v>
      </c>
      <c r="D27" s="344"/>
      <c r="E27" s="786">
        <f t="shared" si="0"/>
        <v>0</v>
      </c>
    </row>
    <row r="28" spans="1:5" ht="13.5" thickBot="1">
      <c r="A28" s="1063" t="s">
        <v>267</v>
      </c>
      <c r="B28" s="787">
        <f>SUM(B17:B27)</f>
        <v>20561735</v>
      </c>
      <c r="C28" s="1064">
        <f>SUM(C17:C27)</f>
        <v>0.99999999999999989</v>
      </c>
      <c r="D28" s="787">
        <f>SUM(D17:D27)</f>
        <v>23950880</v>
      </c>
      <c r="E28" s="1065">
        <f>SUM(E17:E27)</f>
        <v>1.0000000000000002</v>
      </c>
    </row>
    <row r="30" spans="1:5">
      <c r="A30" s="1027" t="s">
        <v>42</v>
      </c>
    </row>
    <row r="32" spans="1:5" ht="12.75" customHeight="1">
      <c r="A32" s="1395" t="s">
        <v>1170</v>
      </c>
      <c r="B32" s="1395"/>
      <c r="C32" s="1395"/>
      <c r="D32" s="1395"/>
      <c r="E32" s="1395"/>
    </row>
    <row r="33" spans="1:6">
      <c r="A33" s="1395"/>
      <c r="B33" s="1395"/>
      <c r="C33" s="1395"/>
      <c r="D33" s="1395"/>
      <c r="E33" s="1395"/>
    </row>
    <row r="34" spans="1:6" ht="12.75" customHeight="1">
      <c r="B34" s="1066"/>
      <c r="C34" s="1066"/>
      <c r="D34" s="1066"/>
      <c r="E34" s="1066"/>
      <c r="F34" s="1066"/>
    </row>
    <row r="35" spans="1:6" ht="12.75" customHeight="1">
      <c r="A35" s="1396" t="s">
        <v>885</v>
      </c>
      <c r="B35" s="1396"/>
      <c r="C35" s="1396"/>
      <c r="D35" s="1396"/>
      <c r="E35" s="1396"/>
      <c r="F35" s="1066"/>
    </row>
    <row r="36" spans="1:6" ht="12.75" customHeight="1">
      <c r="A36" s="1396"/>
      <c r="B36" s="1396"/>
      <c r="C36" s="1396"/>
      <c r="D36" s="1396"/>
      <c r="E36" s="1396"/>
      <c r="F36" s="1067"/>
    </row>
    <row r="37" spans="1:6">
      <c r="A37" s="1396"/>
      <c r="B37" s="1396"/>
      <c r="C37" s="1396"/>
      <c r="D37" s="1396"/>
      <c r="E37" s="1396"/>
      <c r="F37" s="1067"/>
    </row>
    <row r="38" spans="1:6">
      <c r="A38" s="1068" t="s">
        <v>886</v>
      </c>
      <c r="B38" s="1068"/>
      <c r="C38" s="1068"/>
      <c r="D38" s="1068"/>
      <c r="E38" s="1068"/>
      <c r="F38" s="1068"/>
    </row>
    <row r="39" spans="1:6" ht="20.25" customHeight="1">
      <c r="A39" s="1396" t="s">
        <v>887</v>
      </c>
      <c r="B39" s="1396"/>
      <c r="C39" s="1396"/>
      <c r="D39" s="1396"/>
      <c r="E39" s="1396"/>
      <c r="F39" s="1069"/>
    </row>
    <row r="40" spans="1:6" ht="20.25" customHeight="1">
      <c r="A40" s="1396"/>
      <c r="B40" s="1396"/>
      <c r="C40" s="1396"/>
      <c r="D40" s="1396"/>
      <c r="E40" s="1396"/>
    </row>
    <row r="41" spans="1:6" ht="12.75" customHeight="1"/>
    <row r="43" spans="1:6" ht="12.75" customHeight="1">
      <c r="A43" s="1070" t="s">
        <v>888</v>
      </c>
      <c r="B43" s="1397"/>
      <c r="C43" s="1397"/>
      <c r="D43" s="1397"/>
      <c r="E43" s="1397"/>
      <c r="F43" s="1397"/>
    </row>
    <row r="44" spans="1:6" ht="13.5" thickBot="1">
      <c r="A44" s="1070"/>
      <c r="B44" s="1071"/>
    </row>
    <row r="45" spans="1:6">
      <c r="A45" s="1387"/>
      <c r="B45" s="1388"/>
      <c r="C45" s="1072" t="s">
        <v>889</v>
      </c>
      <c r="D45" s="1072" t="s">
        <v>890</v>
      </c>
      <c r="E45" s="1072" t="s">
        <v>891</v>
      </c>
      <c r="F45" s="1073" t="s">
        <v>892</v>
      </c>
    </row>
    <row r="46" spans="1:6" ht="12.75" customHeight="1">
      <c r="A46" s="1389" t="s">
        <v>893</v>
      </c>
      <c r="B46" s="1390"/>
      <c r="C46" s="1391" t="s">
        <v>894</v>
      </c>
      <c r="D46" s="1391" t="s">
        <v>895</v>
      </c>
      <c r="E46" s="1391" t="s">
        <v>896</v>
      </c>
      <c r="F46" s="1392" t="s">
        <v>897</v>
      </c>
    </row>
    <row r="47" spans="1:6" ht="28.5" customHeight="1">
      <c r="A47" s="1357"/>
      <c r="B47" s="1358"/>
      <c r="C47" s="1379"/>
      <c r="D47" s="1379"/>
      <c r="E47" s="1379"/>
      <c r="F47" s="1393"/>
    </row>
    <row r="48" spans="1:6">
      <c r="A48" s="1348" t="str">
        <f t="shared" ref="A48:A56" si="1">A17</f>
        <v>Residential</v>
      </c>
      <c r="B48" s="1349"/>
      <c r="C48" s="344">
        <v>13220089</v>
      </c>
      <c r="D48" s="344">
        <v>12936375</v>
      </c>
      <c r="E48" s="344">
        <v>12936375</v>
      </c>
      <c r="F48" s="382">
        <v>1160538</v>
      </c>
    </row>
    <row r="49" spans="1:6">
      <c r="A49" s="1348" t="str">
        <f t="shared" si="1"/>
        <v>GS &lt; 50 kW</v>
      </c>
      <c r="B49" s="1349"/>
      <c r="C49" s="344">
        <v>3707944</v>
      </c>
      <c r="D49" s="344">
        <v>3628368</v>
      </c>
      <c r="E49" s="344">
        <v>3628368</v>
      </c>
      <c r="F49" s="382">
        <v>215193</v>
      </c>
    </row>
    <row r="50" spans="1:6" ht="25.5" customHeight="1">
      <c r="A50" s="1348" t="str">
        <f t="shared" si="1"/>
        <v>GS &gt; 50 kW (or 50 kW &lt; GS &lt; xxx kW, if applicable)</v>
      </c>
      <c r="B50" s="1349"/>
      <c r="C50" s="344">
        <v>5056582</v>
      </c>
      <c r="D50" s="344">
        <v>4948063</v>
      </c>
      <c r="E50" s="344">
        <v>4948063</v>
      </c>
      <c r="F50" s="382">
        <v>250963</v>
      </c>
    </row>
    <row r="51" spans="1:6" hidden="1">
      <c r="A51" s="1348" t="str">
        <f t="shared" si="1"/>
        <v>GS &gt; xxx kW, if applicable</v>
      </c>
      <c r="B51" s="1349"/>
      <c r="C51" s="344"/>
      <c r="D51" s="344"/>
      <c r="E51" s="344"/>
      <c r="F51" s="382"/>
    </row>
    <row r="52" spans="1:6" hidden="1">
      <c r="A52" s="1348" t="str">
        <f t="shared" si="1"/>
        <v>Large User, if applicable</v>
      </c>
      <c r="B52" s="1349"/>
      <c r="C52" s="344"/>
      <c r="D52" s="344"/>
      <c r="E52" s="344"/>
      <c r="F52" s="382"/>
    </row>
    <row r="53" spans="1:6">
      <c r="A53" s="1348" t="str">
        <f t="shared" si="1"/>
        <v>Street Lighting</v>
      </c>
      <c r="B53" s="1349"/>
      <c r="C53" s="344">
        <v>671812</v>
      </c>
      <c r="D53" s="344">
        <v>657394</v>
      </c>
      <c r="E53" s="344">
        <v>661594</v>
      </c>
      <c r="F53" s="382">
        <v>62325</v>
      </c>
    </row>
    <row r="54" spans="1:6">
      <c r="A54" s="1348" t="str">
        <f t="shared" si="1"/>
        <v>Sentinel Lighting</v>
      </c>
      <c r="B54" s="1349"/>
      <c r="C54" s="344">
        <v>34664</v>
      </c>
      <c r="D54" s="344">
        <v>33921</v>
      </c>
      <c r="E54" s="344">
        <v>35921</v>
      </c>
      <c r="F54" s="382">
        <v>4096</v>
      </c>
    </row>
    <row r="55" spans="1:6" ht="13.5" thickBot="1">
      <c r="A55" s="1348" t="str">
        <f t="shared" si="1"/>
        <v>Unmetered Scattered Load (USL)</v>
      </c>
      <c r="B55" s="1349"/>
      <c r="C55" s="344">
        <v>51080</v>
      </c>
      <c r="D55" s="344">
        <v>49984</v>
      </c>
      <c r="E55" s="344">
        <v>43784</v>
      </c>
      <c r="F55" s="382">
        <v>3659</v>
      </c>
    </row>
    <row r="56" spans="1:6" ht="13.5" hidden="1" thickBot="1">
      <c r="A56" s="1348" t="str">
        <f t="shared" si="1"/>
        <v>Other class, if applicable</v>
      </c>
      <c r="B56" s="1349"/>
      <c r="C56" s="344"/>
      <c r="D56" s="344"/>
      <c r="E56" s="344"/>
      <c r="F56" s="382"/>
    </row>
    <row r="57" spans="1:6" ht="13.5" hidden="1" thickBot="1">
      <c r="A57" s="1381"/>
      <c r="B57" s="1382"/>
      <c r="C57" s="344"/>
      <c r="D57" s="344"/>
      <c r="E57" s="344"/>
      <c r="F57" s="382"/>
    </row>
    <row r="58" spans="1:6" ht="13.5" hidden="1" thickBot="1">
      <c r="A58" s="1383" t="str">
        <f>A27</f>
        <v>Embedded distributor class</v>
      </c>
      <c r="B58" s="1384"/>
      <c r="C58" s="360"/>
      <c r="D58" s="360"/>
      <c r="E58" s="360"/>
      <c r="F58" s="788"/>
    </row>
    <row r="59" spans="1:6" ht="13.5" thickTop="1">
      <c r="A59" s="1385" t="str">
        <f>A28</f>
        <v>Total</v>
      </c>
      <c r="B59" s="1386"/>
      <c r="C59" s="789">
        <f>SUM(C48:C58)</f>
        <v>22742171</v>
      </c>
      <c r="D59" s="789">
        <f>SUM(D48:D58)</f>
        <v>22254105</v>
      </c>
      <c r="E59" s="789">
        <f>SUM(E48:E58)</f>
        <v>22254105</v>
      </c>
      <c r="F59" s="790">
        <f>SUM(F48:F58)</f>
        <v>1696774</v>
      </c>
    </row>
    <row r="61" spans="1:6">
      <c r="A61" s="1027" t="s">
        <v>270</v>
      </c>
      <c r="B61" s="1074"/>
      <c r="C61" s="1074"/>
      <c r="D61" s="1074"/>
      <c r="E61" s="1074"/>
      <c r="F61" s="1074"/>
    </row>
    <row r="62" spans="1:6">
      <c r="A62" s="1074"/>
      <c r="B62" s="1074"/>
      <c r="C62" s="1074"/>
      <c r="D62" s="1074"/>
      <c r="E62" s="1074"/>
      <c r="F62" s="1074"/>
    </row>
    <row r="63" spans="1:6" ht="12.75" customHeight="1">
      <c r="A63" s="1352" t="s">
        <v>898</v>
      </c>
      <c r="B63" s="1352"/>
      <c r="C63" s="1352"/>
      <c r="D63" s="1352"/>
      <c r="E63" s="1352"/>
      <c r="F63" s="1352"/>
    </row>
    <row r="64" spans="1:6" ht="31.5" customHeight="1">
      <c r="A64" s="1352"/>
      <c r="B64" s="1352"/>
      <c r="C64" s="1352"/>
      <c r="D64" s="1352"/>
      <c r="E64" s="1352"/>
      <c r="F64" s="1352"/>
    </row>
    <row r="65" spans="1:12" ht="12.75" customHeight="1">
      <c r="A65" s="1066"/>
      <c r="B65" s="1066"/>
      <c r="C65" s="1066"/>
      <c r="D65" s="1066"/>
      <c r="E65" s="1066"/>
      <c r="F65" s="1066"/>
      <c r="H65" s="1075"/>
      <c r="I65" s="1075"/>
      <c r="J65" s="1075"/>
      <c r="K65" s="1075"/>
      <c r="L65" s="1075"/>
    </row>
    <row r="66" spans="1:12">
      <c r="A66" s="1372" t="s">
        <v>899</v>
      </c>
      <c r="B66" s="1372"/>
      <c r="C66" s="1372"/>
      <c r="D66" s="1372"/>
      <c r="E66" s="1372"/>
      <c r="F66" s="1372"/>
      <c r="H66" s="1075"/>
      <c r="I66" s="1075"/>
      <c r="J66" s="1075"/>
      <c r="K66" s="1075"/>
      <c r="L66" s="1075"/>
    </row>
    <row r="67" spans="1:12">
      <c r="A67" s="1076"/>
      <c r="B67" s="1074"/>
      <c r="C67" s="1074"/>
      <c r="D67" s="1074"/>
      <c r="E67" s="1074"/>
      <c r="F67" s="1074"/>
      <c r="H67" s="1075"/>
      <c r="I67" s="1075"/>
      <c r="J67" s="1075"/>
      <c r="K67" s="1075"/>
      <c r="L67" s="1075"/>
    </row>
    <row r="68" spans="1:12" ht="12.75" customHeight="1">
      <c r="A68" s="1354" t="s">
        <v>900</v>
      </c>
      <c r="B68" s="1354"/>
      <c r="C68" s="1354"/>
      <c r="D68" s="1354"/>
      <c r="E68" s="1354"/>
      <c r="F68" s="1354"/>
      <c r="H68" s="1077"/>
      <c r="I68" s="1075"/>
      <c r="J68" s="1075"/>
      <c r="K68" s="1075"/>
      <c r="L68" s="1075"/>
    </row>
    <row r="69" spans="1:12">
      <c r="A69" s="1354"/>
      <c r="B69" s="1354"/>
      <c r="C69" s="1354"/>
      <c r="D69" s="1354"/>
      <c r="E69" s="1354"/>
      <c r="F69" s="1354"/>
    </row>
    <row r="70" spans="1:12">
      <c r="A70" s="1074"/>
      <c r="B70" s="1074"/>
      <c r="C70" s="1074"/>
      <c r="D70" s="1074"/>
      <c r="E70" s="1074"/>
      <c r="F70" s="1074"/>
    </row>
    <row r="71" spans="1:12" ht="12.75" customHeight="1">
      <c r="A71" s="1354" t="s">
        <v>901</v>
      </c>
      <c r="B71" s="1354"/>
      <c r="C71" s="1354"/>
      <c r="D71" s="1354"/>
      <c r="E71" s="1354"/>
      <c r="F71" s="1354"/>
    </row>
    <row r="72" spans="1:12">
      <c r="A72" s="1354"/>
      <c r="B72" s="1354"/>
      <c r="C72" s="1354"/>
      <c r="D72" s="1354"/>
      <c r="E72" s="1354"/>
      <c r="F72" s="1354"/>
    </row>
    <row r="73" spans="1:12">
      <c r="A73" s="1078"/>
      <c r="B73" s="1078"/>
      <c r="C73" s="1078"/>
      <c r="D73" s="1078"/>
      <c r="E73" s="1078"/>
      <c r="F73" s="1078"/>
    </row>
    <row r="74" spans="1:12">
      <c r="A74" s="1027" t="s">
        <v>902</v>
      </c>
      <c r="B74" s="1074"/>
      <c r="C74" s="1074"/>
      <c r="D74" s="1074"/>
      <c r="E74" s="1074"/>
      <c r="F74" s="1074"/>
    </row>
    <row r="75" spans="1:12" ht="13.5" thickBot="1">
      <c r="A75" s="1074"/>
      <c r="B75" s="1074"/>
      <c r="C75" s="1074"/>
      <c r="D75" s="1074"/>
      <c r="E75" s="1074"/>
      <c r="F75" s="1074"/>
    </row>
    <row r="76" spans="1:12" ht="38.25">
      <c r="A76" s="1373" t="s">
        <v>903</v>
      </c>
      <c r="B76" s="1374"/>
      <c r="C76" s="1079" t="s">
        <v>904</v>
      </c>
      <c r="D76" s="1079" t="s">
        <v>905</v>
      </c>
      <c r="E76" s="1079" t="s">
        <v>906</v>
      </c>
      <c r="F76" s="1360" t="s">
        <v>907</v>
      </c>
    </row>
    <row r="77" spans="1:12" ht="25.5">
      <c r="A77" s="1375"/>
      <c r="B77" s="1376"/>
      <c r="C77" s="1080" t="s">
        <v>908</v>
      </c>
      <c r="D77" s="1379" t="s">
        <v>909</v>
      </c>
      <c r="E77" s="1379" t="s">
        <v>910</v>
      </c>
      <c r="F77" s="1377"/>
    </row>
    <row r="78" spans="1:12">
      <c r="A78" s="1375"/>
      <c r="B78" s="1376"/>
      <c r="C78" s="1081">
        <v>2011</v>
      </c>
      <c r="D78" s="1380"/>
      <c r="E78" s="1380"/>
      <c r="F78" s="1378"/>
    </row>
    <row r="79" spans="1:12">
      <c r="A79" s="1370"/>
      <c r="B79" s="1371"/>
      <c r="C79" s="1082" t="s">
        <v>811</v>
      </c>
      <c r="D79" s="1083" t="s">
        <v>811</v>
      </c>
      <c r="E79" s="1083" t="s">
        <v>811</v>
      </c>
      <c r="F79" s="1084" t="s">
        <v>811</v>
      </c>
    </row>
    <row r="80" spans="1:12">
      <c r="A80" s="1362" t="str">
        <f t="shared" ref="A80:A88" si="2">A48</f>
        <v>Residential</v>
      </c>
      <c r="B80" s="1363"/>
      <c r="C80" s="791">
        <v>96.87</v>
      </c>
      <c r="D80" s="792">
        <f>IF(D17=0,"",(D48+F48)/D17*100)</f>
        <v>92.423325438915157</v>
      </c>
      <c r="E80" s="792">
        <f t="shared" ref="E80:E90" si="3">IF(D17=0,"",(E48+F48)/D17*100)</f>
        <v>92.423325438915157</v>
      </c>
      <c r="F80" s="1085" t="s">
        <v>911</v>
      </c>
    </row>
    <row r="81" spans="1:6">
      <c r="A81" s="1362" t="str">
        <f t="shared" si="2"/>
        <v>GS &lt; 50 kW</v>
      </c>
      <c r="B81" s="1363"/>
      <c r="C81" s="791">
        <v>106.33</v>
      </c>
      <c r="D81" s="792">
        <f t="shared" ref="D81:D90" si="4">IF(D18=0,"",(D49+F49)/D18*100)</f>
        <v>117.96838552690379</v>
      </c>
      <c r="E81" s="792">
        <v>102.48</v>
      </c>
      <c r="F81" s="1085" t="s">
        <v>912</v>
      </c>
    </row>
    <row r="82" spans="1:6" ht="26.25" customHeight="1">
      <c r="A82" s="1364" t="str">
        <f t="shared" si="2"/>
        <v>GS &gt; 50 kW (or 50 kW &lt; GS &lt; xxx kW, if applicable)</v>
      </c>
      <c r="B82" s="1365"/>
      <c r="C82" s="791">
        <v>110.26</v>
      </c>
      <c r="D82" s="792">
        <f t="shared" si="4"/>
        <v>114.08415502113695</v>
      </c>
      <c r="E82" s="792">
        <f t="shared" si="3"/>
        <v>114.08415502113695</v>
      </c>
      <c r="F82" s="1085" t="s">
        <v>912</v>
      </c>
    </row>
    <row r="83" spans="1:6" hidden="1">
      <c r="A83" s="1362" t="str">
        <f t="shared" si="2"/>
        <v>GS &gt; xxx kW, if applicable</v>
      </c>
      <c r="B83" s="1363"/>
      <c r="C83" s="791"/>
      <c r="D83" s="792" t="str">
        <f t="shared" si="4"/>
        <v/>
      </c>
      <c r="E83" s="792" t="str">
        <f t="shared" si="3"/>
        <v/>
      </c>
      <c r="F83" s="1085" t="s">
        <v>912</v>
      </c>
    </row>
    <row r="84" spans="1:6" hidden="1">
      <c r="A84" s="1362" t="str">
        <f t="shared" si="2"/>
        <v>Large User, if applicable</v>
      </c>
      <c r="B84" s="1363"/>
      <c r="C84" s="791"/>
      <c r="D84" s="792" t="str">
        <f t="shared" si="4"/>
        <v/>
      </c>
      <c r="E84" s="792" t="str">
        <f t="shared" si="3"/>
        <v/>
      </c>
      <c r="F84" s="1085" t="s">
        <v>911</v>
      </c>
    </row>
    <row r="85" spans="1:6">
      <c r="A85" s="1362" t="str">
        <f t="shared" si="2"/>
        <v>Street Lighting</v>
      </c>
      <c r="B85" s="1363"/>
      <c r="C85" s="791">
        <v>70</v>
      </c>
      <c r="D85" s="792">
        <f t="shared" si="4"/>
        <v>90.043775858596092</v>
      </c>
      <c r="E85" s="792">
        <f t="shared" si="3"/>
        <v>90.569236293301998</v>
      </c>
      <c r="F85" s="1085" t="s">
        <v>913</v>
      </c>
    </row>
    <row r="86" spans="1:6">
      <c r="A86" s="1362" t="str">
        <f t="shared" si="2"/>
        <v>Sentinel Lighting</v>
      </c>
      <c r="B86" s="1363"/>
      <c r="C86" s="791">
        <v>70</v>
      </c>
      <c r="D86" s="792">
        <f t="shared" si="4"/>
        <v>86.044406219586719</v>
      </c>
      <c r="E86" s="792">
        <f t="shared" si="3"/>
        <v>90.571034108141134</v>
      </c>
      <c r="F86" s="1085" t="s">
        <v>912</v>
      </c>
    </row>
    <row r="87" spans="1:6">
      <c r="A87" s="1364" t="str">
        <f t="shared" si="2"/>
        <v>Unmetered Scattered Load (USL)</v>
      </c>
      <c r="B87" s="1365"/>
      <c r="C87" s="791">
        <v>115.19</v>
      </c>
      <c r="D87" s="792">
        <f t="shared" si="4"/>
        <v>135.68140428976122</v>
      </c>
      <c r="E87" s="792">
        <f t="shared" si="3"/>
        <v>119.99949413193039</v>
      </c>
      <c r="F87" s="1085" t="s">
        <v>912</v>
      </c>
    </row>
    <row r="88" spans="1:6" hidden="1">
      <c r="A88" s="1362" t="str">
        <f t="shared" si="2"/>
        <v>Other class, if applicable</v>
      </c>
      <c r="B88" s="1363"/>
      <c r="C88" s="791"/>
      <c r="D88" s="792" t="str">
        <f t="shared" si="4"/>
        <v/>
      </c>
      <c r="E88" s="792" t="str">
        <f t="shared" si="3"/>
        <v/>
      </c>
      <c r="F88" s="1086"/>
    </row>
    <row r="89" spans="1:6" hidden="1">
      <c r="A89" s="1366"/>
      <c r="B89" s="1367"/>
      <c r="C89" s="791"/>
      <c r="D89" s="792" t="str">
        <f t="shared" si="4"/>
        <v/>
      </c>
      <c r="E89" s="792" t="str">
        <f t="shared" si="3"/>
        <v/>
      </c>
      <c r="F89" s="1086"/>
    </row>
    <row r="90" spans="1:6" ht="13.5" hidden="1" thickBot="1">
      <c r="A90" s="1368" t="str">
        <f>A58</f>
        <v>Embedded distributor class</v>
      </c>
      <c r="B90" s="1369"/>
      <c r="C90" s="793"/>
      <c r="D90" s="794" t="str">
        <f t="shared" si="4"/>
        <v/>
      </c>
      <c r="E90" s="794" t="str">
        <f t="shared" si="3"/>
        <v/>
      </c>
      <c r="F90" s="1087"/>
    </row>
    <row r="92" spans="1:6">
      <c r="A92" s="1027" t="s">
        <v>42</v>
      </c>
      <c r="B92" s="1074"/>
      <c r="C92" s="1074"/>
      <c r="D92" s="1074"/>
      <c r="E92" s="1074"/>
      <c r="F92" s="1074"/>
    </row>
    <row r="93" spans="1:6">
      <c r="A93" s="1074"/>
      <c r="B93" s="1074"/>
      <c r="C93" s="1074"/>
      <c r="D93" s="1074"/>
      <c r="E93" s="1074"/>
      <c r="F93" s="1074"/>
    </row>
    <row r="94" spans="1:6" ht="30.75" customHeight="1">
      <c r="A94" s="1352" t="s">
        <v>914</v>
      </c>
      <c r="B94" s="1352"/>
      <c r="C94" s="1352"/>
      <c r="D94" s="1352"/>
      <c r="E94" s="1352"/>
      <c r="F94" s="1352"/>
    </row>
    <row r="95" spans="1:6" ht="20.25" customHeight="1">
      <c r="A95" s="1352"/>
      <c r="B95" s="1352"/>
      <c r="C95" s="1352"/>
      <c r="D95" s="1352"/>
      <c r="E95" s="1352"/>
      <c r="F95" s="1352"/>
    </row>
    <row r="96" spans="1:6" ht="12.75" customHeight="1">
      <c r="A96" s="1088"/>
      <c r="B96" s="1088"/>
      <c r="C96" s="1088"/>
      <c r="D96" s="1088"/>
      <c r="E96" s="1088"/>
      <c r="F96" s="1088"/>
    </row>
    <row r="97" spans="1:6" ht="25.5" customHeight="1">
      <c r="A97" s="1354" t="s">
        <v>915</v>
      </c>
      <c r="B97" s="1354"/>
      <c r="C97" s="1354"/>
      <c r="D97" s="1354"/>
      <c r="E97" s="1354"/>
      <c r="F97" s="1354"/>
    </row>
    <row r="98" spans="1:6">
      <c r="A98" s="1074"/>
      <c r="B98" s="1074"/>
      <c r="C98" s="1074"/>
      <c r="D98" s="1074"/>
      <c r="E98" s="1074"/>
      <c r="F98" s="1074"/>
    </row>
    <row r="99" spans="1:6">
      <c r="A99" s="1089" t="s">
        <v>916</v>
      </c>
      <c r="B99" s="1090"/>
      <c r="C99" s="1090"/>
      <c r="D99" s="1090"/>
      <c r="E99" s="1090"/>
      <c r="F99" s="1090"/>
    </row>
    <row r="100" spans="1:6" ht="13.5" thickBot="1"/>
    <row r="101" spans="1:6">
      <c r="A101" s="1355" t="s">
        <v>903</v>
      </c>
      <c r="B101" s="1356"/>
      <c r="C101" s="1359" t="s">
        <v>917</v>
      </c>
      <c r="D101" s="1359"/>
      <c r="E101" s="1359"/>
      <c r="F101" s="1360" t="s">
        <v>907</v>
      </c>
    </row>
    <row r="102" spans="1:6">
      <c r="A102" s="1357"/>
      <c r="B102" s="1358"/>
      <c r="C102" s="1091">
        <v>2013</v>
      </c>
      <c r="D102" s="1091">
        <v>2014</v>
      </c>
      <c r="E102" s="1091">
        <v>2015</v>
      </c>
      <c r="F102" s="1361"/>
    </row>
    <row r="103" spans="1:6">
      <c r="A103" s="1357"/>
      <c r="B103" s="1358"/>
      <c r="C103" s="1091" t="s">
        <v>811</v>
      </c>
      <c r="D103" s="1091" t="s">
        <v>811</v>
      </c>
      <c r="E103" s="1091" t="s">
        <v>811</v>
      </c>
      <c r="F103" s="1092" t="s">
        <v>811</v>
      </c>
    </row>
    <row r="104" spans="1:6">
      <c r="A104" s="1348" t="str">
        <f>A80</f>
        <v>Residential</v>
      </c>
      <c r="B104" s="1349"/>
      <c r="C104" s="1093">
        <f>E80</f>
        <v>92.423325438915157</v>
      </c>
      <c r="D104" s="1094"/>
      <c r="E104" s="1094"/>
      <c r="F104" s="1095" t="str">
        <f>F80</f>
        <v>85 - 115</v>
      </c>
    </row>
    <row r="105" spans="1:6">
      <c r="A105" s="1348" t="str">
        <f t="shared" ref="A105:A114" si="5">A81</f>
        <v>GS &lt; 50 kW</v>
      </c>
      <c r="B105" s="1349"/>
      <c r="C105" s="1093">
        <f t="shared" ref="C105:C114" si="6">E81</f>
        <v>102.48</v>
      </c>
      <c r="D105" s="1094"/>
      <c r="E105" s="1094"/>
      <c r="F105" s="1095" t="str">
        <f t="shared" ref="F105:F111" si="7">F81</f>
        <v>80 - 120</v>
      </c>
    </row>
    <row r="106" spans="1:6" ht="24" customHeight="1">
      <c r="A106" s="1348" t="str">
        <f t="shared" si="5"/>
        <v>GS &gt; 50 kW (or 50 kW &lt; GS &lt; xxx kW, if applicable)</v>
      </c>
      <c r="B106" s="1349"/>
      <c r="C106" s="1093">
        <f t="shared" si="6"/>
        <v>114.08415502113695</v>
      </c>
      <c r="D106" s="1094"/>
      <c r="E106" s="1094"/>
      <c r="F106" s="1095" t="str">
        <f t="shared" si="7"/>
        <v>80 - 120</v>
      </c>
    </row>
    <row r="107" spans="1:6" hidden="1">
      <c r="A107" s="1348" t="str">
        <f t="shared" si="5"/>
        <v>GS &gt; xxx kW, if applicable</v>
      </c>
      <c r="B107" s="1349"/>
      <c r="C107" s="1093" t="str">
        <f t="shared" si="6"/>
        <v/>
      </c>
      <c r="D107" s="1094"/>
      <c r="E107" s="1094"/>
      <c r="F107" s="1095" t="str">
        <f t="shared" si="7"/>
        <v>80 - 120</v>
      </c>
    </row>
    <row r="108" spans="1:6" hidden="1">
      <c r="A108" s="1348" t="str">
        <f t="shared" si="5"/>
        <v>Large User, if applicable</v>
      </c>
      <c r="B108" s="1349"/>
      <c r="C108" s="1093" t="str">
        <f t="shared" si="6"/>
        <v/>
      </c>
      <c r="D108" s="1094"/>
      <c r="E108" s="1094"/>
      <c r="F108" s="1095" t="str">
        <f t="shared" si="7"/>
        <v>85 - 115</v>
      </c>
    </row>
    <row r="109" spans="1:6">
      <c r="A109" s="1348" t="str">
        <f t="shared" si="5"/>
        <v>Street Lighting</v>
      </c>
      <c r="B109" s="1349"/>
      <c r="C109" s="1093">
        <f t="shared" si="6"/>
        <v>90.569236293301998</v>
      </c>
      <c r="D109" s="1094"/>
      <c r="E109" s="1094"/>
      <c r="F109" s="1095" t="str">
        <f t="shared" si="7"/>
        <v>70 - 120</v>
      </c>
    </row>
    <row r="110" spans="1:6">
      <c r="A110" s="1348" t="str">
        <f t="shared" si="5"/>
        <v>Sentinel Lighting</v>
      </c>
      <c r="B110" s="1349"/>
      <c r="C110" s="1093">
        <f t="shared" si="6"/>
        <v>90.571034108141134</v>
      </c>
      <c r="D110" s="1094"/>
      <c r="E110" s="1094"/>
      <c r="F110" s="1095" t="str">
        <f t="shared" si="7"/>
        <v>80 - 120</v>
      </c>
    </row>
    <row r="111" spans="1:6" ht="12.75" customHeight="1">
      <c r="A111" s="1348" t="str">
        <f t="shared" si="5"/>
        <v>Unmetered Scattered Load (USL)</v>
      </c>
      <c r="B111" s="1349"/>
      <c r="C111" s="1093">
        <f t="shared" si="6"/>
        <v>119.99949413193039</v>
      </c>
      <c r="D111" s="1094"/>
      <c r="E111" s="1094"/>
      <c r="F111" s="1095" t="str">
        <f t="shared" si="7"/>
        <v>80 - 120</v>
      </c>
    </row>
    <row r="112" spans="1:6" hidden="1">
      <c r="A112" s="1348" t="str">
        <f t="shared" si="5"/>
        <v>Other class, if applicable</v>
      </c>
      <c r="B112" s="1349"/>
      <c r="C112" s="1093" t="str">
        <f t="shared" si="6"/>
        <v/>
      </c>
      <c r="D112" s="1094"/>
      <c r="E112" s="1094"/>
      <c r="F112" s="1096">
        <f>F88</f>
        <v>0</v>
      </c>
    </row>
    <row r="113" spans="1:6" hidden="1">
      <c r="A113" s="1348"/>
      <c r="B113" s="1349"/>
      <c r="C113" s="1093" t="str">
        <f t="shared" si="6"/>
        <v/>
      </c>
      <c r="D113" s="1094"/>
      <c r="E113" s="1094"/>
      <c r="F113" s="1096">
        <f>F89</f>
        <v>0</v>
      </c>
    </row>
    <row r="114" spans="1:6" ht="13.5" hidden="1" customHeight="1" thickBot="1">
      <c r="A114" s="1350" t="str">
        <f t="shared" si="5"/>
        <v>Embedded distributor class</v>
      </c>
      <c r="B114" s="1351"/>
      <c r="C114" s="1097" t="str">
        <f t="shared" si="6"/>
        <v/>
      </c>
      <c r="D114" s="1098"/>
      <c r="E114" s="1098"/>
      <c r="F114" s="1099"/>
    </row>
    <row r="116" spans="1:6" ht="12.75" customHeight="1">
      <c r="A116" s="1027" t="s">
        <v>918</v>
      </c>
    </row>
    <row r="117" spans="1:6" ht="12.75" customHeight="1">
      <c r="A117" s="1352" t="s">
        <v>919</v>
      </c>
      <c r="B117" s="1352"/>
      <c r="C117" s="1352"/>
      <c r="D117" s="1352"/>
      <c r="E117" s="1352"/>
      <c r="F117" s="1352"/>
    </row>
    <row r="118" spans="1:6">
      <c r="A118" s="1352"/>
      <c r="B118" s="1352"/>
      <c r="C118" s="1352"/>
      <c r="D118" s="1352"/>
      <c r="E118" s="1352"/>
      <c r="F118" s="1352"/>
    </row>
    <row r="119" spans="1:6" ht="20.25" customHeight="1">
      <c r="A119" s="1352"/>
      <c r="B119" s="1352"/>
      <c r="C119" s="1352"/>
      <c r="D119" s="1352"/>
      <c r="E119" s="1352"/>
      <c r="F119" s="1352"/>
    </row>
    <row r="120" spans="1:6" ht="16.5" customHeight="1">
      <c r="A120" s="1352"/>
      <c r="B120" s="1352"/>
      <c r="C120" s="1352"/>
      <c r="D120" s="1352"/>
      <c r="E120" s="1352"/>
      <c r="F120" s="1352"/>
    </row>
    <row r="122" spans="1:6">
      <c r="A122" s="1353"/>
      <c r="B122" s="1353"/>
      <c r="C122" s="1353"/>
      <c r="D122" s="1353"/>
      <c r="E122" s="1353"/>
      <c r="F122" s="1353"/>
    </row>
    <row r="123" spans="1:6">
      <c r="A123" s="1353"/>
      <c r="B123" s="1353"/>
      <c r="C123" s="1353"/>
      <c r="D123" s="1353"/>
      <c r="E123" s="1353"/>
      <c r="F123" s="1353"/>
    </row>
    <row r="124" spans="1:6">
      <c r="A124" s="1353"/>
      <c r="B124" s="1353"/>
      <c r="C124" s="1353"/>
      <c r="D124" s="1353"/>
      <c r="E124" s="1353"/>
      <c r="F124" s="1353"/>
    </row>
  </sheetData>
  <mergeCells count="62">
    <mergeCell ref="F46:F47"/>
    <mergeCell ref="A9:F9"/>
    <mergeCell ref="A10:F10"/>
    <mergeCell ref="A32:E33"/>
    <mergeCell ref="A35:E37"/>
    <mergeCell ref="A39:E40"/>
    <mergeCell ref="B43:F43"/>
    <mergeCell ref="A45:B45"/>
    <mergeCell ref="A46:B47"/>
    <mergeCell ref="C46:C47"/>
    <mergeCell ref="D46:D47"/>
    <mergeCell ref="E46:E47"/>
    <mergeCell ref="A59:B59"/>
    <mergeCell ref="A48:B48"/>
    <mergeCell ref="A49:B49"/>
    <mergeCell ref="A50:B50"/>
    <mergeCell ref="A51:B51"/>
    <mergeCell ref="A52:B52"/>
    <mergeCell ref="A53:B53"/>
    <mergeCell ref="A54:B54"/>
    <mergeCell ref="A55:B55"/>
    <mergeCell ref="A56:B56"/>
    <mergeCell ref="A57:B57"/>
    <mergeCell ref="A58:B58"/>
    <mergeCell ref="A84:B84"/>
    <mergeCell ref="A63:F64"/>
    <mergeCell ref="A66:F66"/>
    <mergeCell ref="A68:F69"/>
    <mergeCell ref="A71:F72"/>
    <mergeCell ref="A76:B78"/>
    <mergeCell ref="F76:F78"/>
    <mergeCell ref="D77:D78"/>
    <mergeCell ref="E77:E78"/>
    <mergeCell ref="A79:B79"/>
    <mergeCell ref="A80:B80"/>
    <mergeCell ref="A81:B81"/>
    <mergeCell ref="A82:B82"/>
    <mergeCell ref="A83:B83"/>
    <mergeCell ref="A104:B104"/>
    <mergeCell ref="A85:B85"/>
    <mergeCell ref="A86:B86"/>
    <mergeCell ref="A87:B87"/>
    <mergeCell ref="A88:B88"/>
    <mergeCell ref="A89:B89"/>
    <mergeCell ref="A90:B90"/>
    <mergeCell ref="A94:F95"/>
    <mergeCell ref="A97:F97"/>
    <mergeCell ref="A101:B103"/>
    <mergeCell ref="C101:E101"/>
    <mergeCell ref="F101:F102"/>
    <mergeCell ref="A122:F124"/>
    <mergeCell ref="A105:B105"/>
    <mergeCell ref="A106:B106"/>
    <mergeCell ref="A107:B107"/>
    <mergeCell ref="A108:B108"/>
    <mergeCell ref="A109:B109"/>
    <mergeCell ref="A110:B110"/>
    <mergeCell ref="A111:B111"/>
    <mergeCell ref="A112:B112"/>
    <mergeCell ref="A113:B113"/>
    <mergeCell ref="A114:B114"/>
    <mergeCell ref="A117:F120"/>
  </mergeCells>
  <dataValidations count="1">
    <dataValidation allowBlank="1" showInputMessage="1" showErrorMessage="1" promptTitle="Date Format" prompt="E.g:  &quot;August 1, 2011&quot;" sqref="F7"/>
  </dataValidations>
  <pageMargins left="0.74803149606299213" right="0.74803149606299213" top="0.98425196850393704" bottom="0.98425196850393704" header="0.51181102362204722" footer="0.51181102362204722"/>
  <pageSetup scale="77" fitToHeight="2" orientation="portrait" r:id="rId1"/>
  <headerFooter alignWithMargins="0"/>
  <rowBreaks count="1" manualBreakCount="1">
    <brk id="60" max="5" man="1"/>
  </rowBreaks>
</worksheet>
</file>

<file path=xl/worksheets/sheet27.xml><?xml version="1.0" encoding="utf-8"?>
<worksheet xmlns="http://schemas.openxmlformats.org/spreadsheetml/2006/main" xmlns:r="http://schemas.openxmlformats.org/officeDocument/2006/relationships">
  <dimension ref="A1:H73"/>
  <sheetViews>
    <sheetView showGridLines="0" zoomScaleNormal="100" workbookViewId="0">
      <selection activeCell="J24" sqref="J24"/>
    </sheetView>
  </sheetViews>
  <sheetFormatPr defaultRowHeight="12.75"/>
  <cols>
    <col min="1" max="1" width="8.7109375" customWidth="1"/>
    <col min="2" max="2" width="30.7109375" customWidth="1"/>
    <col min="3" max="5" width="14" bestFit="1" customWidth="1"/>
    <col min="6" max="6" width="12.28515625" bestFit="1" customWidth="1"/>
    <col min="7" max="7" width="12.7109375" bestFit="1" customWidth="1"/>
    <col min="8" max="8" width="14.7109375" customWidth="1"/>
  </cols>
  <sheetData>
    <row r="1" spans="1:8">
      <c r="G1" s="268" t="s">
        <v>131</v>
      </c>
      <c r="H1" s="236" t="str">
        <f>'LDC Info'!$E$18</f>
        <v>EB-2012-0126</v>
      </c>
    </row>
    <row r="2" spans="1:8">
      <c r="G2" s="268" t="s">
        <v>132</v>
      </c>
      <c r="H2" s="237"/>
    </row>
    <row r="3" spans="1:8">
      <c r="G3" s="268" t="s">
        <v>133</v>
      </c>
      <c r="H3" s="237"/>
    </row>
    <row r="4" spans="1:8">
      <c r="G4" s="268" t="s">
        <v>134</v>
      </c>
      <c r="H4" s="237"/>
    </row>
    <row r="5" spans="1:8">
      <c r="G5" s="268" t="s">
        <v>135</v>
      </c>
      <c r="H5" s="238"/>
    </row>
    <row r="6" spans="1:8">
      <c r="G6" s="268"/>
      <c r="H6" s="236"/>
    </row>
    <row r="7" spans="1:8">
      <c r="G7" s="268" t="s">
        <v>136</v>
      </c>
      <c r="H7" s="238" t="s">
        <v>1171</v>
      </c>
    </row>
    <row r="9" spans="1:8" ht="18">
      <c r="A9" s="1215" t="s">
        <v>920</v>
      </c>
      <c r="B9" s="1215"/>
      <c r="C9" s="1215"/>
      <c r="D9" s="1215"/>
      <c r="E9" s="1215"/>
      <c r="F9" s="1215"/>
      <c r="G9" s="1215"/>
      <c r="H9" s="1215"/>
    </row>
    <row r="10" spans="1:8" ht="18">
      <c r="A10" s="1215" t="s">
        <v>921</v>
      </c>
      <c r="B10" s="1215"/>
      <c r="C10" s="1215"/>
      <c r="D10" s="1215"/>
      <c r="E10" s="1215"/>
      <c r="F10" s="1215"/>
      <c r="G10" s="1215"/>
      <c r="H10" s="1215"/>
    </row>
    <row r="12" spans="1:8">
      <c r="A12" s="1399"/>
      <c r="B12" s="1399"/>
      <c r="C12" s="1399"/>
      <c r="D12" s="1399"/>
      <c r="E12" s="1399"/>
      <c r="F12" s="1399"/>
      <c r="G12" s="1399"/>
      <c r="H12" s="1399"/>
    </row>
    <row r="13" spans="1:8" ht="13.5" thickBot="1"/>
    <row r="14" spans="1:8">
      <c r="A14" s="1400"/>
      <c r="B14" s="1401"/>
      <c r="C14" s="1404" t="s">
        <v>922</v>
      </c>
      <c r="D14" s="1405"/>
      <c r="E14" s="1405"/>
      <c r="F14" s="1405"/>
      <c r="G14" s="1406"/>
      <c r="H14" s="1407" t="s">
        <v>923</v>
      </c>
    </row>
    <row r="15" spans="1:8">
      <c r="A15" s="1402"/>
      <c r="B15" s="1403"/>
      <c r="C15" s="796">
        <f>IF(ISBLANK('LDC Info'!E26-5), "Year 5", 'LDC Info'!E26-5)</f>
        <v>2007</v>
      </c>
      <c r="D15" s="796">
        <f>IF(ISBLANK('LDC Info'!E26-4), "Year 5", 'LDC Info'!E26-4)</f>
        <v>2008</v>
      </c>
      <c r="E15" s="796">
        <f>IF(ISBLANK('LDC Info'!E26-3), "Year 5", 'LDC Info'!E26-3)</f>
        <v>2009</v>
      </c>
      <c r="F15" s="796">
        <f>IF(ISBLANK('LDC Info'!E26-2), "Year 5", 'LDC Info'!E26-2)</f>
        <v>2010</v>
      </c>
      <c r="G15" s="796">
        <f>IF(ISBLANK('LDC Info'!E26-1), "Year 5", 'LDC Info'!E26-1)</f>
        <v>2011</v>
      </c>
      <c r="H15" s="1408"/>
    </row>
    <row r="16" spans="1:8">
      <c r="A16" s="797"/>
      <c r="B16" s="1409" t="s">
        <v>924</v>
      </c>
      <c r="C16" s="1410"/>
      <c r="D16" s="1410"/>
      <c r="E16" s="1410"/>
      <c r="F16" s="1410"/>
      <c r="G16" s="1410"/>
      <c r="H16" s="1411"/>
    </row>
    <row r="17" spans="1:8" ht="25.5">
      <c r="A17" s="798" t="s">
        <v>925</v>
      </c>
      <c r="B17" s="799" t="s">
        <v>926</v>
      </c>
      <c r="C17" s="800">
        <v>1001862965.3972714</v>
      </c>
      <c r="D17" s="800">
        <v>1006112850.7130091</v>
      </c>
      <c r="E17" s="800">
        <v>1004442975.7268792</v>
      </c>
      <c r="F17" s="800">
        <v>966894707.21973991</v>
      </c>
      <c r="G17" s="800">
        <v>967341538.334203</v>
      </c>
      <c r="H17" s="801">
        <f>IF(SUM(C17:G17)=0,0,AVERAGE(C17:G17))</f>
        <v>989331007.47822058</v>
      </c>
    </row>
    <row r="18" spans="1:8" ht="25.5">
      <c r="A18" s="798" t="s">
        <v>927</v>
      </c>
      <c r="B18" s="799" t="s">
        <v>928</v>
      </c>
      <c r="C18" s="800">
        <v>1006978300.7001251</v>
      </c>
      <c r="D18" s="800">
        <v>1012883013.4918065</v>
      </c>
      <c r="E18" s="800">
        <v>1008534280.8386738</v>
      </c>
      <c r="F18" s="800">
        <v>975012465.97879589</v>
      </c>
      <c r="G18" s="800">
        <v>979395602.21056998</v>
      </c>
      <c r="H18" s="801">
        <f>IF(SUM(C18:G18)=0,0,AVERAGE(C18:G18))</f>
        <v>996560732.64399433</v>
      </c>
    </row>
    <row r="19" spans="1:8" ht="38.25">
      <c r="A19" s="798" t="s">
        <v>653</v>
      </c>
      <c r="B19" s="799" t="s">
        <v>929</v>
      </c>
      <c r="C19" s="800">
        <v>0</v>
      </c>
      <c r="D19" s="800">
        <v>0</v>
      </c>
      <c r="E19" s="800">
        <v>0</v>
      </c>
      <c r="F19" s="800">
        <v>0</v>
      </c>
      <c r="G19" s="800">
        <v>0</v>
      </c>
      <c r="H19" s="802">
        <f>IF(SUM(C19:G19)=0,0,AVERAGE(C19:G19))</f>
        <v>0</v>
      </c>
    </row>
    <row r="20" spans="1:8" ht="25.5">
      <c r="A20" s="798" t="s">
        <v>655</v>
      </c>
      <c r="B20" s="799" t="s">
        <v>930</v>
      </c>
      <c r="C20" s="803">
        <f t="shared" ref="C20:H20" si="0">C18-C19</f>
        <v>1006978300.7001251</v>
      </c>
      <c r="D20" s="803">
        <f t="shared" si="0"/>
        <v>1012883013.4918065</v>
      </c>
      <c r="E20" s="803">
        <f t="shared" si="0"/>
        <v>1008534280.8386738</v>
      </c>
      <c r="F20" s="803">
        <f t="shared" si="0"/>
        <v>975012465.97879589</v>
      </c>
      <c r="G20" s="803">
        <f t="shared" si="0"/>
        <v>979395602.21056998</v>
      </c>
      <c r="H20" s="804">
        <f t="shared" si="0"/>
        <v>996560732.64399433</v>
      </c>
    </row>
    <row r="21" spans="1:8" ht="14.25" customHeight="1">
      <c r="A21" s="798" t="s">
        <v>657</v>
      </c>
      <c r="B21" s="799" t="s">
        <v>931</v>
      </c>
      <c r="C21" s="800">
        <v>958611633</v>
      </c>
      <c r="D21" s="800">
        <v>966826979</v>
      </c>
      <c r="E21" s="800">
        <v>957200159.17225003</v>
      </c>
      <c r="F21" s="800">
        <v>930392978.67999995</v>
      </c>
      <c r="G21" s="800">
        <v>935254771.67000008</v>
      </c>
      <c r="H21" s="805">
        <f>IF(SUM(C21:G21)=0,0,AVERAGE(C21:G21))</f>
        <v>949657304.3044498</v>
      </c>
    </row>
    <row r="22" spans="1:8" ht="38.25">
      <c r="A22" s="798" t="s">
        <v>659</v>
      </c>
      <c r="B22" s="799" t="s">
        <v>932</v>
      </c>
      <c r="C22" s="800">
        <v>0</v>
      </c>
      <c r="D22" s="800">
        <v>0</v>
      </c>
      <c r="E22" s="800">
        <v>0</v>
      </c>
      <c r="F22" s="800">
        <v>0</v>
      </c>
      <c r="G22" s="800">
        <v>0</v>
      </c>
      <c r="H22" s="805">
        <f>IF(SUM(C22:G22)=0,0,AVERAGE(C22:G22))</f>
        <v>0</v>
      </c>
    </row>
    <row r="23" spans="1:8" ht="25.5">
      <c r="A23" s="798" t="s">
        <v>661</v>
      </c>
      <c r="B23" s="799" t="s">
        <v>933</v>
      </c>
      <c r="C23" s="803">
        <f t="shared" ref="C23:H23" si="1">C21-C22</f>
        <v>958611633</v>
      </c>
      <c r="D23" s="803">
        <f t="shared" si="1"/>
        <v>966826979</v>
      </c>
      <c r="E23" s="803">
        <f t="shared" si="1"/>
        <v>957200159.17225003</v>
      </c>
      <c r="F23" s="803">
        <f t="shared" si="1"/>
        <v>930392978.67999995</v>
      </c>
      <c r="G23" s="803">
        <f t="shared" si="1"/>
        <v>935254771.67000008</v>
      </c>
      <c r="H23" s="805">
        <f t="shared" si="1"/>
        <v>949657304.3044498</v>
      </c>
    </row>
    <row r="24" spans="1:8" ht="25.5">
      <c r="A24" s="798" t="s">
        <v>663</v>
      </c>
      <c r="B24" s="799" t="s">
        <v>934</v>
      </c>
      <c r="C24" s="806">
        <f t="shared" ref="C24:H24" si="2">IF(C23=0,"",C20/C23)</f>
        <v>1.0504549142062467</v>
      </c>
      <c r="D24" s="806">
        <f t="shared" si="2"/>
        <v>1.0476362735961742</v>
      </c>
      <c r="E24" s="806">
        <f t="shared" si="2"/>
        <v>1.0536294537506299</v>
      </c>
      <c r="F24" s="806">
        <f t="shared" si="2"/>
        <v>1.047957678444758</v>
      </c>
      <c r="G24" s="806">
        <f t="shared" si="2"/>
        <v>1.0471965841582949</v>
      </c>
      <c r="H24" s="807">
        <f t="shared" si="2"/>
        <v>1.0493898463445166</v>
      </c>
    </row>
    <row r="25" spans="1:8" ht="13.5" customHeight="1">
      <c r="A25" s="808"/>
      <c r="B25" s="1412" t="s">
        <v>935</v>
      </c>
      <c r="C25" s="1413"/>
      <c r="D25" s="1413"/>
      <c r="E25" s="1413"/>
      <c r="F25" s="1413"/>
      <c r="G25" s="1413"/>
      <c r="H25" s="1414"/>
    </row>
    <row r="26" spans="1:8">
      <c r="A26" s="798" t="s">
        <v>665</v>
      </c>
      <c r="B26" s="799" t="s">
        <v>936</v>
      </c>
      <c r="C26" s="809">
        <v>1.0043839891546535</v>
      </c>
      <c r="D26" s="809">
        <v>1.0043792172047119</v>
      </c>
      <c r="E26" s="809">
        <v>1.0043811243105032</v>
      </c>
      <c r="F26" s="809">
        <v>1.0043774903985332</v>
      </c>
      <c r="G26" s="809">
        <v>1.0043801659259177</v>
      </c>
      <c r="H26" s="810">
        <f>IF(SUM(C26:G26)=0,0,AVERAGE(C26:G26))</f>
        <v>1.0043803973988639</v>
      </c>
    </row>
    <row r="27" spans="1:8">
      <c r="A27" s="808"/>
      <c r="B27" s="1412" t="s">
        <v>937</v>
      </c>
      <c r="C27" s="1413"/>
      <c r="D27" s="1413"/>
      <c r="E27" s="1413"/>
      <c r="F27" s="1413"/>
      <c r="G27" s="1413"/>
      <c r="H27" s="1414"/>
    </row>
    <row r="28" spans="1:8" ht="13.5" thickBot="1">
      <c r="A28" s="811" t="s">
        <v>667</v>
      </c>
      <c r="B28" s="812" t="s">
        <v>938</v>
      </c>
      <c r="C28" s="813">
        <f t="shared" ref="C28:H28" si="3">IF(C24="","",C24*C26)</f>
        <v>1.0550600971575794</v>
      </c>
      <c r="D28" s="813">
        <f t="shared" si="3"/>
        <v>1.0522241003897868</v>
      </c>
      <c r="E28" s="813">
        <f t="shared" si="3"/>
        <v>1.0582455353647189</v>
      </c>
      <c r="F28" s="813">
        <f t="shared" si="3"/>
        <v>1.0525451031202191</v>
      </c>
      <c r="G28" s="813">
        <f t="shared" si="3"/>
        <v>1.0517834789539624</v>
      </c>
      <c r="H28" s="814">
        <f t="shared" si="3"/>
        <v>1.0539865908978383</v>
      </c>
    </row>
    <row r="30" spans="1:8">
      <c r="A30" s="815" t="s">
        <v>42</v>
      </c>
    </row>
    <row r="31" spans="1:8" ht="7.5" customHeight="1"/>
    <row r="33" spans="1:8">
      <c r="A33" s="18" t="s">
        <v>925</v>
      </c>
      <c r="B33" s="1398" t="s">
        <v>939</v>
      </c>
      <c r="C33" s="1398"/>
      <c r="D33" s="1398"/>
      <c r="E33" s="1398"/>
      <c r="F33" s="1398"/>
      <c r="G33" s="1398"/>
      <c r="H33" s="1398"/>
    </row>
    <row r="34" spans="1:8">
      <c r="A34" s="451"/>
      <c r="B34" s="1398"/>
      <c r="C34" s="1398"/>
      <c r="D34" s="1398"/>
      <c r="E34" s="1398"/>
      <c r="F34" s="1398"/>
      <c r="G34" s="1398"/>
      <c r="H34" s="1398"/>
    </row>
    <row r="35" spans="1:8">
      <c r="A35" s="451"/>
      <c r="B35" s="1398"/>
      <c r="C35" s="1398"/>
      <c r="D35" s="1398"/>
      <c r="E35" s="1398"/>
      <c r="F35" s="1398"/>
      <c r="G35" s="1398"/>
      <c r="H35" s="1398"/>
    </row>
    <row r="36" spans="1:8" ht="7.5" customHeight="1">
      <c r="A36" s="451"/>
      <c r="B36" s="10"/>
      <c r="C36" s="10"/>
      <c r="D36" s="10"/>
      <c r="E36" s="10"/>
      <c r="F36" s="10"/>
      <c r="G36" s="10"/>
      <c r="H36" s="10"/>
    </row>
    <row r="37" spans="1:8">
      <c r="A37" s="451"/>
      <c r="B37" s="1398" t="s">
        <v>940</v>
      </c>
      <c r="C37" s="1398"/>
      <c r="D37" s="1398"/>
      <c r="E37" s="1398"/>
      <c r="F37" s="1398"/>
      <c r="G37" s="1398"/>
      <c r="H37" s="1398"/>
    </row>
    <row r="38" spans="1:8">
      <c r="A38" s="451"/>
      <c r="B38" s="1398"/>
      <c r="C38" s="1398"/>
      <c r="D38" s="1398"/>
      <c r="E38" s="1398"/>
      <c r="F38" s="1398"/>
      <c r="G38" s="1398"/>
      <c r="H38" s="1398"/>
    </row>
    <row r="39" spans="1:8">
      <c r="A39" s="451"/>
      <c r="B39" s="1398"/>
      <c r="C39" s="1398"/>
      <c r="D39" s="1398"/>
      <c r="E39" s="1398"/>
      <c r="F39" s="1398"/>
      <c r="G39" s="1398"/>
      <c r="H39" s="1398"/>
    </row>
    <row r="40" spans="1:8">
      <c r="A40" s="451"/>
      <c r="B40" s="1398"/>
      <c r="C40" s="1398"/>
      <c r="D40" s="1398"/>
      <c r="E40" s="1398"/>
      <c r="F40" s="1398"/>
      <c r="G40" s="1398"/>
      <c r="H40" s="1398"/>
    </row>
    <row r="41" spans="1:8" ht="7.5" customHeight="1">
      <c r="A41" s="451"/>
      <c r="B41" s="10"/>
      <c r="C41" s="10"/>
      <c r="D41" s="10"/>
      <c r="E41" s="10"/>
      <c r="F41" s="10"/>
      <c r="G41" s="10"/>
      <c r="H41" s="10"/>
    </row>
    <row r="42" spans="1:8">
      <c r="A42" s="451"/>
      <c r="B42" s="10" t="s">
        <v>941</v>
      </c>
      <c r="C42" s="10"/>
      <c r="D42" s="10"/>
      <c r="E42" s="10"/>
      <c r="F42" s="10"/>
      <c r="G42" s="10"/>
      <c r="H42" s="10"/>
    </row>
    <row r="43" spans="1:8" ht="7.5" customHeight="1">
      <c r="A43" s="451"/>
      <c r="B43" s="10"/>
      <c r="C43" s="10"/>
      <c r="D43" s="10"/>
      <c r="E43" s="10"/>
      <c r="F43" s="10"/>
      <c r="G43" s="10"/>
      <c r="H43" s="10"/>
    </row>
    <row r="44" spans="1:8">
      <c r="A44" s="18" t="s">
        <v>927</v>
      </c>
      <c r="B44" s="1398" t="s">
        <v>942</v>
      </c>
      <c r="C44" s="1398"/>
      <c r="D44" s="1398"/>
      <c r="E44" s="1398"/>
      <c r="F44" s="1398"/>
      <c r="G44" s="1398"/>
      <c r="H44" s="1398"/>
    </row>
    <row r="45" spans="1:8">
      <c r="A45" s="451"/>
      <c r="B45" s="1398"/>
      <c r="C45" s="1398"/>
      <c r="D45" s="1398"/>
      <c r="E45" s="1398"/>
      <c r="F45" s="1398"/>
      <c r="G45" s="1398"/>
      <c r="H45" s="1398"/>
    </row>
    <row r="46" spans="1:8">
      <c r="A46" s="451"/>
      <c r="B46" s="1398"/>
      <c r="C46" s="1398"/>
      <c r="D46" s="1398"/>
      <c r="E46" s="1398"/>
      <c r="F46" s="1398"/>
      <c r="G46" s="1398"/>
      <c r="H46" s="1398"/>
    </row>
    <row r="47" spans="1:8" ht="7.5" customHeight="1">
      <c r="A47" s="451"/>
      <c r="B47" s="10"/>
      <c r="C47" s="10"/>
      <c r="D47" s="10"/>
      <c r="E47" s="10"/>
      <c r="F47" s="10"/>
      <c r="G47" s="10"/>
      <c r="H47" s="10"/>
    </row>
    <row r="48" spans="1:8">
      <c r="A48" s="451"/>
      <c r="B48" s="1398" t="s">
        <v>943</v>
      </c>
      <c r="C48" s="1398"/>
      <c r="D48" s="1398"/>
      <c r="E48" s="1398"/>
      <c r="F48" s="1398"/>
      <c r="G48" s="1398"/>
      <c r="H48" s="1398"/>
    </row>
    <row r="49" spans="1:8">
      <c r="A49" s="451"/>
      <c r="B49" s="1398"/>
      <c r="C49" s="1398"/>
      <c r="D49" s="1398"/>
      <c r="E49" s="1398"/>
      <c r="F49" s="1398"/>
      <c r="G49" s="1398"/>
      <c r="H49" s="1398"/>
    </row>
    <row r="50" spans="1:8">
      <c r="A50" s="451"/>
      <c r="B50" s="1398"/>
      <c r="C50" s="1398"/>
      <c r="D50" s="1398"/>
      <c r="E50" s="1398"/>
      <c r="F50" s="1398"/>
      <c r="G50" s="1398"/>
      <c r="H50" s="1398"/>
    </row>
    <row r="51" spans="1:8">
      <c r="A51" s="451"/>
      <c r="B51" s="1398"/>
      <c r="C51" s="1398"/>
      <c r="D51" s="1398"/>
      <c r="E51" s="1398"/>
      <c r="F51" s="1398"/>
      <c r="G51" s="1398"/>
      <c r="H51" s="1398"/>
    </row>
    <row r="52" spans="1:8" ht="7.5" customHeight="1">
      <c r="A52" s="451"/>
      <c r="B52" s="10"/>
      <c r="C52" s="10"/>
      <c r="D52" s="10"/>
      <c r="E52" s="10"/>
      <c r="F52" s="10"/>
      <c r="G52" s="10"/>
      <c r="H52" s="10"/>
    </row>
    <row r="53" spans="1:8">
      <c r="A53" s="451"/>
      <c r="B53" s="1308" t="s">
        <v>941</v>
      </c>
      <c r="C53" s="1308"/>
      <c r="D53" s="1308"/>
      <c r="E53" s="1308"/>
      <c r="F53" s="1308"/>
      <c r="G53" s="1308"/>
      <c r="H53" s="1308"/>
    </row>
    <row r="54" spans="1:8" ht="7.5" customHeight="1">
      <c r="A54" s="451"/>
      <c r="B54" s="10"/>
      <c r="C54" s="10"/>
      <c r="D54" s="10"/>
      <c r="E54" s="10"/>
      <c r="F54" s="10"/>
      <c r="G54" s="10"/>
      <c r="H54" s="10"/>
    </row>
    <row r="55" spans="1:8">
      <c r="A55" s="451"/>
      <c r="B55" s="1398" t="s">
        <v>944</v>
      </c>
      <c r="C55" s="1398"/>
      <c r="D55" s="1398"/>
      <c r="E55" s="1398"/>
      <c r="F55" s="1398"/>
      <c r="G55" s="1398"/>
      <c r="H55" s="1398"/>
    </row>
    <row r="56" spans="1:8">
      <c r="A56" s="451"/>
      <c r="B56" s="1398"/>
      <c r="C56" s="1398"/>
      <c r="D56" s="1398"/>
      <c r="E56" s="1398"/>
      <c r="F56" s="1398"/>
      <c r="G56" s="1398"/>
      <c r="H56" s="1398"/>
    </row>
    <row r="57" spans="1:8" ht="7.5" customHeight="1">
      <c r="A57" s="451"/>
      <c r="B57" s="10"/>
      <c r="C57" s="10"/>
      <c r="D57" s="10"/>
      <c r="E57" s="10"/>
      <c r="F57" s="10"/>
      <c r="G57" s="10"/>
      <c r="H57" s="10"/>
    </row>
    <row r="58" spans="1:8">
      <c r="A58" s="18" t="s">
        <v>653</v>
      </c>
      <c r="B58" s="1398" t="s">
        <v>945</v>
      </c>
      <c r="C58" s="1398"/>
      <c r="D58" s="1398"/>
      <c r="E58" s="1398"/>
      <c r="F58" s="1398"/>
      <c r="G58" s="1398"/>
      <c r="H58" s="1398"/>
    </row>
    <row r="59" spans="1:8">
      <c r="A59" s="451"/>
      <c r="B59" s="1398"/>
      <c r="C59" s="1398"/>
      <c r="D59" s="1398"/>
      <c r="E59" s="1398"/>
      <c r="F59" s="1398"/>
      <c r="G59" s="1398"/>
      <c r="H59" s="1398"/>
    </row>
    <row r="60" spans="1:8" ht="7.5" customHeight="1">
      <c r="A60" s="451"/>
      <c r="B60" s="10"/>
      <c r="C60" s="10"/>
      <c r="D60" s="10"/>
      <c r="E60" s="10"/>
      <c r="F60" s="10"/>
      <c r="G60" s="10"/>
      <c r="H60" s="10"/>
    </row>
    <row r="61" spans="1:8">
      <c r="A61" s="18" t="s">
        <v>657</v>
      </c>
      <c r="B61" s="1398" t="s">
        <v>946</v>
      </c>
      <c r="C61" s="1398"/>
      <c r="D61" s="1398"/>
      <c r="E61" s="1398"/>
      <c r="F61" s="1398"/>
      <c r="G61" s="1398"/>
      <c r="H61" s="1398"/>
    </row>
    <row r="62" spans="1:8">
      <c r="A62" s="451"/>
      <c r="B62" s="1398"/>
      <c r="C62" s="1398"/>
      <c r="D62" s="1398"/>
      <c r="E62" s="1398"/>
      <c r="F62" s="1398"/>
      <c r="G62" s="1398"/>
      <c r="H62" s="1398"/>
    </row>
    <row r="63" spans="1:8">
      <c r="A63" s="451"/>
      <c r="B63" s="10"/>
      <c r="C63" s="10"/>
      <c r="D63" s="10"/>
      <c r="E63" s="10"/>
      <c r="F63" s="10"/>
      <c r="G63" s="10"/>
      <c r="H63" s="10"/>
    </row>
    <row r="64" spans="1:8">
      <c r="A64" s="18" t="s">
        <v>947</v>
      </c>
      <c r="B64" s="1308" t="s">
        <v>948</v>
      </c>
      <c r="C64" s="1308"/>
      <c r="D64" s="1308"/>
      <c r="E64" s="1308"/>
      <c r="F64" s="1308"/>
      <c r="G64" s="1308"/>
      <c r="H64" s="1308"/>
    </row>
    <row r="65" spans="1:8">
      <c r="A65" s="451"/>
      <c r="B65" s="10"/>
      <c r="C65" s="10"/>
      <c r="D65" s="10"/>
      <c r="E65" s="10"/>
      <c r="F65" s="10"/>
      <c r="G65" s="10"/>
      <c r="H65" s="10"/>
    </row>
    <row r="66" spans="1:8">
      <c r="A66" s="18" t="s">
        <v>665</v>
      </c>
      <c r="B66" s="1308" t="s">
        <v>949</v>
      </c>
      <c r="C66" s="1308"/>
      <c r="D66" s="1308"/>
      <c r="E66" s="1308"/>
      <c r="F66" s="1308"/>
      <c r="G66" s="1308"/>
      <c r="H66" s="1308"/>
    </row>
    <row r="67" spans="1:8">
      <c r="A67" s="10"/>
      <c r="B67" s="10"/>
      <c r="C67" s="10"/>
      <c r="D67" s="10"/>
      <c r="E67" s="10"/>
      <c r="F67" s="10"/>
      <c r="G67" s="10"/>
      <c r="H67" s="10"/>
    </row>
    <row r="68" spans="1:8">
      <c r="A68" s="10"/>
      <c r="B68" s="1398" t="s">
        <v>950</v>
      </c>
      <c r="C68" s="1398"/>
      <c r="D68" s="1398"/>
      <c r="E68" s="1398"/>
      <c r="F68" s="1398"/>
      <c r="G68" s="1398"/>
      <c r="H68" s="10"/>
    </row>
    <row r="69" spans="1:8">
      <c r="A69" s="10"/>
      <c r="B69" s="1398"/>
      <c r="C69" s="1398"/>
      <c r="D69" s="1398"/>
      <c r="E69" s="1398"/>
      <c r="F69" s="1398"/>
      <c r="G69" s="1398"/>
      <c r="H69" s="10"/>
    </row>
    <row r="70" spans="1:8">
      <c r="A70" s="10"/>
      <c r="B70" s="1398"/>
      <c r="C70" s="1398"/>
      <c r="D70" s="1398"/>
      <c r="E70" s="1398"/>
      <c r="F70" s="1398"/>
      <c r="G70" s="1398"/>
      <c r="H70" s="10"/>
    </row>
    <row r="71" spans="1:8">
      <c r="A71" s="10"/>
      <c r="B71" s="10"/>
      <c r="C71" s="10"/>
      <c r="D71" s="10"/>
      <c r="E71" s="10"/>
      <c r="F71" s="10"/>
      <c r="G71" s="10"/>
      <c r="H71" s="10"/>
    </row>
    <row r="72" spans="1:8">
      <c r="B72" s="1308" t="s">
        <v>951</v>
      </c>
      <c r="C72" s="1415"/>
      <c r="D72" s="1415"/>
      <c r="E72" s="1415"/>
      <c r="F72" s="1415"/>
      <c r="G72" s="1415"/>
      <c r="H72" s="1415"/>
    </row>
    <row r="73" spans="1:8">
      <c r="B73" t="s">
        <v>952</v>
      </c>
    </row>
  </sheetData>
  <mergeCells count="21">
    <mergeCell ref="B66:H66"/>
    <mergeCell ref="B68:G70"/>
    <mergeCell ref="B72:H72"/>
    <mergeCell ref="B48:H51"/>
    <mergeCell ref="B53:H53"/>
    <mergeCell ref="B55:H56"/>
    <mergeCell ref="B58:H59"/>
    <mergeCell ref="B61:H62"/>
    <mergeCell ref="B64:H64"/>
    <mergeCell ref="B44:H46"/>
    <mergeCell ref="A9:H9"/>
    <mergeCell ref="A10:H10"/>
    <mergeCell ref="A12:H12"/>
    <mergeCell ref="A14:B15"/>
    <mergeCell ref="C14:G14"/>
    <mergeCell ref="H14:H15"/>
    <mergeCell ref="B16:H16"/>
    <mergeCell ref="B25:H25"/>
    <mergeCell ref="B27:H27"/>
    <mergeCell ref="B33:H35"/>
    <mergeCell ref="B37:H40"/>
  </mergeCells>
  <dataValidations count="1">
    <dataValidation allowBlank="1" showInputMessage="1" showErrorMessage="1" promptTitle="Date Format" prompt="E.g:  &quot;August 1, 2011&quot;" sqref="H7"/>
  </dataValidations>
  <pageMargins left="0.75" right="0.75" top="1" bottom="1" header="0.5" footer="0.5"/>
  <pageSetup scale="64" fitToHeight="0" orientation="portrait" r:id="rId1"/>
  <headerFooter alignWithMargins="0"/>
</worksheet>
</file>

<file path=xl/worksheets/sheet28.xml><?xml version="1.0" encoding="utf-8"?>
<worksheet xmlns="http://schemas.openxmlformats.org/spreadsheetml/2006/main" xmlns:r="http://schemas.openxmlformats.org/officeDocument/2006/relationships">
  <dimension ref="A1:H99"/>
  <sheetViews>
    <sheetView showGridLines="0" zoomScaleNormal="100" workbookViewId="0">
      <selection activeCell="J24" sqref="J24"/>
    </sheetView>
  </sheetViews>
  <sheetFormatPr defaultRowHeight="12.75"/>
  <cols>
    <col min="1" max="1" width="6.7109375" customWidth="1"/>
    <col min="2" max="2" width="7.140625" customWidth="1"/>
    <col min="3" max="5" width="13.7109375" customWidth="1"/>
    <col min="6" max="6" width="17.28515625" bestFit="1" customWidth="1"/>
    <col min="7" max="7" width="13.7109375" customWidth="1"/>
    <col min="8" max="8" width="16.42578125" customWidth="1"/>
    <col min="9" max="9" width="13.7109375" customWidth="1"/>
  </cols>
  <sheetData>
    <row r="1" spans="1:8">
      <c r="G1" s="268" t="s">
        <v>131</v>
      </c>
      <c r="H1" s="236" t="str">
        <f>'LDC Info'!$E$18</f>
        <v>EB-2012-0126</v>
      </c>
    </row>
    <row r="2" spans="1:8">
      <c r="G2" s="268" t="s">
        <v>132</v>
      </c>
      <c r="H2" s="237"/>
    </row>
    <row r="3" spans="1:8">
      <c r="G3" s="268" t="s">
        <v>133</v>
      </c>
      <c r="H3" s="237"/>
    </row>
    <row r="4" spans="1:8">
      <c r="G4" s="268" t="s">
        <v>134</v>
      </c>
      <c r="H4" s="237"/>
    </row>
    <row r="5" spans="1:8">
      <c r="G5" s="268" t="s">
        <v>135</v>
      </c>
      <c r="H5" s="238"/>
    </row>
    <row r="6" spans="1:8">
      <c r="G6" s="268"/>
      <c r="H6" s="236"/>
    </row>
    <row r="7" spans="1:8">
      <c r="G7" s="268" t="s">
        <v>136</v>
      </c>
      <c r="H7" s="238" t="s">
        <v>1171</v>
      </c>
    </row>
    <row r="9" spans="1:8" ht="18">
      <c r="A9" s="1215" t="s">
        <v>953</v>
      </c>
      <c r="B9" s="1215"/>
      <c r="C9" s="1215"/>
      <c r="D9" s="1215"/>
      <c r="E9" s="1215"/>
      <c r="F9" s="1215"/>
      <c r="G9" s="1215"/>
      <c r="H9" s="1215"/>
    </row>
    <row r="10" spans="1:8" ht="18">
      <c r="A10" s="1215" t="s">
        <v>954</v>
      </c>
      <c r="B10" s="1215"/>
      <c r="C10" s="1215"/>
      <c r="D10" s="1215"/>
      <c r="E10" s="1215"/>
      <c r="F10" s="1215"/>
      <c r="G10" s="1215"/>
      <c r="H10" s="1215"/>
    </row>
    <row r="11" spans="1:8" ht="13.5" thickBot="1"/>
    <row r="12" spans="1:8" ht="51">
      <c r="A12" s="816" t="s">
        <v>333</v>
      </c>
      <c r="B12" s="817" t="s">
        <v>42</v>
      </c>
      <c r="C12" s="356" t="s">
        <v>955</v>
      </c>
      <c r="D12" s="356" t="s">
        <v>956</v>
      </c>
      <c r="E12" s="356" t="s">
        <v>957</v>
      </c>
      <c r="F12" s="356" t="s">
        <v>958</v>
      </c>
      <c r="G12" s="356" t="s">
        <v>959</v>
      </c>
      <c r="H12" s="456" t="s">
        <v>960</v>
      </c>
    </row>
    <row r="13" spans="1:8">
      <c r="A13" s="818"/>
      <c r="B13" s="795"/>
      <c r="C13" s="819" t="s">
        <v>736</v>
      </c>
      <c r="D13" s="819" t="s">
        <v>400</v>
      </c>
      <c r="E13" s="819" t="s">
        <v>401</v>
      </c>
      <c r="F13" s="819" t="s">
        <v>961</v>
      </c>
      <c r="G13" s="819" t="s">
        <v>738</v>
      </c>
      <c r="H13" s="820" t="s">
        <v>962</v>
      </c>
    </row>
    <row r="14" spans="1:8">
      <c r="A14" s="821">
        <v>2006</v>
      </c>
      <c r="B14" s="822"/>
      <c r="C14" s="344"/>
      <c r="D14" s="344"/>
      <c r="E14" s="344"/>
      <c r="F14" s="823">
        <f t="shared" ref="F14:F20" si="0">C14-D14-E14</f>
        <v>0</v>
      </c>
      <c r="G14" s="344"/>
      <c r="H14" s="824">
        <f t="shared" ref="H14:H20" si="1">F14-G14</f>
        <v>0</v>
      </c>
    </row>
    <row r="15" spans="1:8">
      <c r="A15" s="821">
        <v>2007</v>
      </c>
      <c r="B15" s="822"/>
      <c r="C15" s="344"/>
      <c r="D15" s="344"/>
      <c r="E15" s="344"/>
      <c r="F15" s="823">
        <f t="shared" si="0"/>
        <v>0</v>
      </c>
      <c r="G15" s="344"/>
      <c r="H15" s="824">
        <f t="shared" si="1"/>
        <v>0</v>
      </c>
    </row>
    <row r="16" spans="1:8">
      <c r="A16" s="821">
        <v>2008</v>
      </c>
      <c r="B16" s="822"/>
      <c r="C16" s="344"/>
      <c r="D16" s="344"/>
      <c r="E16" s="344"/>
      <c r="F16" s="823">
        <f t="shared" si="0"/>
        <v>0</v>
      </c>
      <c r="G16" s="344"/>
      <c r="H16" s="824">
        <f t="shared" si="1"/>
        <v>0</v>
      </c>
    </row>
    <row r="17" spans="1:8">
      <c r="A17" s="821">
        <v>2009</v>
      </c>
      <c r="B17" s="822"/>
      <c r="C17" s="344"/>
      <c r="D17" s="344"/>
      <c r="E17" s="344"/>
      <c r="F17" s="823">
        <f t="shared" si="0"/>
        <v>0</v>
      </c>
      <c r="G17" s="344"/>
      <c r="H17" s="824">
        <f t="shared" si="1"/>
        <v>0</v>
      </c>
    </row>
    <row r="18" spans="1:8">
      <c r="A18" s="821">
        <v>2010</v>
      </c>
      <c r="B18" s="822"/>
      <c r="C18" s="344"/>
      <c r="D18" s="344"/>
      <c r="E18" s="344"/>
      <c r="F18" s="823">
        <f t="shared" si="0"/>
        <v>0</v>
      </c>
      <c r="G18" s="344"/>
      <c r="H18" s="824">
        <f t="shared" si="1"/>
        <v>0</v>
      </c>
    </row>
    <row r="19" spans="1:8">
      <c r="A19" s="821">
        <v>2011</v>
      </c>
      <c r="B19" s="822"/>
      <c r="C19" s="344"/>
      <c r="D19" s="344"/>
      <c r="E19" s="344"/>
      <c r="F19" s="823">
        <f t="shared" si="0"/>
        <v>0</v>
      </c>
      <c r="G19" s="344"/>
      <c r="H19" s="824">
        <f t="shared" si="1"/>
        <v>0</v>
      </c>
    </row>
    <row r="20" spans="1:8" ht="13.5" thickBot="1">
      <c r="A20" s="825">
        <v>2012</v>
      </c>
      <c r="B20" s="826" t="s">
        <v>835</v>
      </c>
      <c r="C20" s="388">
        <v>7076701.2999999998</v>
      </c>
      <c r="D20" s="388">
        <v>5868346.9500000002</v>
      </c>
      <c r="E20" s="388">
        <v>0</v>
      </c>
      <c r="F20" s="787">
        <f t="shared" si="0"/>
        <v>1208354.3499999996</v>
      </c>
      <c r="G20" s="388">
        <v>14493</v>
      </c>
      <c r="H20" s="827">
        <f t="shared" si="1"/>
        <v>1193861.3499999996</v>
      </c>
    </row>
    <row r="22" spans="1:8">
      <c r="A22" s="21" t="s">
        <v>270</v>
      </c>
    </row>
    <row r="23" spans="1:8">
      <c r="A23" s="21"/>
    </row>
    <row r="24" spans="1:8">
      <c r="A24" s="828" t="s">
        <v>835</v>
      </c>
      <c r="B24" s="829" t="s">
        <v>963</v>
      </c>
      <c r="C24" s="829"/>
      <c r="D24" s="829"/>
      <c r="E24" s="829"/>
      <c r="F24" s="829"/>
      <c r="G24" s="829"/>
    </row>
    <row r="25" spans="1:8">
      <c r="A25" s="828"/>
      <c r="B25" s="829"/>
      <c r="C25" s="830" t="s">
        <v>964</v>
      </c>
      <c r="D25" s="830"/>
      <c r="E25" s="830"/>
      <c r="F25" s="830"/>
      <c r="G25" s="829"/>
    </row>
    <row r="27" spans="1:8">
      <c r="A27" s="1228" t="s">
        <v>965</v>
      </c>
      <c r="B27" s="1228"/>
      <c r="C27" s="1228"/>
      <c r="D27" s="1228"/>
      <c r="E27" s="1228"/>
      <c r="F27" s="1228"/>
      <c r="G27" s="1228"/>
      <c r="H27" s="1228"/>
    </row>
    <row r="28" spans="1:8">
      <c r="A28" s="1228"/>
      <c r="B28" s="1228"/>
      <c r="C28" s="1228"/>
      <c r="D28" s="1228"/>
      <c r="E28" s="1228"/>
      <c r="F28" s="1228"/>
      <c r="G28" s="1228"/>
      <c r="H28" s="1228"/>
    </row>
    <row r="29" spans="1:8">
      <c r="A29" s="1228"/>
      <c r="B29" s="1228"/>
      <c r="C29" s="1228"/>
      <c r="D29" s="1228"/>
      <c r="E29" s="1228"/>
      <c r="F29" s="1228"/>
      <c r="G29" s="1228"/>
      <c r="H29" s="1228"/>
    </row>
    <row r="30" spans="1:8">
      <c r="A30" s="1228"/>
      <c r="B30" s="1228"/>
      <c r="C30" s="1228"/>
      <c r="D30" s="1228"/>
      <c r="E30" s="1228"/>
      <c r="F30" s="1228"/>
      <c r="G30" s="1228"/>
      <c r="H30" s="1228"/>
    </row>
    <row r="32" spans="1:8">
      <c r="A32" s="1416" t="s">
        <v>966</v>
      </c>
      <c r="B32" s="1417"/>
      <c r="C32" s="1417"/>
      <c r="D32" s="1417"/>
      <c r="E32" s="1417"/>
      <c r="F32" s="1417"/>
      <c r="G32" s="1417"/>
      <c r="H32" s="1417"/>
    </row>
    <row r="33" spans="1:8">
      <c r="A33" s="1417"/>
      <c r="B33" s="1417"/>
      <c r="C33" s="1417"/>
      <c r="D33" s="1417"/>
      <c r="E33" s="1417"/>
      <c r="F33" s="1417"/>
      <c r="G33" s="1417"/>
      <c r="H33" s="1417"/>
    </row>
    <row r="35" spans="1:8">
      <c r="A35" s="269">
        <v>1</v>
      </c>
      <c r="B35" s="1282" t="s">
        <v>967</v>
      </c>
      <c r="C35" s="1282"/>
      <c r="D35" s="1282"/>
      <c r="E35" s="1282"/>
      <c r="F35" s="1282"/>
      <c r="G35" s="1282"/>
      <c r="H35" s="1282"/>
    </row>
    <row r="36" spans="1:8">
      <c r="B36" s="1282"/>
      <c r="C36" s="1282"/>
      <c r="D36" s="1282"/>
      <c r="E36" s="1282"/>
      <c r="F36" s="1282"/>
      <c r="G36" s="1282"/>
      <c r="H36" s="1282"/>
    </row>
    <row r="38" spans="1:8" ht="12.75" customHeight="1">
      <c r="A38" s="269">
        <v>2</v>
      </c>
      <c r="B38" s="1398" t="s">
        <v>968</v>
      </c>
      <c r="C38" s="1398"/>
      <c r="D38" s="1398"/>
      <c r="E38" s="1398"/>
      <c r="F38" s="1398"/>
      <c r="G38" s="1398"/>
      <c r="H38" s="1398"/>
    </row>
    <row r="39" spans="1:8">
      <c r="B39" s="1398"/>
      <c r="C39" s="1398"/>
      <c r="D39" s="1398"/>
      <c r="E39" s="1398"/>
      <c r="F39" s="1398"/>
      <c r="G39" s="1398"/>
      <c r="H39" s="1398"/>
    </row>
    <row r="40" spans="1:8">
      <c r="B40" s="1398"/>
      <c r="C40" s="1398"/>
      <c r="D40" s="1398"/>
      <c r="E40" s="1398"/>
      <c r="F40" s="1398"/>
      <c r="G40" s="1398"/>
      <c r="H40" s="1398"/>
    </row>
    <row r="41" spans="1:8" ht="18" customHeight="1">
      <c r="B41" s="537"/>
    </row>
    <row r="43" spans="1:8">
      <c r="A43" s="269">
        <v>3</v>
      </c>
      <c r="B43" s="1282" t="s">
        <v>969</v>
      </c>
      <c r="C43" s="1282"/>
      <c r="D43" s="1282"/>
      <c r="E43" s="1282"/>
      <c r="F43" s="1282"/>
      <c r="G43" s="1282"/>
      <c r="H43" s="1282"/>
    </row>
    <row r="44" spans="1:8">
      <c r="B44" s="1282"/>
      <c r="C44" s="1282"/>
      <c r="D44" s="1282"/>
      <c r="E44" s="1282"/>
      <c r="F44" s="1282"/>
      <c r="G44" s="1282"/>
      <c r="H44" s="1282"/>
    </row>
    <row r="45" spans="1:8">
      <c r="B45" s="1282"/>
      <c r="C45" s="1282"/>
      <c r="D45" s="1282"/>
      <c r="E45" s="1282"/>
      <c r="F45" s="1282"/>
      <c r="G45" s="1282"/>
      <c r="H45" s="1282"/>
    </row>
    <row r="46" spans="1:8">
      <c r="B46" s="1282"/>
      <c r="C46" s="1282"/>
      <c r="D46" s="1282"/>
      <c r="E46" s="1282"/>
      <c r="F46" s="1282"/>
      <c r="G46" s="1282"/>
      <c r="H46" s="1282"/>
    </row>
    <row r="47" spans="1:8">
      <c r="B47" s="831"/>
    </row>
    <row r="49" spans="2:8">
      <c r="B49" s="1282" t="s">
        <v>970</v>
      </c>
      <c r="C49" s="1282"/>
      <c r="D49" s="1282"/>
      <c r="E49" s="1282"/>
      <c r="F49" s="1282"/>
      <c r="G49" s="1282"/>
      <c r="H49" s="1282"/>
    </row>
    <row r="50" spans="2:8">
      <c r="B50" s="1282"/>
      <c r="C50" s="1282"/>
      <c r="D50" s="1282"/>
      <c r="E50" s="1282"/>
      <c r="F50" s="1282"/>
      <c r="G50" s="1282"/>
      <c r="H50" s="1282"/>
    </row>
    <row r="51" spans="2:8">
      <c r="B51" s="1282"/>
      <c r="C51" s="1282"/>
      <c r="D51" s="1282"/>
      <c r="E51" s="1282"/>
      <c r="F51" s="1282"/>
      <c r="G51" s="1282"/>
      <c r="H51" s="1282"/>
    </row>
    <row r="52" spans="2:8">
      <c r="B52" s="1282"/>
      <c r="C52" s="1282"/>
      <c r="D52" s="1282"/>
      <c r="E52" s="1282"/>
      <c r="F52" s="1282"/>
      <c r="G52" s="1282"/>
      <c r="H52" s="1282"/>
    </row>
    <row r="54" spans="2:8">
      <c r="B54" t="s">
        <v>971</v>
      </c>
      <c r="C54" s="1282" t="s">
        <v>972</v>
      </c>
      <c r="D54" s="1282"/>
      <c r="E54" s="1282"/>
      <c r="F54" s="1282"/>
      <c r="G54" s="1282"/>
      <c r="H54" s="1282"/>
    </row>
    <row r="55" spans="2:8">
      <c r="C55" s="1282"/>
      <c r="D55" s="1282"/>
      <c r="E55" s="1282"/>
      <c r="F55" s="1282"/>
      <c r="G55" s="1282"/>
      <c r="H55" s="1282"/>
    </row>
    <row r="57" spans="2:8">
      <c r="B57" t="s">
        <v>973</v>
      </c>
      <c r="C57" s="1228" t="s">
        <v>974</v>
      </c>
      <c r="D57" s="1228"/>
      <c r="E57" s="1228"/>
      <c r="F57" s="1228"/>
      <c r="G57" s="1228"/>
      <c r="H57" s="1228"/>
    </row>
    <row r="58" spans="2:8">
      <c r="C58" s="1228"/>
      <c r="D58" s="1228"/>
      <c r="E58" s="1228"/>
      <c r="F58" s="1228"/>
      <c r="G58" s="1228"/>
      <c r="H58" s="1228"/>
    </row>
    <row r="59" spans="2:8">
      <c r="C59" s="1228"/>
      <c r="D59" s="1228"/>
      <c r="E59" s="1228"/>
      <c r="F59" s="1228"/>
      <c r="G59" s="1228"/>
      <c r="H59" s="1228"/>
    </row>
    <row r="60" spans="2:8">
      <c r="C60" s="1228"/>
      <c r="D60" s="1228"/>
      <c r="E60" s="1228"/>
      <c r="F60" s="1228"/>
      <c r="G60" s="1228"/>
      <c r="H60" s="1228"/>
    </row>
    <row r="62" spans="2:8">
      <c r="B62" t="s">
        <v>975</v>
      </c>
      <c r="C62" s="1228" t="s">
        <v>976</v>
      </c>
      <c r="D62" s="1228"/>
      <c r="E62" s="1228"/>
      <c r="F62" s="1228"/>
      <c r="G62" s="1228"/>
      <c r="H62" s="1228"/>
    </row>
    <row r="63" spans="2:8">
      <c r="C63" s="1228"/>
      <c r="D63" s="1228"/>
      <c r="E63" s="1228"/>
      <c r="F63" s="1228"/>
      <c r="G63" s="1228"/>
      <c r="H63" s="1228"/>
    </row>
    <row r="64" spans="2:8">
      <c r="C64" s="1228"/>
      <c r="D64" s="1228"/>
      <c r="E64" s="1228"/>
      <c r="F64" s="1228"/>
      <c r="G64" s="1228"/>
      <c r="H64" s="1228"/>
    </row>
    <row r="66" spans="1:8">
      <c r="A66" s="1416" t="s">
        <v>977</v>
      </c>
      <c r="B66" s="1417"/>
      <c r="C66" s="1417"/>
      <c r="D66" s="1417"/>
      <c r="E66" s="1417"/>
      <c r="F66" s="1417"/>
      <c r="G66" s="1417"/>
      <c r="H66" s="1417"/>
    </row>
    <row r="67" spans="1:8">
      <c r="A67" s="1417"/>
      <c r="B67" s="1417"/>
      <c r="C67" s="1417"/>
      <c r="D67" s="1417"/>
      <c r="E67" s="1417"/>
      <c r="F67" s="1417"/>
      <c r="G67" s="1417"/>
      <c r="H67" s="1417"/>
    </row>
    <row r="69" spans="1:8">
      <c r="A69" s="269">
        <v>1</v>
      </c>
      <c r="B69" s="1282" t="s">
        <v>967</v>
      </c>
      <c r="C69" s="1282"/>
      <c r="D69" s="1282"/>
      <c r="E69" s="1282"/>
      <c r="F69" s="1282"/>
      <c r="G69" s="1282"/>
      <c r="H69" s="1282"/>
    </row>
    <row r="70" spans="1:8">
      <c r="A70" s="269"/>
      <c r="B70" s="1282"/>
      <c r="C70" s="1282"/>
      <c r="D70" s="1282"/>
      <c r="E70" s="1282"/>
      <c r="F70" s="1282"/>
      <c r="G70" s="1282"/>
      <c r="H70" s="1282"/>
    </row>
    <row r="71" spans="1:8">
      <c r="A71" s="269"/>
      <c r="B71" s="1418" t="s">
        <v>978</v>
      </c>
      <c r="C71" s="1418"/>
      <c r="D71" s="1418"/>
      <c r="E71" s="1418"/>
      <c r="F71" s="1418"/>
      <c r="G71" s="1418"/>
      <c r="H71" s="831"/>
    </row>
    <row r="72" spans="1:8">
      <c r="A72" s="269"/>
    </row>
    <row r="73" spans="1:8" ht="12.75" customHeight="1">
      <c r="A73" s="269">
        <v>2</v>
      </c>
      <c r="B73" s="1230" t="s">
        <v>979</v>
      </c>
      <c r="C73" s="1230"/>
      <c r="D73" s="1230"/>
      <c r="E73" s="1230"/>
      <c r="F73" s="1230"/>
      <c r="G73" s="1230"/>
      <c r="H73" s="1230"/>
    </row>
    <row r="74" spans="1:8">
      <c r="A74" s="269"/>
      <c r="B74" s="1230"/>
      <c r="C74" s="1230"/>
      <c r="D74" s="1230"/>
      <c r="E74" s="1230"/>
      <c r="F74" s="1230"/>
      <c r="G74" s="1230"/>
      <c r="H74" s="1230"/>
    </row>
    <row r="75" spans="1:8">
      <c r="A75" s="269"/>
      <c r="B75" s="1230"/>
      <c r="C75" s="1230"/>
      <c r="D75" s="1230"/>
      <c r="E75" s="1230"/>
      <c r="F75" s="1230"/>
      <c r="G75" s="1230"/>
      <c r="H75" s="1230"/>
    </row>
    <row r="76" spans="1:8">
      <c r="A76" s="269"/>
      <c r="B76" s="1418" t="s">
        <v>980</v>
      </c>
      <c r="C76" s="1418"/>
      <c r="D76" s="1418"/>
      <c r="E76" s="1418"/>
      <c r="F76" s="1418"/>
      <c r="G76" s="1418"/>
      <c r="H76" s="303"/>
    </row>
    <row r="77" spans="1:8" s="302" customFormat="1">
      <c r="A77" s="832"/>
      <c r="B77" s="833"/>
      <c r="C77" s="833"/>
      <c r="D77" s="833"/>
      <c r="E77" s="833"/>
      <c r="F77" s="833"/>
      <c r="G77" s="833"/>
      <c r="H77" s="834"/>
    </row>
    <row r="78" spans="1:8">
      <c r="A78" s="269">
        <v>3</v>
      </c>
      <c r="B78" s="1282" t="s">
        <v>981</v>
      </c>
      <c r="C78" s="1282"/>
      <c r="D78" s="1282"/>
      <c r="E78" s="1282"/>
      <c r="F78" s="1282"/>
      <c r="G78" s="1282"/>
      <c r="H78" s="1282"/>
    </row>
    <row r="79" spans="1:8">
      <c r="A79" s="269"/>
      <c r="B79" s="1282"/>
      <c r="C79" s="1282"/>
      <c r="D79" s="1282"/>
      <c r="E79" s="1282"/>
      <c r="F79" s="1282"/>
      <c r="G79" s="1282"/>
      <c r="H79" s="1282"/>
    </row>
    <row r="80" spans="1:8">
      <c r="A80" s="269"/>
      <c r="B80" s="1282"/>
      <c r="C80" s="1282"/>
      <c r="D80" s="1282"/>
      <c r="E80" s="1282"/>
      <c r="F80" s="1282"/>
      <c r="G80" s="1282"/>
      <c r="H80" s="1282"/>
    </row>
    <row r="81" spans="1:8">
      <c r="A81" s="269"/>
      <c r="B81" s="1418" t="s">
        <v>978</v>
      </c>
      <c r="C81" s="1418"/>
      <c r="D81" s="1418"/>
      <c r="E81" s="1418"/>
      <c r="F81" s="1418"/>
      <c r="G81" s="1418"/>
    </row>
    <row r="82" spans="1:8">
      <c r="A82" s="269"/>
    </row>
    <row r="83" spans="1:8">
      <c r="A83" s="269">
        <v>4</v>
      </c>
      <c r="B83" s="1282" t="s">
        <v>982</v>
      </c>
      <c r="C83" s="1282"/>
      <c r="D83" s="1282"/>
      <c r="E83" s="1282"/>
      <c r="F83" s="1282"/>
      <c r="G83" s="1282"/>
      <c r="H83" s="1282"/>
    </row>
    <row r="84" spans="1:8">
      <c r="A84" s="269"/>
      <c r="B84" s="1282"/>
      <c r="C84" s="1282"/>
      <c r="D84" s="1282"/>
      <c r="E84" s="1282"/>
      <c r="F84" s="1282"/>
      <c r="G84" s="1282"/>
      <c r="H84" s="1282"/>
    </row>
    <row r="85" spans="1:8">
      <c r="A85" s="269"/>
      <c r="B85" s="1282"/>
      <c r="C85" s="1282"/>
      <c r="D85" s="1282"/>
      <c r="E85" s="1282"/>
      <c r="F85" s="1282"/>
      <c r="G85" s="1282"/>
      <c r="H85" s="1282"/>
    </row>
    <row r="86" spans="1:8">
      <c r="A86" s="269"/>
      <c r="B86" s="1418" t="s">
        <v>983</v>
      </c>
      <c r="C86" s="1418"/>
      <c r="D86" s="1418"/>
      <c r="E86" s="1418"/>
      <c r="F86" s="1418"/>
      <c r="G86" s="1418"/>
    </row>
    <row r="87" spans="1:8">
      <c r="A87" s="269"/>
    </row>
    <row r="88" spans="1:8">
      <c r="A88" s="269">
        <v>5</v>
      </c>
      <c r="B88" s="1282" t="s">
        <v>984</v>
      </c>
      <c r="C88" s="1282"/>
      <c r="D88" s="1282"/>
      <c r="E88" s="1282"/>
      <c r="F88" s="1282"/>
      <c r="G88" s="1282"/>
      <c r="H88" s="1282"/>
    </row>
    <row r="89" spans="1:8">
      <c r="A89" s="269"/>
      <c r="B89" s="1282"/>
      <c r="C89" s="1282"/>
      <c r="D89" s="1282"/>
      <c r="E89" s="1282"/>
      <c r="F89" s="1282"/>
      <c r="G89" s="1282"/>
      <c r="H89" s="1282"/>
    </row>
    <row r="90" spans="1:8">
      <c r="A90" s="269"/>
      <c r="B90" s="1282"/>
      <c r="C90" s="1282"/>
      <c r="D90" s="1282"/>
      <c r="E90" s="1282"/>
      <c r="F90" s="1282"/>
      <c r="G90" s="1282"/>
      <c r="H90" s="1282"/>
    </row>
    <row r="91" spans="1:8">
      <c r="A91" s="269"/>
      <c r="B91" s="1418" t="s">
        <v>978</v>
      </c>
      <c r="C91" s="1418"/>
      <c r="D91" s="1418"/>
      <c r="E91" s="1418"/>
      <c r="F91" s="1418"/>
      <c r="G91" s="1418"/>
    </row>
    <row r="92" spans="1:8">
      <c r="A92" s="269"/>
    </row>
    <row r="93" spans="1:8">
      <c r="A93" s="269">
        <v>6</v>
      </c>
      <c r="B93" s="1282" t="s">
        <v>985</v>
      </c>
      <c r="C93" s="1282"/>
      <c r="D93" s="1282"/>
      <c r="E93" s="1282"/>
      <c r="F93" s="1282"/>
      <c r="G93" s="1282"/>
      <c r="H93" s="1282"/>
    </row>
    <row r="94" spans="1:8">
      <c r="A94" s="269"/>
      <c r="B94" s="1282"/>
      <c r="C94" s="1282"/>
      <c r="D94" s="1282"/>
      <c r="E94" s="1282"/>
      <c r="F94" s="1282"/>
      <c r="G94" s="1282"/>
      <c r="H94" s="1282"/>
    </row>
    <row r="95" spans="1:8" ht="25.5" customHeight="1">
      <c r="B95" s="1418" t="s">
        <v>978</v>
      </c>
      <c r="C95" s="1418"/>
      <c r="D95" s="1418"/>
      <c r="E95" s="1418"/>
      <c r="F95" s="1418"/>
      <c r="G95" s="1418"/>
    </row>
    <row r="96" spans="1:8" ht="12.75" customHeight="1">
      <c r="A96" s="1278" t="s">
        <v>986</v>
      </c>
      <c r="B96" s="1278"/>
      <c r="C96" s="1278"/>
      <c r="D96" s="1278"/>
      <c r="E96" s="1278"/>
      <c r="F96" s="1278"/>
      <c r="G96" s="1278"/>
      <c r="H96" s="1278"/>
    </row>
    <row r="97" spans="1:8">
      <c r="A97" s="1278"/>
      <c r="B97" s="1278"/>
      <c r="C97" s="1278"/>
      <c r="D97" s="1278"/>
      <c r="E97" s="1278"/>
      <c r="F97" s="1278"/>
      <c r="G97" s="1278"/>
      <c r="H97" s="1278"/>
    </row>
    <row r="98" spans="1:8">
      <c r="A98" s="1278"/>
      <c r="B98" s="1278"/>
      <c r="C98" s="1278"/>
      <c r="D98" s="1278"/>
      <c r="E98" s="1278"/>
      <c r="F98" s="1278"/>
      <c r="G98" s="1278"/>
      <c r="H98" s="1278"/>
    </row>
    <row r="99" spans="1:8">
      <c r="A99" s="1278"/>
      <c r="B99" s="1278"/>
      <c r="C99" s="1278"/>
      <c r="D99" s="1278"/>
      <c r="E99" s="1278"/>
      <c r="F99" s="1278"/>
      <c r="G99" s="1278"/>
      <c r="H99" s="1278"/>
    </row>
  </sheetData>
  <mergeCells count="25">
    <mergeCell ref="A96:H99"/>
    <mergeCell ref="B83:H85"/>
    <mergeCell ref="B86:G86"/>
    <mergeCell ref="B88:H90"/>
    <mergeCell ref="B91:G91"/>
    <mergeCell ref="B93:H94"/>
    <mergeCell ref="B95:G95"/>
    <mergeCell ref="B81:G81"/>
    <mergeCell ref="B43:H46"/>
    <mergeCell ref="B49:H52"/>
    <mergeCell ref="C54:H55"/>
    <mergeCell ref="C57:H60"/>
    <mergeCell ref="C62:H64"/>
    <mergeCell ref="A66:H67"/>
    <mergeCell ref="B69:H70"/>
    <mergeCell ref="B71:G71"/>
    <mergeCell ref="B73:H75"/>
    <mergeCell ref="B76:G76"/>
    <mergeCell ref="B78:H80"/>
    <mergeCell ref="B38:H40"/>
    <mergeCell ref="A9:H9"/>
    <mergeCell ref="A10:H10"/>
    <mergeCell ref="A27:H30"/>
    <mergeCell ref="A32:H33"/>
    <mergeCell ref="B35:H36"/>
  </mergeCells>
  <dataValidations count="1">
    <dataValidation allowBlank="1" showInputMessage="1" showErrorMessage="1" promptTitle="Date Format" prompt="E.g:  &quot;August 1, 2011&quot;" sqref="H7"/>
  </dataValidations>
  <pageMargins left="0.74803149606299213" right="0.74803149606299213" top="0.98425196850393704" bottom="0.98425196850393704" header="0.51181102362204722" footer="0.51181102362204722"/>
  <pageSetup scale="80" fitToHeight="0" orientation="portrait" r:id="rId1"/>
  <headerFooter alignWithMargins="0"/>
</worksheet>
</file>

<file path=xl/worksheets/sheet29.xml><?xml version="1.0" encoding="utf-8"?>
<worksheet xmlns="http://schemas.openxmlformats.org/spreadsheetml/2006/main" xmlns:r="http://schemas.openxmlformats.org/officeDocument/2006/relationships">
  <sheetPr>
    <pageSetUpPr fitToPage="1"/>
  </sheetPr>
  <dimension ref="A1:G113"/>
  <sheetViews>
    <sheetView showGridLines="0" zoomScaleNormal="100" workbookViewId="0">
      <selection activeCell="J24" sqref="J24"/>
    </sheetView>
  </sheetViews>
  <sheetFormatPr defaultRowHeight="12.75"/>
  <cols>
    <col min="1" max="1" width="5" customWidth="1"/>
    <col min="2" max="2" width="62" customWidth="1"/>
    <col min="3" max="3" width="12.7109375" bestFit="1" customWidth="1"/>
    <col min="4" max="4" width="1.7109375" customWidth="1"/>
    <col min="5" max="5" width="16.7109375" customWidth="1"/>
    <col min="6" max="6" width="15.5703125" bestFit="1" customWidth="1"/>
  </cols>
  <sheetData>
    <row r="1" spans="1:6">
      <c r="C1" s="268" t="s">
        <v>131</v>
      </c>
      <c r="E1" s="236" t="str">
        <f>'LDC Info'!$E$18</f>
        <v>EB-2012-0126</v>
      </c>
      <c r="F1" s="302"/>
    </row>
    <row r="2" spans="1:6">
      <c r="C2" s="268" t="s">
        <v>132</v>
      </c>
      <c r="E2" s="237"/>
      <c r="F2" s="302"/>
    </row>
    <row r="3" spans="1:6">
      <c r="C3" s="268" t="s">
        <v>133</v>
      </c>
      <c r="E3" s="237"/>
      <c r="F3" s="302"/>
    </row>
    <row r="4" spans="1:6">
      <c r="C4" s="268" t="s">
        <v>134</v>
      </c>
      <c r="E4" s="237"/>
      <c r="F4" s="302"/>
    </row>
    <row r="5" spans="1:6">
      <c r="C5" s="268" t="s">
        <v>135</v>
      </c>
      <c r="E5" s="238"/>
      <c r="F5" s="302"/>
    </row>
    <row r="6" spans="1:6">
      <c r="C6" s="268"/>
      <c r="E6" s="236"/>
      <c r="F6" s="302"/>
    </row>
    <row r="7" spans="1:6">
      <c r="C7" s="268" t="s">
        <v>136</v>
      </c>
      <c r="E7" s="238" t="s">
        <v>1171</v>
      </c>
      <c r="F7" s="302"/>
    </row>
    <row r="9" spans="1:6" ht="18">
      <c r="A9" s="1215" t="s">
        <v>987</v>
      </c>
      <c r="B9" s="1215"/>
      <c r="C9" s="1215"/>
      <c r="D9" s="1215"/>
      <c r="E9" s="1215"/>
    </row>
    <row r="10" spans="1:6" ht="18">
      <c r="A10" s="1215" t="s">
        <v>988</v>
      </c>
      <c r="B10" s="1215"/>
      <c r="C10" s="1215"/>
      <c r="D10" s="1215"/>
      <c r="E10" s="1215"/>
    </row>
    <row r="12" spans="1:6" ht="27" customHeight="1">
      <c r="A12" s="1228" t="s">
        <v>989</v>
      </c>
      <c r="B12" s="1228"/>
      <c r="C12" s="1228"/>
      <c r="D12" s="1228"/>
      <c r="E12" s="1228"/>
    </row>
    <row r="13" spans="1:6" ht="13.5" thickBot="1"/>
    <row r="14" spans="1:6">
      <c r="A14" s="1422" t="s">
        <v>990</v>
      </c>
      <c r="B14" s="1423"/>
      <c r="C14" s="1423"/>
      <c r="D14" s="835"/>
      <c r="E14" s="836" t="s">
        <v>991</v>
      </c>
    </row>
    <row r="15" spans="1:6">
      <c r="A15" s="1424"/>
      <c r="B15" s="1425"/>
      <c r="C15" s="1425"/>
      <c r="D15" s="346"/>
      <c r="E15" s="837" t="s">
        <v>992</v>
      </c>
    </row>
    <row r="16" spans="1:6">
      <c r="A16" s="1426"/>
      <c r="B16" s="1427"/>
      <c r="C16" s="1427"/>
      <c r="D16" s="346"/>
      <c r="E16" s="838">
        <v>2011</v>
      </c>
    </row>
    <row r="17" spans="1:5" ht="51.75" customHeight="1">
      <c r="A17" s="1428" t="s">
        <v>993</v>
      </c>
      <c r="B17" s="1429"/>
      <c r="C17" s="1430"/>
      <c r="D17" s="839"/>
      <c r="E17" s="248" t="s">
        <v>818</v>
      </c>
    </row>
    <row r="18" spans="1:5" ht="51" customHeight="1">
      <c r="A18" s="1431" t="s">
        <v>994</v>
      </c>
      <c r="B18" s="1432"/>
      <c r="C18" s="1433"/>
      <c r="D18" s="839"/>
      <c r="E18" s="248" t="s">
        <v>818</v>
      </c>
    </row>
    <row r="19" spans="1:5" ht="30" customHeight="1">
      <c r="A19" s="1428" t="s">
        <v>995</v>
      </c>
      <c r="B19" s="1429"/>
      <c r="C19" s="1430"/>
      <c r="D19" s="839"/>
      <c r="E19" s="840">
        <v>-16421.68</v>
      </c>
    </row>
    <row r="20" spans="1:5" ht="30" customHeight="1">
      <c r="A20" s="1434" t="s">
        <v>996</v>
      </c>
      <c r="B20" s="1420"/>
      <c r="C20" s="1421"/>
      <c r="D20" s="839"/>
      <c r="E20" s="840">
        <v>-57733.4</v>
      </c>
    </row>
    <row r="21" spans="1:5" ht="29.25" customHeight="1">
      <c r="A21" s="1431" t="s">
        <v>997</v>
      </c>
      <c r="B21" s="1432"/>
      <c r="C21" s="1433"/>
      <c r="D21" s="839"/>
      <c r="E21" s="840">
        <v>-7994.47</v>
      </c>
    </row>
    <row r="22" spans="1:5" ht="13.5" customHeight="1">
      <c r="A22" s="1435" t="s">
        <v>998</v>
      </c>
      <c r="B22" s="1429"/>
      <c r="C22" s="1430"/>
      <c r="D22" s="839"/>
      <c r="E22" s="248" t="s">
        <v>818</v>
      </c>
    </row>
    <row r="23" spans="1:5" ht="13.5" customHeight="1">
      <c r="A23" s="1419" t="s">
        <v>999</v>
      </c>
      <c r="B23" s="1420"/>
      <c r="C23" s="1421"/>
      <c r="D23" s="839"/>
      <c r="E23" s="248" t="s">
        <v>818</v>
      </c>
    </row>
    <row r="24" spans="1:5" ht="13.5" customHeight="1">
      <c r="A24" s="1419" t="s">
        <v>1000</v>
      </c>
      <c r="B24" s="1420"/>
      <c r="C24" s="1421"/>
      <c r="D24" s="839"/>
      <c r="E24" s="248" t="s">
        <v>818</v>
      </c>
    </row>
    <row r="25" spans="1:5" ht="13.5" customHeight="1">
      <c r="A25" s="1437" t="s">
        <v>1001</v>
      </c>
      <c r="B25" s="1432"/>
      <c r="C25" s="1433"/>
      <c r="D25" s="839"/>
      <c r="E25" s="248" t="s">
        <v>818</v>
      </c>
    </row>
    <row r="26" spans="1:5" ht="13.5" customHeight="1">
      <c r="A26" s="1435" t="s">
        <v>1002</v>
      </c>
      <c r="B26" s="1429"/>
      <c r="C26" s="1430"/>
      <c r="D26" s="839"/>
      <c r="E26" s="248" t="s">
        <v>818</v>
      </c>
    </row>
    <row r="27" spans="1:5" ht="13.5" customHeight="1">
      <c r="A27" s="1437" t="s">
        <v>1003</v>
      </c>
      <c r="B27" s="1432"/>
      <c r="C27" s="1433"/>
      <c r="D27" s="839"/>
      <c r="E27" s="248" t="s">
        <v>818</v>
      </c>
    </row>
    <row r="28" spans="1:5" ht="13.5" customHeight="1">
      <c r="A28" s="1431" t="s">
        <v>1004</v>
      </c>
      <c r="B28" s="1432"/>
      <c r="C28" s="1433"/>
      <c r="D28" s="839"/>
      <c r="E28" s="248" t="s">
        <v>818</v>
      </c>
    </row>
    <row r="29" spans="1:5" ht="27" customHeight="1">
      <c r="A29" s="1437" t="s">
        <v>1005</v>
      </c>
      <c r="B29" s="1432"/>
      <c r="C29" s="1433"/>
      <c r="D29" s="839"/>
      <c r="E29" s="248" t="s">
        <v>818</v>
      </c>
    </row>
    <row r="30" spans="1:5" ht="27" customHeight="1" thickBot="1">
      <c r="A30" s="1438" t="s">
        <v>1006</v>
      </c>
      <c r="B30" s="1439"/>
      <c r="C30" s="1440"/>
      <c r="D30" s="839"/>
      <c r="E30" s="841">
        <v>-31400</v>
      </c>
    </row>
    <row r="31" spans="1:5" ht="14.25" thickTop="1" thickBot="1">
      <c r="A31" s="1438" t="s">
        <v>1007</v>
      </c>
      <c r="B31" s="1439"/>
      <c r="C31" s="1440"/>
      <c r="D31" s="839"/>
      <c r="E31" s="842">
        <v>-5991</v>
      </c>
    </row>
    <row r="32" spans="1:5" ht="14.25" thickTop="1" thickBot="1">
      <c r="A32" s="1441" t="s">
        <v>267</v>
      </c>
      <c r="B32" s="1442"/>
      <c r="C32" s="1443"/>
      <c r="D32" s="843"/>
      <c r="E32" s="844">
        <f>SUM(E17:E31)</f>
        <v>-119540.55</v>
      </c>
    </row>
    <row r="34" spans="1:7">
      <c r="A34" s="21" t="s">
        <v>270</v>
      </c>
      <c r="B34" s="21"/>
      <c r="C34" s="21"/>
      <c r="D34" s="10"/>
      <c r="E34" s="10"/>
    </row>
    <row r="35" spans="1:7">
      <c r="A35" s="10"/>
      <c r="B35" s="10"/>
      <c r="C35" s="10"/>
      <c r="D35" s="10"/>
      <c r="E35" s="10"/>
    </row>
    <row r="36" spans="1:7" ht="13.5" customHeight="1">
      <c r="A36" s="1436">
        <v>1</v>
      </c>
      <c r="B36" s="1101" t="s">
        <v>1008</v>
      </c>
      <c r="C36" s="1230"/>
      <c r="D36" s="1230"/>
      <c r="E36" s="1230"/>
      <c r="F36" s="845"/>
    </row>
    <row r="37" spans="1:7">
      <c r="A37" s="1436"/>
      <c r="B37" s="1230"/>
      <c r="C37" s="1230"/>
      <c r="D37" s="1230"/>
      <c r="E37" s="1230"/>
      <c r="F37" s="15"/>
    </row>
    <row r="38" spans="1:7" ht="25.5" customHeight="1">
      <c r="A38" s="452"/>
      <c r="B38" s="1444" t="s">
        <v>1009</v>
      </c>
      <c r="C38" s="1444"/>
      <c r="D38" s="1444"/>
      <c r="E38" s="1444"/>
      <c r="F38" s="15"/>
    </row>
    <row r="39" spans="1:7">
      <c r="A39" s="451"/>
      <c r="B39" s="10"/>
      <c r="C39" s="10"/>
      <c r="D39" s="10"/>
      <c r="E39" s="10"/>
    </row>
    <row r="40" spans="1:7">
      <c r="A40" s="1436">
        <v>2</v>
      </c>
      <c r="B40" s="1101" t="s">
        <v>1010</v>
      </c>
      <c r="C40" s="1101"/>
      <c r="D40" s="1101"/>
      <c r="E40" s="1101"/>
      <c r="F40" s="269"/>
    </row>
    <row r="41" spans="1:7">
      <c r="A41" s="1436"/>
      <c r="B41" s="846" t="s">
        <v>1011</v>
      </c>
      <c r="C41" s="847"/>
      <c r="D41" s="847"/>
      <c r="E41" s="847"/>
      <c r="F41" s="269"/>
    </row>
    <row r="42" spans="1:7">
      <c r="A42" s="1436"/>
      <c r="B42" s="10"/>
      <c r="C42" s="10"/>
      <c r="D42" s="10"/>
      <c r="E42" s="10"/>
    </row>
    <row r="43" spans="1:7" ht="12.75" customHeight="1">
      <c r="A43" s="1436">
        <v>3</v>
      </c>
      <c r="B43" s="1398" t="s">
        <v>1012</v>
      </c>
      <c r="C43" s="1398"/>
      <c r="D43" s="1398"/>
      <c r="E43" s="1398"/>
      <c r="F43" s="15"/>
    </row>
    <row r="44" spans="1:7">
      <c r="A44" s="1436"/>
      <c r="B44" s="1398"/>
      <c r="C44" s="1398"/>
      <c r="D44" s="1398"/>
      <c r="E44" s="1398"/>
      <c r="F44" s="15"/>
    </row>
    <row r="45" spans="1:7" ht="17.25" customHeight="1">
      <c r="A45" s="452"/>
      <c r="B45" s="846" t="s">
        <v>1011</v>
      </c>
      <c r="F45" s="15"/>
    </row>
    <row r="46" spans="1:7">
      <c r="A46" s="451"/>
      <c r="B46" s="10"/>
      <c r="C46" s="10"/>
      <c r="D46" s="10"/>
      <c r="E46" s="10"/>
    </row>
    <row r="47" spans="1:7" ht="12.75" customHeight="1">
      <c r="A47" s="1436">
        <v>4</v>
      </c>
      <c r="B47" s="1398" t="s">
        <v>1013</v>
      </c>
      <c r="C47" s="1398"/>
      <c r="D47" s="1398"/>
      <c r="E47" s="1398"/>
      <c r="F47" s="15"/>
      <c r="G47" s="15"/>
    </row>
    <row r="48" spans="1:7">
      <c r="A48" s="1436"/>
      <c r="B48" s="1230"/>
      <c r="C48" s="1230"/>
      <c r="D48" s="1230"/>
      <c r="E48" s="1230"/>
      <c r="F48" s="15"/>
      <c r="G48" s="15"/>
    </row>
    <row r="49" spans="1:7">
      <c r="A49" s="452"/>
      <c r="B49" s="1445" t="s">
        <v>1014</v>
      </c>
      <c r="C49" s="1445"/>
      <c r="D49" s="1445"/>
      <c r="E49" s="1445"/>
      <c r="F49" s="15"/>
      <c r="G49" s="15"/>
    </row>
    <row r="50" spans="1:7" ht="12.75" customHeight="1">
      <c r="A50" s="451"/>
      <c r="B50" s="303"/>
      <c r="C50" s="303"/>
      <c r="D50" s="303"/>
      <c r="E50" s="303"/>
      <c r="F50" s="15"/>
      <c r="G50" s="15"/>
    </row>
    <row r="51" spans="1:7">
      <c r="A51" s="1446">
        <v>5</v>
      </c>
      <c r="B51" s="1398" t="s">
        <v>1015</v>
      </c>
      <c r="C51" s="1398"/>
      <c r="D51" s="1398"/>
      <c r="E51" s="1398"/>
      <c r="F51" s="15"/>
      <c r="G51" s="15"/>
    </row>
    <row r="52" spans="1:7">
      <c r="A52" s="1446"/>
      <c r="B52" s="1398"/>
      <c r="C52" s="1398"/>
      <c r="D52" s="1398"/>
      <c r="E52" s="1398"/>
      <c r="F52" s="15"/>
      <c r="G52" s="15"/>
    </row>
    <row r="53" spans="1:7">
      <c r="A53" s="1446"/>
      <c r="B53" s="1230"/>
      <c r="C53" s="1230"/>
      <c r="D53" s="1230"/>
      <c r="E53" s="1230"/>
      <c r="F53" s="15"/>
      <c r="G53" s="15"/>
    </row>
    <row r="54" spans="1:7">
      <c r="A54" s="1446"/>
      <c r="B54" s="1230"/>
      <c r="C54" s="1230"/>
      <c r="D54" s="1230"/>
      <c r="E54" s="1230"/>
      <c r="F54" s="15"/>
      <c r="G54" s="15"/>
    </row>
    <row r="55" spans="1:7" ht="25.5" customHeight="1">
      <c r="A55" s="848"/>
      <c r="B55" s="1444" t="s">
        <v>1016</v>
      </c>
      <c r="C55" s="1444"/>
      <c r="D55" s="1444"/>
      <c r="E55" s="1444"/>
      <c r="F55" s="15"/>
      <c r="G55" s="15"/>
    </row>
    <row r="56" spans="1:7">
      <c r="A56" s="451"/>
      <c r="B56" s="10"/>
      <c r="C56" s="10"/>
      <c r="D56" s="10"/>
      <c r="E56" s="10"/>
    </row>
    <row r="57" spans="1:7" ht="12.75" customHeight="1">
      <c r="A57" s="1436">
        <v>6</v>
      </c>
      <c r="B57" s="1398" t="s">
        <v>1017</v>
      </c>
      <c r="C57" s="1398"/>
      <c r="D57" s="1398"/>
      <c r="E57" s="1398"/>
      <c r="F57" s="15"/>
      <c r="G57" s="15"/>
    </row>
    <row r="58" spans="1:7">
      <c r="A58" s="1436"/>
      <c r="B58" s="1398"/>
      <c r="C58" s="1398"/>
      <c r="D58" s="1398"/>
      <c r="E58" s="1398"/>
      <c r="F58" s="15"/>
      <c r="G58" s="15"/>
    </row>
    <row r="60" spans="1:7" ht="12.75" customHeight="1">
      <c r="B60" s="849" t="s">
        <v>1018</v>
      </c>
    </row>
    <row r="63" spans="1:7">
      <c r="A63">
        <v>7</v>
      </c>
    </row>
    <row r="64" spans="1:7">
      <c r="B64" s="10" t="s">
        <v>1019</v>
      </c>
    </row>
    <row r="66" spans="1:6">
      <c r="D66" s="850"/>
      <c r="E66" s="851" t="s">
        <v>1020</v>
      </c>
      <c r="F66" s="851">
        <v>2007</v>
      </c>
    </row>
    <row r="67" spans="1:6">
      <c r="B67" s="10" t="s">
        <v>1021</v>
      </c>
      <c r="D67" s="850"/>
      <c r="E67" s="852">
        <v>71977864</v>
      </c>
      <c r="F67" s="852">
        <v>71977864</v>
      </c>
    </row>
    <row r="68" spans="1:6">
      <c r="B68" t="s">
        <v>1022</v>
      </c>
      <c r="D68" s="850"/>
      <c r="E68" s="853">
        <v>-10000000</v>
      </c>
      <c r="F68" s="853">
        <v>-12500000</v>
      </c>
    </row>
    <row r="69" spans="1:6">
      <c r="B69" t="s">
        <v>1023</v>
      </c>
      <c r="D69" s="850"/>
      <c r="E69" s="65">
        <f>SUM(E67:E68)</f>
        <v>61977864</v>
      </c>
      <c r="F69" s="65">
        <f>SUM(F67:F68)</f>
        <v>59477864</v>
      </c>
    </row>
    <row r="70" spans="1:6">
      <c r="B70" t="s">
        <v>1024</v>
      </c>
      <c r="D70" s="850"/>
      <c r="E70" s="854">
        <v>3.0000000000000001E-3</v>
      </c>
      <c r="F70" s="854">
        <v>2.8500000000000001E-3</v>
      </c>
    </row>
    <row r="71" spans="1:6" ht="13.5" thickBot="1">
      <c r="B71" t="s">
        <v>1025</v>
      </c>
      <c r="D71" s="850"/>
      <c r="E71" s="855">
        <f>+E69*E70</f>
        <v>185933.592</v>
      </c>
      <c r="F71" s="855">
        <f>+F69*F70</f>
        <v>169511.9124</v>
      </c>
    </row>
    <row r="72" spans="1:6" ht="13.5" thickBot="1">
      <c r="B72" s="10" t="s">
        <v>1026</v>
      </c>
      <c r="D72" s="850"/>
      <c r="E72" s="850"/>
      <c r="F72" s="856">
        <f>+F71-E71</f>
        <v>-16421.679600000003</v>
      </c>
    </row>
    <row r="73" spans="1:6" ht="13.5" thickTop="1"/>
    <row r="74" spans="1:6">
      <c r="A74">
        <v>8</v>
      </c>
    </row>
    <row r="75" spans="1:6">
      <c r="B75" s="10" t="s">
        <v>1027</v>
      </c>
    </row>
    <row r="76" spans="1:6">
      <c r="E76" s="851" t="s">
        <v>1020</v>
      </c>
      <c r="F76" s="851">
        <v>2008</v>
      </c>
    </row>
    <row r="77" spans="1:6">
      <c r="B77" s="10" t="s">
        <v>1021</v>
      </c>
      <c r="E77" s="852">
        <v>71977864</v>
      </c>
      <c r="F77" s="852">
        <v>71977864</v>
      </c>
    </row>
    <row r="78" spans="1:6">
      <c r="B78" t="s">
        <v>1022</v>
      </c>
      <c r="E78" s="853">
        <v>-10000000</v>
      </c>
      <c r="F78" s="853">
        <v>-15000000</v>
      </c>
    </row>
    <row r="79" spans="1:6">
      <c r="B79" t="s">
        <v>1023</v>
      </c>
      <c r="E79" s="65">
        <f>SUM(E77:E78)</f>
        <v>61977864</v>
      </c>
      <c r="F79" s="65">
        <f>SUM(F77:F78)</f>
        <v>56977864</v>
      </c>
    </row>
    <row r="80" spans="1:6">
      <c r="B80" t="s">
        <v>1024</v>
      </c>
      <c r="E80" s="854">
        <v>3.0000000000000001E-3</v>
      </c>
      <c r="F80" s="854">
        <v>2.2499999999999998E-3</v>
      </c>
    </row>
    <row r="81" spans="1:6" ht="13.5" thickBot="1">
      <c r="B81" t="s">
        <v>1025</v>
      </c>
      <c r="E81" s="855">
        <f>+E79*E80</f>
        <v>185933.592</v>
      </c>
      <c r="F81" s="855">
        <f>+F79*F80</f>
        <v>128200.19399999999</v>
      </c>
    </row>
    <row r="82" spans="1:6" ht="13.5" thickBot="1">
      <c r="B82" s="10" t="s">
        <v>1028</v>
      </c>
      <c r="E82" s="850"/>
      <c r="F82" s="856">
        <f>+F81-E81</f>
        <v>-57733.398000000016</v>
      </c>
    </row>
    <row r="83" spans="1:6" ht="13.5" thickTop="1"/>
    <row r="84" spans="1:6">
      <c r="A84">
        <v>9</v>
      </c>
    </row>
    <row r="85" spans="1:6">
      <c r="B85" s="10" t="s">
        <v>1029</v>
      </c>
    </row>
    <row r="86" spans="1:6">
      <c r="E86" s="851" t="s">
        <v>1020</v>
      </c>
      <c r="F86" s="851">
        <v>2009</v>
      </c>
    </row>
    <row r="87" spans="1:6">
      <c r="B87" t="s">
        <v>1030</v>
      </c>
      <c r="E87" s="852">
        <v>71977864</v>
      </c>
      <c r="F87" s="852">
        <v>71977864</v>
      </c>
    </row>
    <row r="88" spans="1:6">
      <c r="B88" t="s">
        <v>1022</v>
      </c>
      <c r="E88" s="853">
        <v>-10000000</v>
      </c>
      <c r="F88" s="857">
        <v>0</v>
      </c>
    </row>
    <row r="89" spans="1:6">
      <c r="B89" t="s">
        <v>1023</v>
      </c>
      <c r="E89" s="65">
        <f>SUM(E87:E88)</f>
        <v>61977864</v>
      </c>
      <c r="F89" s="65">
        <f>SUM(F87:F88)</f>
        <v>71977864</v>
      </c>
    </row>
    <row r="90" spans="1:6">
      <c r="B90" t="s">
        <v>1024</v>
      </c>
      <c r="E90" s="854">
        <v>3.0000000000000001E-3</v>
      </c>
      <c r="F90" s="854">
        <v>2.2499999999999998E-3</v>
      </c>
    </row>
    <row r="91" spans="1:6" ht="13.5" thickBot="1">
      <c r="B91" t="s">
        <v>1025</v>
      </c>
      <c r="E91" s="855">
        <f>+E89*E90</f>
        <v>185933.592</v>
      </c>
      <c r="F91" s="855">
        <f>+F89*F90</f>
        <v>161950.19399999999</v>
      </c>
    </row>
    <row r="92" spans="1:6" ht="13.5" thickBot="1">
      <c r="B92" s="10" t="s">
        <v>1031</v>
      </c>
      <c r="E92" s="850"/>
      <c r="F92" s="856">
        <f>+(F91-E91)/12*4</f>
        <v>-7994.4660000000049</v>
      </c>
    </row>
    <row r="93" spans="1:6" ht="13.5" thickTop="1"/>
    <row r="94" spans="1:6">
      <c r="A94">
        <v>10</v>
      </c>
    </row>
    <row r="95" spans="1:6">
      <c r="B95" s="10" t="s">
        <v>1032</v>
      </c>
    </row>
    <row r="96" spans="1:6">
      <c r="E96" s="851" t="s">
        <v>1020</v>
      </c>
      <c r="F96" s="851" t="s">
        <v>1033</v>
      </c>
    </row>
    <row r="97" spans="1:6">
      <c r="B97" s="10" t="s">
        <v>1034</v>
      </c>
      <c r="E97" s="852">
        <v>3595405</v>
      </c>
      <c r="F97" s="852">
        <v>3595405</v>
      </c>
    </row>
    <row r="98" spans="1:6">
      <c r="B98" s="10" t="s">
        <v>1035</v>
      </c>
      <c r="E98" s="858">
        <v>0.36120000000000002</v>
      </c>
      <c r="F98" s="858">
        <v>0.33500000000000002</v>
      </c>
    </row>
    <row r="99" spans="1:6" ht="13.5" thickBot="1">
      <c r="B99" s="10" t="s">
        <v>1036</v>
      </c>
      <c r="E99" s="859">
        <f>+E97*E98</f>
        <v>1298660.2860000001</v>
      </c>
      <c r="F99" s="859">
        <f>+F97*F98</f>
        <v>1204460.675</v>
      </c>
    </row>
    <row r="100" spans="1:6" ht="15.75" customHeight="1">
      <c r="B100" s="10" t="s">
        <v>269</v>
      </c>
      <c r="F100" s="860">
        <f>+F99-E99</f>
        <v>-94199.611000000034</v>
      </c>
    </row>
    <row r="101" spans="1:6">
      <c r="F101" s="861" t="s">
        <v>1037</v>
      </c>
    </row>
    <row r="102" spans="1:6" ht="13.5" thickBot="1">
      <c r="B102" s="10" t="s">
        <v>1038</v>
      </c>
      <c r="F102" s="855">
        <f>+F100/12*4</f>
        <v>-31399.870333333343</v>
      </c>
    </row>
    <row r="105" spans="1:6">
      <c r="A105">
        <v>11</v>
      </c>
    </row>
    <row r="106" spans="1:6">
      <c r="B106" s="10" t="s">
        <v>1039</v>
      </c>
    </row>
    <row r="107" spans="1:6">
      <c r="E107" s="862" t="s">
        <v>1033</v>
      </c>
      <c r="F107" s="851">
        <v>2009</v>
      </c>
    </row>
    <row r="108" spans="1:6">
      <c r="B108" s="10" t="s">
        <v>1040</v>
      </c>
      <c r="E108" s="852">
        <v>3595405</v>
      </c>
      <c r="F108" s="852">
        <v>3595405</v>
      </c>
    </row>
    <row r="109" spans="1:6">
      <c r="B109" s="10" t="s">
        <v>1035</v>
      </c>
      <c r="E109" s="858">
        <v>0.33500000000000002</v>
      </c>
      <c r="F109" s="858">
        <f>(829119-178813)/1970623</f>
        <v>0.33000020805603103</v>
      </c>
    </row>
    <row r="110" spans="1:6" ht="13.5" thickBot="1">
      <c r="B110" s="10" t="s">
        <v>1036</v>
      </c>
      <c r="E110" s="863">
        <f>+E108*E109</f>
        <v>1204460.675</v>
      </c>
      <c r="F110" s="863">
        <f>+F108*F109</f>
        <v>1186484.3980456942</v>
      </c>
    </row>
    <row r="111" spans="1:6">
      <c r="B111" s="10" t="s">
        <v>269</v>
      </c>
      <c r="F111" s="860">
        <f>+F110-E110</f>
        <v>-17976.276954305824</v>
      </c>
    </row>
    <row r="112" spans="1:6">
      <c r="F112" s="861" t="s">
        <v>1037</v>
      </c>
    </row>
    <row r="113" spans="2:6" ht="13.5" thickBot="1">
      <c r="B113" s="10" t="s">
        <v>1041</v>
      </c>
      <c r="F113" s="864">
        <f>+F111/12*4</f>
        <v>-5992.0923181019416</v>
      </c>
    </row>
  </sheetData>
  <mergeCells count="35">
    <mergeCell ref="B55:E55"/>
    <mergeCell ref="A57:A58"/>
    <mergeCell ref="B57:E58"/>
    <mergeCell ref="A43:A44"/>
    <mergeCell ref="B43:E44"/>
    <mergeCell ref="A47:A48"/>
    <mergeCell ref="B47:E48"/>
    <mergeCell ref="B49:E49"/>
    <mergeCell ref="A51:A54"/>
    <mergeCell ref="B51:E54"/>
    <mergeCell ref="A40:A42"/>
    <mergeCell ref="B40:E40"/>
    <mergeCell ref="A25:C25"/>
    <mergeCell ref="A26:C26"/>
    <mergeCell ref="A27:C27"/>
    <mergeCell ref="A28:C28"/>
    <mergeCell ref="A29:C29"/>
    <mergeCell ref="A30:C30"/>
    <mergeCell ref="A31:C31"/>
    <mergeCell ref="A32:C32"/>
    <mergeCell ref="A36:A37"/>
    <mergeCell ref="B36:E37"/>
    <mergeCell ref="B38:E38"/>
    <mergeCell ref="A24:C24"/>
    <mergeCell ref="A9:E9"/>
    <mergeCell ref="A10:E10"/>
    <mergeCell ref="A12:E12"/>
    <mergeCell ref="A14:C16"/>
    <mergeCell ref="A17:C17"/>
    <mergeCell ref="A18:C18"/>
    <mergeCell ref="A19:C19"/>
    <mergeCell ref="A20:C20"/>
    <mergeCell ref="A21:C21"/>
    <mergeCell ref="A22:C22"/>
    <mergeCell ref="A23:C23"/>
  </mergeCells>
  <dataValidations count="1">
    <dataValidation allowBlank="1" showInputMessage="1" showErrorMessage="1" promptTitle="Date Format" prompt="E.g:  &quot;August 1, 2011&quot;" sqref="E7"/>
  </dataValidations>
  <pageMargins left="0.74803149606299213" right="0.74803149606299213" top="0.98425196850393704" bottom="0.98425196850393704" header="0.51181102362204722" footer="0.51181102362204722"/>
  <pageSetup scale="79" fitToHeight="2" orientation="portrait"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I418"/>
  <sheetViews>
    <sheetView zoomScaleNormal="100" workbookViewId="0">
      <pane ySplit="13" topLeftCell="A14" activePane="bottomLeft" state="frozen"/>
      <selection activeCell="J24" sqref="J24"/>
      <selection pane="bottomLeft" activeCell="J24" sqref="J24"/>
    </sheetView>
  </sheetViews>
  <sheetFormatPr defaultColWidth="9.140625" defaultRowHeight="12.75"/>
  <cols>
    <col min="1" max="1" width="43.85546875" style="30" bestFit="1" customWidth="1"/>
    <col min="2" max="6" width="12.85546875" style="30" bestFit="1" customWidth="1"/>
    <col min="7" max="8" width="14" style="30" bestFit="1" customWidth="1"/>
    <col min="9" max="9" width="9.7109375" style="30" bestFit="1" customWidth="1"/>
    <col min="10" max="16384" width="9.140625" style="30"/>
  </cols>
  <sheetData>
    <row r="1" spans="1:9" ht="18">
      <c r="A1" s="29"/>
      <c r="G1" s="31" t="s">
        <v>131</v>
      </c>
      <c r="H1" s="32" t="str">
        <f>'LDC Info'!$E$18</f>
        <v>EB-2012-0126</v>
      </c>
    </row>
    <row r="2" spans="1:9">
      <c r="G2" s="31" t="s">
        <v>132</v>
      </c>
      <c r="H2" s="33"/>
    </row>
    <row r="3" spans="1:9">
      <c r="G3" s="31" t="s">
        <v>133</v>
      </c>
      <c r="H3" s="33"/>
    </row>
    <row r="4" spans="1:9">
      <c r="G4" s="31" t="s">
        <v>134</v>
      </c>
      <c r="H4" s="33"/>
    </row>
    <row r="5" spans="1:9">
      <c r="G5" s="31" t="s">
        <v>135</v>
      </c>
      <c r="H5" s="34"/>
    </row>
    <row r="6" spans="1:9">
      <c r="G6" s="31"/>
      <c r="H6" s="32"/>
    </row>
    <row r="7" spans="1:9">
      <c r="G7" s="31" t="s">
        <v>136</v>
      </c>
      <c r="H7" s="35" t="s">
        <v>1171</v>
      </c>
    </row>
    <row r="9" spans="1:9" ht="18">
      <c r="A9" s="1122" t="s">
        <v>137</v>
      </c>
      <c r="B9" s="1122"/>
      <c r="C9" s="1122"/>
      <c r="D9" s="1122"/>
      <c r="E9" s="1122"/>
      <c r="F9" s="1122"/>
      <c r="G9" s="1122"/>
      <c r="H9" s="1122"/>
      <c r="I9" s="36"/>
    </row>
    <row r="10" spans="1:9" ht="18">
      <c r="A10" s="1122" t="s">
        <v>138</v>
      </c>
      <c r="B10" s="1122"/>
      <c r="C10" s="1122"/>
      <c r="D10" s="1122"/>
      <c r="E10" s="1122"/>
      <c r="F10" s="1122"/>
      <c r="G10" s="1122"/>
      <c r="H10" s="1122"/>
      <c r="I10" s="36"/>
    </row>
    <row r="12" spans="1:9" ht="13.5" thickBot="1">
      <c r="A12" s="37"/>
      <c r="B12" s="37"/>
      <c r="C12" s="37"/>
      <c r="D12" s="37"/>
      <c r="E12" s="37"/>
      <c r="F12" s="37"/>
      <c r="G12" s="38" t="s">
        <v>139</v>
      </c>
      <c r="H12" s="38" t="s">
        <v>140</v>
      </c>
    </row>
    <row r="13" spans="1:9" ht="25.5">
      <c r="A13" s="39" t="s">
        <v>141</v>
      </c>
      <c r="B13" s="40">
        <f>IF(ISBLANK('LDC Info'!E26), "Year 1", 'LDC Info'!E26-5)</f>
        <v>2007</v>
      </c>
      <c r="C13" s="40">
        <f>IF(ISBLANK('LDC Info'!E26), "Year 2", 'LDC Info'!E26-4)</f>
        <v>2008</v>
      </c>
      <c r="D13" s="40">
        <f>IF(ISBLANK('LDC Info'!E26), "Year 3", 'LDC Info'!E26-3)</f>
        <v>2009</v>
      </c>
      <c r="E13" s="40">
        <f>IF(ISBLANK('LDC Info'!E26), "Year 4", 'LDC Info'!E26-2)</f>
        <v>2010</v>
      </c>
      <c r="F13" s="40">
        <f>IF(ISBLANK('LDC Info'!E26), "Year 5", 'LDC Info'!E26-1)</f>
        <v>2011</v>
      </c>
      <c r="G13" s="40" t="str">
        <f>'LDC Info'!E26 &amp; " Bridge Year"</f>
        <v>2012 Bridge Year</v>
      </c>
      <c r="H13" s="40" t="str">
        <f>'LDC Info'!E28 &amp; " Test Year"</f>
        <v>2013 Test Year</v>
      </c>
    </row>
    <row r="14" spans="1:9">
      <c r="A14" s="41" t="s">
        <v>142</v>
      </c>
      <c r="B14" s="42" t="s">
        <v>143</v>
      </c>
      <c r="C14" s="42" t="s">
        <v>143</v>
      </c>
      <c r="D14" s="42" t="s">
        <v>143</v>
      </c>
      <c r="E14" s="42" t="s">
        <v>143</v>
      </c>
      <c r="F14" s="42" t="s">
        <v>143</v>
      </c>
      <c r="G14" s="42" t="s">
        <v>143</v>
      </c>
      <c r="H14" s="42" t="s">
        <v>143</v>
      </c>
    </row>
    <row r="15" spans="1:9">
      <c r="A15" s="43" t="s">
        <v>144</v>
      </c>
      <c r="B15" s="44"/>
      <c r="C15" s="44"/>
      <c r="D15" s="44"/>
      <c r="E15" s="44"/>
      <c r="F15" s="44"/>
      <c r="G15" s="44"/>
      <c r="H15" s="44"/>
    </row>
    <row r="16" spans="1:9">
      <c r="A16" s="45" t="s">
        <v>145</v>
      </c>
      <c r="B16" s="46"/>
      <c r="C16" s="47">
        <v>165841</v>
      </c>
      <c r="D16" s="47"/>
      <c r="E16" s="47"/>
      <c r="F16" s="47"/>
      <c r="G16" s="47"/>
      <c r="H16" s="47"/>
    </row>
    <row r="17" spans="1:8">
      <c r="A17" s="45" t="s">
        <v>146</v>
      </c>
      <c r="B17" s="46"/>
      <c r="C17" s="47"/>
      <c r="D17" s="47"/>
      <c r="E17" s="47">
        <v>350</v>
      </c>
      <c r="F17" s="47"/>
      <c r="G17" s="47"/>
      <c r="H17" s="47"/>
    </row>
    <row r="18" spans="1:8">
      <c r="A18" s="45" t="s">
        <v>147</v>
      </c>
      <c r="B18" s="46">
        <f>228114+583.51</f>
        <v>228697.51</v>
      </c>
      <c r="C18" s="47">
        <v>144873</v>
      </c>
      <c r="D18" s="47">
        <v>38348</v>
      </c>
      <c r="E18" s="47">
        <v>30167</v>
      </c>
      <c r="F18" s="47">
        <v>17453</v>
      </c>
      <c r="G18" s="47">
        <v>107254</v>
      </c>
      <c r="H18" s="47">
        <v>132791</v>
      </c>
    </row>
    <row r="19" spans="1:8">
      <c r="A19" s="45" t="s">
        <v>148</v>
      </c>
      <c r="B19" s="48"/>
      <c r="C19" s="49">
        <v>2025</v>
      </c>
      <c r="D19" s="49"/>
      <c r="E19" s="49"/>
      <c r="F19" s="49"/>
      <c r="G19" s="49"/>
      <c r="H19" s="49"/>
    </row>
    <row r="20" spans="1:8">
      <c r="A20" s="45" t="s">
        <v>149</v>
      </c>
      <c r="B20" s="48">
        <v>-3500</v>
      </c>
      <c r="C20" s="49"/>
      <c r="D20" s="49">
        <v>-39</v>
      </c>
      <c r="E20" s="49">
        <v>-450</v>
      </c>
      <c r="F20" s="49">
        <v>-4605</v>
      </c>
      <c r="G20" s="49">
        <v>-1512</v>
      </c>
      <c r="H20" s="49"/>
    </row>
    <row r="21" spans="1:8">
      <c r="A21" s="50" t="s">
        <v>150</v>
      </c>
      <c r="B21" s="44">
        <f t="shared" ref="B21:H21" si="0">SUM(B16:B20)</f>
        <v>225197.51</v>
      </c>
      <c r="C21" s="44">
        <f t="shared" si="0"/>
        <v>312739</v>
      </c>
      <c r="D21" s="44">
        <f t="shared" si="0"/>
        <v>38309</v>
      </c>
      <c r="E21" s="44">
        <f t="shared" si="0"/>
        <v>30067</v>
      </c>
      <c r="F21" s="44">
        <f t="shared" si="0"/>
        <v>12848</v>
      </c>
      <c r="G21" s="44">
        <f t="shared" si="0"/>
        <v>105742</v>
      </c>
      <c r="H21" s="44">
        <f t="shared" si="0"/>
        <v>132791</v>
      </c>
    </row>
    <row r="22" spans="1:8">
      <c r="A22" s="43" t="s">
        <v>151</v>
      </c>
      <c r="B22" s="51"/>
      <c r="C22" s="51"/>
      <c r="D22" s="51"/>
      <c r="E22" s="51"/>
      <c r="F22" s="51"/>
      <c r="G22" s="51"/>
      <c r="H22" s="51"/>
    </row>
    <row r="23" spans="1:8">
      <c r="A23" s="45" t="s">
        <v>145</v>
      </c>
      <c r="B23" s="52"/>
      <c r="C23" s="53"/>
      <c r="D23" s="53"/>
      <c r="E23" s="53">
        <v>51245</v>
      </c>
      <c r="F23" s="53"/>
      <c r="G23" s="53"/>
      <c r="H23" s="53"/>
    </row>
    <row r="24" spans="1:8">
      <c r="A24" s="45" t="s">
        <v>146</v>
      </c>
      <c r="B24" s="46">
        <v>19469</v>
      </c>
      <c r="C24" s="47"/>
      <c r="D24" s="47">
        <v>58294</v>
      </c>
      <c r="E24" s="47">
        <v>30094</v>
      </c>
      <c r="F24" s="47">
        <v>44796</v>
      </c>
      <c r="G24" s="47">
        <v>46696</v>
      </c>
      <c r="H24" s="47">
        <v>16423</v>
      </c>
    </row>
    <row r="25" spans="1:8">
      <c r="A25" s="45" t="s">
        <v>152</v>
      </c>
      <c r="B25" s="48">
        <v>17529</v>
      </c>
      <c r="C25" s="49"/>
      <c r="D25" s="49">
        <v>15787</v>
      </c>
      <c r="E25" s="49">
        <v>13442</v>
      </c>
      <c r="F25" s="49">
        <v>8378</v>
      </c>
      <c r="G25" s="49">
        <v>14418</v>
      </c>
      <c r="H25" s="49">
        <v>3072</v>
      </c>
    </row>
    <row r="26" spans="1:8">
      <c r="A26" s="45" t="s">
        <v>153</v>
      </c>
      <c r="B26" s="46">
        <f>195011-1200</f>
        <v>193811</v>
      </c>
      <c r="C26" s="47">
        <v>260479</v>
      </c>
      <c r="D26" s="47">
        <v>54671</v>
      </c>
      <c r="E26" s="47">
        <v>48522</v>
      </c>
      <c r="F26" s="47">
        <v>218855</v>
      </c>
      <c r="G26" s="47">
        <f>277986+37858</f>
        <v>315844</v>
      </c>
      <c r="H26" s="47">
        <f>8286+71953</f>
        <v>80239</v>
      </c>
    </row>
    <row r="27" spans="1:8">
      <c r="A27" s="45" t="s">
        <v>154</v>
      </c>
      <c r="B27" s="46">
        <v>2331</v>
      </c>
      <c r="C27" s="47">
        <v>5634</v>
      </c>
      <c r="D27" s="47">
        <v>12449</v>
      </c>
      <c r="E27" s="47">
        <v>21462</v>
      </c>
      <c r="F27" s="47">
        <v>40509</v>
      </c>
      <c r="G27" s="47">
        <v>110608</v>
      </c>
      <c r="H27" s="47">
        <v>14852</v>
      </c>
    </row>
    <row r="28" spans="1:8">
      <c r="A28" s="45" t="s">
        <v>155</v>
      </c>
      <c r="B28" s="52"/>
      <c r="C28" s="53"/>
      <c r="D28" s="53"/>
      <c r="E28" s="53"/>
      <c r="F28" s="53">
        <v>31745</v>
      </c>
      <c r="G28" s="53">
        <v>10554</v>
      </c>
      <c r="H28" s="53">
        <v>11639</v>
      </c>
    </row>
    <row r="29" spans="1:8">
      <c r="A29" s="45" t="s">
        <v>156</v>
      </c>
      <c r="B29" s="52"/>
      <c r="C29" s="53"/>
      <c r="D29" s="53"/>
      <c r="E29" s="53"/>
      <c r="F29" s="53"/>
      <c r="G29" s="53"/>
      <c r="H29" s="53"/>
    </row>
    <row r="30" spans="1:8">
      <c r="A30" s="50" t="s">
        <v>157</v>
      </c>
      <c r="B30" s="44">
        <f t="shared" ref="B30:H30" si="1">SUM(B22:B28)</f>
        <v>233140</v>
      </c>
      <c r="C30" s="44">
        <f t="shared" si="1"/>
        <v>266113</v>
      </c>
      <c r="D30" s="44">
        <f t="shared" si="1"/>
        <v>141201</v>
      </c>
      <c r="E30" s="44">
        <f t="shared" si="1"/>
        <v>164765</v>
      </c>
      <c r="F30" s="44">
        <f t="shared" si="1"/>
        <v>344283</v>
      </c>
      <c r="G30" s="44">
        <f t="shared" si="1"/>
        <v>498120</v>
      </c>
      <c r="H30" s="44">
        <f t="shared" si="1"/>
        <v>126225</v>
      </c>
    </row>
    <row r="31" spans="1:8">
      <c r="A31" s="43" t="s">
        <v>158</v>
      </c>
      <c r="B31" s="51"/>
      <c r="C31" s="51"/>
      <c r="D31" s="51"/>
      <c r="E31" s="51"/>
      <c r="F31" s="51"/>
      <c r="G31" s="51"/>
      <c r="H31" s="51"/>
    </row>
    <row r="32" spans="1:8">
      <c r="A32" s="45" t="s">
        <v>154</v>
      </c>
      <c r="B32" s="46">
        <f>343766+26570</f>
        <v>370336</v>
      </c>
      <c r="C32" s="47">
        <f>44512+357</f>
        <v>44869</v>
      </c>
      <c r="D32" s="47">
        <v>182213</v>
      </c>
      <c r="E32" s="47">
        <v>451953</v>
      </c>
      <c r="F32" s="47">
        <v>151333</v>
      </c>
      <c r="G32" s="47">
        <v>374411</v>
      </c>
      <c r="H32" s="47">
        <v>130737</v>
      </c>
    </row>
    <row r="33" spans="1:8">
      <c r="A33" s="50" t="s">
        <v>157</v>
      </c>
      <c r="B33" s="44">
        <f t="shared" ref="B33:H33" si="2">SUM(B31:B32)</f>
        <v>370336</v>
      </c>
      <c r="C33" s="44">
        <f t="shared" si="2"/>
        <v>44869</v>
      </c>
      <c r="D33" s="44">
        <f t="shared" si="2"/>
        <v>182213</v>
      </c>
      <c r="E33" s="44">
        <f t="shared" si="2"/>
        <v>451953</v>
      </c>
      <c r="F33" s="44">
        <f t="shared" si="2"/>
        <v>151333</v>
      </c>
      <c r="G33" s="44">
        <f t="shared" si="2"/>
        <v>374411</v>
      </c>
      <c r="H33" s="44">
        <f t="shared" si="2"/>
        <v>130737</v>
      </c>
    </row>
    <row r="34" spans="1:8">
      <c r="A34" s="54" t="s">
        <v>159</v>
      </c>
      <c r="B34" s="55"/>
      <c r="C34" s="56"/>
      <c r="D34" s="56"/>
      <c r="E34" s="56"/>
      <c r="F34" s="56"/>
      <c r="G34" s="56"/>
      <c r="H34" s="56"/>
    </row>
    <row r="35" spans="1:8">
      <c r="A35" s="45" t="s">
        <v>154</v>
      </c>
      <c r="B35" s="52">
        <v>137343</v>
      </c>
      <c r="C35" s="53">
        <v>25007</v>
      </c>
      <c r="D35" s="53">
        <v>37204</v>
      </c>
      <c r="E35" s="53">
        <v>74577</v>
      </c>
      <c r="F35" s="53">
        <v>14811</v>
      </c>
      <c r="G35" s="53">
        <v>155231</v>
      </c>
      <c r="H35" s="53">
        <v>47368</v>
      </c>
    </row>
    <row r="36" spans="1:8">
      <c r="A36" s="50" t="s">
        <v>150</v>
      </c>
      <c r="B36" s="44">
        <f t="shared" ref="B36:H36" si="3">SUM(B35:B35)</f>
        <v>137343</v>
      </c>
      <c r="C36" s="44">
        <f t="shared" si="3"/>
        <v>25007</v>
      </c>
      <c r="D36" s="44">
        <f t="shared" si="3"/>
        <v>37204</v>
      </c>
      <c r="E36" s="44">
        <f t="shared" si="3"/>
        <v>74577</v>
      </c>
      <c r="F36" s="44">
        <f t="shared" si="3"/>
        <v>14811</v>
      </c>
      <c r="G36" s="44">
        <f t="shared" si="3"/>
        <v>155231</v>
      </c>
      <c r="H36" s="44">
        <f t="shared" si="3"/>
        <v>47368</v>
      </c>
    </row>
    <row r="37" spans="1:8">
      <c r="A37" s="43" t="s">
        <v>160</v>
      </c>
      <c r="B37" s="51"/>
      <c r="C37" s="51"/>
      <c r="D37" s="51"/>
      <c r="E37" s="51"/>
      <c r="F37" s="51"/>
      <c r="G37" s="51"/>
      <c r="H37" s="51"/>
    </row>
    <row r="38" spans="1:8">
      <c r="A38" s="45" t="s">
        <v>161</v>
      </c>
      <c r="B38" s="46"/>
      <c r="C38" s="47"/>
      <c r="D38" s="47">
        <v>31716</v>
      </c>
      <c r="E38" s="47">
        <f>3536+12253+18909+10296+16966+11060+30722</f>
        <v>103742</v>
      </c>
      <c r="F38" s="47"/>
      <c r="G38" s="47"/>
      <c r="H38" s="47"/>
    </row>
    <row r="39" spans="1:8">
      <c r="A39" s="45" t="s">
        <v>162</v>
      </c>
      <c r="B39" s="46">
        <v>168464</v>
      </c>
      <c r="C39" s="47">
        <v>33960</v>
      </c>
      <c r="D39" s="47"/>
      <c r="E39" s="47"/>
      <c r="F39" s="47"/>
      <c r="G39" s="47"/>
      <c r="H39" s="47"/>
    </row>
    <row r="40" spans="1:8">
      <c r="A40" s="45" t="s">
        <v>163</v>
      </c>
      <c r="B40" s="46"/>
      <c r="C40" s="47"/>
      <c r="D40" s="47"/>
      <c r="E40" s="47">
        <v>32745</v>
      </c>
      <c r="F40" s="47"/>
      <c r="G40" s="47">
        <f>403</f>
        <v>403</v>
      </c>
      <c r="H40" s="47">
        <v>10699</v>
      </c>
    </row>
    <row r="41" spans="1:8">
      <c r="A41" s="45" t="s">
        <v>145</v>
      </c>
      <c r="B41" s="46">
        <v>304475</v>
      </c>
      <c r="C41" s="47">
        <v>323397</v>
      </c>
      <c r="D41" s="47">
        <v>437621</v>
      </c>
      <c r="E41" s="47">
        <f>4515+8044+24962+4367+11066+46708+7663+54201+378</f>
        <v>161904</v>
      </c>
      <c r="F41" s="47">
        <f>129113+974+31404</f>
        <v>161491</v>
      </c>
      <c r="G41" s="47">
        <f>25979.01+158416.8+2958+81351+681061+174312-1091-19-19-9212-60-9</f>
        <v>1113667.81</v>
      </c>
      <c r="H41" s="47">
        <v>532403</v>
      </c>
    </row>
    <row r="42" spans="1:8">
      <c r="A42" s="45" t="s">
        <v>146</v>
      </c>
      <c r="B42" s="48"/>
      <c r="C42" s="49">
        <v>4312</v>
      </c>
      <c r="D42" s="49">
        <v>9701</v>
      </c>
      <c r="E42" s="49">
        <f>15766</f>
        <v>15766</v>
      </c>
      <c r="F42" s="49"/>
      <c r="G42" s="49">
        <f>55.41</f>
        <v>55.41</v>
      </c>
      <c r="H42" s="49"/>
    </row>
    <row r="43" spans="1:8">
      <c r="A43" s="45" t="s">
        <v>152</v>
      </c>
      <c r="B43" s="46"/>
      <c r="C43" s="47"/>
      <c r="D43" s="47">
        <v>5945</v>
      </c>
      <c r="E43" s="47"/>
      <c r="F43" s="47"/>
      <c r="G43" s="47"/>
      <c r="H43" s="47"/>
    </row>
    <row r="44" spans="1:8">
      <c r="A44" s="45" t="s">
        <v>153</v>
      </c>
      <c r="B44" s="46">
        <f>7316+314</f>
        <v>7630</v>
      </c>
      <c r="C44" s="47"/>
      <c r="D44" s="47">
        <v>11074</v>
      </c>
      <c r="E44" s="47">
        <f>71549+32328+73</f>
        <v>103950</v>
      </c>
      <c r="F44" s="47"/>
      <c r="G44" s="47"/>
      <c r="H44" s="47"/>
    </row>
    <row r="45" spans="1:8">
      <c r="A45" s="45" t="s">
        <v>156</v>
      </c>
      <c r="B45" s="46"/>
      <c r="C45" s="47">
        <v>-296171</v>
      </c>
      <c r="D45" s="47"/>
      <c r="E45" s="47"/>
      <c r="F45" s="47">
        <v>-23335</v>
      </c>
      <c r="G45" s="47">
        <f>23335-48387+90</f>
        <v>-24962</v>
      </c>
      <c r="H45" s="47"/>
    </row>
    <row r="46" spans="1:8">
      <c r="A46" s="50" t="s">
        <v>157</v>
      </c>
      <c r="B46" s="44">
        <f t="shared" ref="B46:H46" si="4">SUM(B37:B45)</f>
        <v>480569</v>
      </c>
      <c r="C46" s="44">
        <f t="shared" si="4"/>
        <v>65498</v>
      </c>
      <c r="D46" s="44">
        <f t="shared" si="4"/>
        <v>496057</v>
      </c>
      <c r="E46" s="44">
        <f t="shared" si="4"/>
        <v>418107</v>
      </c>
      <c r="F46" s="44">
        <f t="shared" si="4"/>
        <v>138156</v>
      </c>
      <c r="G46" s="44">
        <f t="shared" si="4"/>
        <v>1089164.22</v>
      </c>
      <c r="H46" s="44">
        <f t="shared" si="4"/>
        <v>543102</v>
      </c>
    </row>
    <row r="47" spans="1:8">
      <c r="A47" s="43" t="s">
        <v>164</v>
      </c>
      <c r="B47" s="51"/>
      <c r="C47" s="51"/>
      <c r="D47" s="51"/>
      <c r="E47" s="51"/>
      <c r="F47" s="51"/>
      <c r="G47" s="51"/>
      <c r="H47" s="51"/>
    </row>
    <row r="48" spans="1:8">
      <c r="A48" s="45" t="s">
        <v>146</v>
      </c>
      <c r="B48" s="46">
        <f>382351+322+29790</f>
        <v>412463</v>
      </c>
      <c r="C48" s="47">
        <v>441832</v>
      </c>
      <c r="D48" s="47">
        <v>408523</v>
      </c>
      <c r="E48" s="47">
        <f>622561+34</f>
        <v>622595</v>
      </c>
      <c r="F48" s="47">
        <v>319718</v>
      </c>
      <c r="G48" s="47">
        <f>268703.35+7685</f>
        <v>276388.34999999998</v>
      </c>
      <c r="H48" s="47">
        <v>193364</v>
      </c>
    </row>
    <row r="49" spans="1:8">
      <c r="A49" s="45" t="s">
        <v>152</v>
      </c>
      <c r="B49" s="48">
        <f>442160+60</f>
        <v>442220</v>
      </c>
      <c r="C49" s="49">
        <f>540970-1028</f>
        <v>539942</v>
      </c>
      <c r="D49" s="49">
        <v>127526</v>
      </c>
      <c r="E49" s="49">
        <f>272761-41</f>
        <v>272720</v>
      </c>
      <c r="F49" s="49">
        <v>6970</v>
      </c>
      <c r="G49" s="49">
        <v>7394</v>
      </c>
      <c r="H49" s="49">
        <v>44136</v>
      </c>
    </row>
    <row r="50" spans="1:8">
      <c r="A50" s="45" t="s">
        <v>153</v>
      </c>
      <c r="B50" s="48">
        <v>358860</v>
      </c>
      <c r="C50" s="49">
        <v>289408</v>
      </c>
      <c r="D50" s="49">
        <v>175824</v>
      </c>
      <c r="E50" s="49">
        <v>314831</v>
      </c>
      <c r="F50" s="49">
        <v>109734</v>
      </c>
      <c r="G50" s="49">
        <v>47209.130000000005</v>
      </c>
      <c r="H50" s="49">
        <f>41936+40010</f>
        <v>81946</v>
      </c>
    </row>
    <row r="51" spans="1:8">
      <c r="A51" s="45" t="s">
        <v>154</v>
      </c>
      <c r="B51" s="48">
        <v>137914</v>
      </c>
      <c r="C51" s="49">
        <f>167190-2884</f>
        <v>164306</v>
      </c>
      <c r="D51" s="49">
        <v>255545</v>
      </c>
      <c r="E51" s="49">
        <v>172557</v>
      </c>
      <c r="F51" s="49">
        <f>203881-187</f>
        <v>203694</v>
      </c>
      <c r="G51" s="49">
        <f>58777+18625</f>
        <v>77402</v>
      </c>
      <c r="H51" s="49">
        <v>88735</v>
      </c>
    </row>
    <row r="52" spans="1:8">
      <c r="A52" s="45" t="s">
        <v>155</v>
      </c>
      <c r="B52" s="46"/>
      <c r="C52" s="47"/>
      <c r="D52" s="47"/>
      <c r="E52" s="47">
        <v>6473</v>
      </c>
      <c r="F52" s="47">
        <v>61537</v>
      </c>
      <c r="G52" s="47">
        <f>59471.56+2187</f>
        <v>61658.559999999998</v>
      </c>
      <c r="H52" s="47">
        <v>19758</v>
      </c>
    </row>
    <row r="53" spans="1:8">
      <c r="A53" s="45" t="s">
        <v>149</v>
      </c>
      <c r="B53" s="46">
        <f>-572600-34704</f>
        <v>-607304</v>
      </c>
      <c r="C53" s="47">
        <v>-272754</v>
      </c>
      <c r="D53" s="47">
        <v>-46389</v>
      </c>
      <c r="E53" s="47">
        <v>-25054</v>
      </c>
      <c r="F53" s="47">
        <v>-37791</v>
      </c>
      <c r="G53" s="47">
        <v>-3557</v>
      </c>
      <c r="H53" s="47"/>
    </row>
    <row r="54" spans="1:8">
      <c r="A54" s="50" t="s">
        <v>157</v>
      </c>
      <c r="B54" s="44">
        <f t="shared" ref="B54:G54" si="5">SUM(B47:B53)</f>
        <v>744153</v>
      </c>
      <c r="C54" s="44">
        <f t="shared" si="5"/>
        <v>1162734</v>
      </c>
      <c r="D54" s="44">
        <f t="shared" si="5"/>
        <v>921029</v>
      </c>
      <c r="E54" s="44">
        <f t="shared" si="5"/>
        <v>1364122</v>
      </c>
      <c r="F54" s="44">
        <f t="shared" si="5"/>
        <v>663862</v>
      </c>
      <c r="G54" s="44">
        <f t="shared" si="5"/>
        <v>466495.04</v>
      </c>
      <c r="H54" s="44">
        <f>SUM(H47:H52)</f>
        <v>427939</v>
      </c>
    </row>
    <row r="55" spans="1:8">
      <c r="A55" s="43" t="s">
        <v>165</v>
      </c>
      <c r="B55" s="51"/>
      <c r="C55" s="51"/>
      <c r="D55" s="51"/>
      <c r="E55" s="51"/>
      <c r="F55" s="51"/>
      <c r="G55" s="51"/>
      <c r="H55" s="51"/>
    </row>
    <row r="56" spans="1:8">
      <c r="A56" s="45" t="s">
        <v>155</v>
      </c>
      <c r="B56" s="46">
        <f>184024+13246</f>
        <v>197270</v>
      </c>
      <c r="C56" s="47">
        <f>160+207077</f>
        <v>207237</v>
      </c>
      <c r="D56" s="47">
        <v>189266</v>
      </c>
      <c r="E56" s="47">
        <f>247922+2073</f>
        <v>249995</v>
      </c>
      <c r="F56" s="47">
        <v>245842</v>
      </c>
      <c r="G56" s="47">
        <f>214152</f>
        <v>214152</v>
      </c>
      <c r="H56" s="47">
        <v>162401</v>
      </c>
    </row>
    <row r="57" spans="1:8">
      <c r="A57" s="45" t="s">
        <v>149</v>
      </c>
      <c r="B57" s="48">
        <f>-106436-17369</f>
        <v>-123805</v>
      </c>
      <c r="C57" s="49">
        <v>-112922</v>
      </c>
      <c r="D57" s="49">
        <v>-97301</v>
      </c>
      <c r="E57" s="49">
        <v>-98341</v>
      </c>
      <c r="F57" s="49">
        <v>-91262</v>
      </c>
      <c r="G57" s="49">
        <f>-59943+855</f>
        <v>-59088</v>
      </c>
      <c r="H57" s="49">
        <v>-100000</v>
      </c>
    </row>
    <row r="58" spans="1:8">
      <c r="A58" s="50" t="s">
        <v>157</v>
      </c>
      <c r="B58" s="44">
        <f t="shared" ref="B58:H58" si="6">SUM(B55:B57)</f>
        <v>73465</v>
      </c>
      <c r="C58" s="44">
        <f t="shared" si="6"/>
        <v>94315</v>
      </c>
      <c r="D58" s="44">
        <f t="shared" si="6"/>
        <v>91965</v>
      </c>
      <c r="E58" s="44">
        <f t="shared" si="6"/>
        <v>151654</v>
      </c>
      <c r="F58" s="44">
        <f t="shared" si="6"/>
        <v>154580</v>
      </c>
      <c r="G58" s="44">
        <f t="shared" si="6"/>
        <v>155064</v>
      </c>
      <c r="H58" s="44">
        <f t="shared" si="6"/>
        <v>62401</v>
      </c>
    </row>
    <row r="59" spans="1:8">
      <c r="A59" s="43" t="s">
        <v>166</v>
      </c>
      <c r="B59" s="51"/>
      <c r="C59" s="51"/>
      <c r="D59" s="51"/>
      <c r="E59" s="51"/>
      <c r="F59" s="51"/>
      <c r="G59" s="51"/>
      <c r="H59" s="51"/>
    </row>
    <row r="60" spans="1:8">
      <c r="A60" s="45" t="s">
        <v>155</v>
      </c>
      <c r="B60" s="46">
        <f>157598+5376</f>
        <v>162974</v>
      </c>
      <c r="C60" s="47">
        <f>195477+219</f>
        <v>195696</v>
      </c>
      <c r="D60" s="47">
        <f>161885+132</f>
        <v>162017</v>
      </c>
      <c r="E60" s="47">
        <f>237684+513</f>
        <v>238197</v>
      </c>
      <c r="F60" s="47">
        <v>243905</v>
      </c>
      <c r="G60" s="47">
        <v>185982.94</v>
      </c>
      <c r="H60" s="47">
        <v>141569</v>
      </c>
    </row>
    <row r="61" spans="1:8">
      <c r="A61" s="45" t="s">
        <v>156</v>
      </c>
      <c r="B61" s="48">
        <f>-77075-4465</f>
        <v>-81540</v>
      </c>
      <c r="C61" s="49">
        <v>-82085</v>
      </c>
      <c r="D61" s="49">
        <v>-70368</v>
      </c>
      <c r="E61" s="49">
        <v>-80081</v>
      </c>
      <c r="F61" s="49">
        <v>-87352</v>
      </c>
      <c r="G61" s="49">
        <v>-76495</v>
      </c>
      <c r="H61" s="49">
        <v>-80000</v>
      </c>
    </row>
    <row r="62" spans="1:8">
      <c r="A62" s="50" t="s">
        <v>157</v>
      </c>
      <c r="B62" s="44">
        <f t="shared" ref="B62:H62" si="7">SUM(B59:B61)</f>
        <v>81434</v>
      </c>
      <c r="C62" s="44">
        <f t="shared" si="7"/>
        <v>113611</v>
      </c>
      <c r="D62" s="44">
        <f t="shared" si="7"/>
        <v>91649</v>
      </c>
      <c r="E62" s="44">
        <f t="shared" si="7"/>
        <v>158116</v>
      </c>
      <c r="F62" s="44">
        <f t="shared" si="7"/>
        <v>156553</v>
      </c>
      <c r="G62" s="44">
        <f t="shared" si="7"/>
        <v>109487.94</v>
      </c>
      <c r="H62" s="44">
        <f t="shared" si="7"/>
        <v>61569</v>
      </c>
    </row>
    <row r="63" spans="1:8">
      <c r="A63" s="43" t="s">
        <v>167</v>
      </c>
      <c r="B63" s="51"/>
      <c r="C63" s="51"/>
      <c r="D63" s="51"/>
      <c r="E63" s="51"/>
      <c r="F63" s="51"/>
      <c r="G63" s="51"/>
      <c r="H63" s="51"/>
    </row>
    <row r="64" spans="1:8">
      <c r="A64" s="45" t="s">
        <v>146</v>
      </c>
      <c r="B64" s="52">
        <v>246176</v>
      </c>
      <c r="C64" s="53">
        <v>30758</v>
      </c>
      <c r="D64" s="53">
        <v>618</v>
      </c>
      <c r="E64" s="53">
        <v>39998</v>
      </c>
      <c r="F64" s="53">
        <v>4367</v>
      </c>
      <c r="G64" s="53">
        <v>1792</v>
      </c>
      <c r="H64" s="53">
        <v>58880</v>
      </c>
    </row>
    <row r="65" spans="1:8">
      <c r="A65" s="45" t="s">
        <v>152</v>
      </c>
      <c r="B65" s="46">
        <v>438921</v>
      </c>
      <c r="C65" s="47">
        <v>19206</v>
      </c>
      <c r="D65" s="47">
        <v>206</v>
      </c>
      <c r="E65" s="47">
        <v>139688</v>
      </c>
      <c r="F65" s="47">
        <v>7583</v>
      </c>
      <c r="G65" s="47">
        <v>3916</v>
      </c>
      <c r="H65" s="47">
        <v>205626</v>
      </c>
    </row>
    <row r="66" spans="1:8">
      <c r="A66" s="45" t="s">
        <v>153</v>
      </c>
      <c r="B66" s="48">
        <v>120140</v>
      </c>
      <c r="C66" s="49">
        <v>7703</v>
      </c>
      <c r="D66" s="49">
        <f>210332+88</f>
        <v>210420</v>
      </c>
      <c r="E66" s="49">
        <v>19566</v>
      </c>
      <c r="F66" s="49">
        <v>1502</v>
      </c>
      <c r="G66" s="49"/>
      <c r="H66" s="49">
        <f>4429+24372</f>
        <v>28801</v>
      </c>
    </row>
    <row r="67" spans="1:8">
      <c r="A67" s="45" t="s">
        <v>154</v>
      </c>
      <c r="B67" s="46">
        <v>88631</v>
      </c>
      <c r="C67" s="47"/>
      <c r="D67" s="47"/>
      <c r="E67" s="47">
        <v>14462</v>
      </c>
      <c r="F67" s="47"/>
      <c r="G67" s="47"/>
      <c r="H67" s="47">
        <v>21288</v>
      </c>
    </row>
    <row r="68" spans="1:8">
      <c r="A68" s="45" t="s">
        <v>155</v>
      </c>
      <c r="B68" s="52"/>
      <c r="C68" s="53"/>
      <c r="D68" s="53"/>
      <c r="E68" s="53">
        <v>19150</v>
      </c>
      <c r="F68" s="53">
        <v>1644</v>
      </c>
      <c r="G68" s="53">
        <v>6076</v>
      </c>
      <c r="H68" s="53">
        <v>28189</v>
      </c>
    </row>
    <row r="69" spans="1:8">
      <c r="A69" s="45" t="s">
        <v>156</v>
      </c>
      <c r="B69" s="46">
        <v>-212456</v>
      </c>
      <c r="C69" s="47">
        <v>-37030</v>
      </c>
      <c r="D69" s="47">
        <v>-133245</v>
      </c>
      <c r="E69" s="47">
        <v>-92174</v>
      </c>
      <c r="F69" s="47">
        <v>-6280</v>
      </c>
      <c r="G69" s="47">
        <v>-3595</v>
      </c>
      <c r="H69" s="47"/>
    </row>
    <row r="70" spans="1:8">
      <c r="A70" s="50" t="s">
        <v>157</v>
      </c>
      <c r="B70" s="44">
        <f t="shared" ref="B70:H70" si="8">SUM(B64:B69)</f>
        <v>681412</v>
      </c>
      <c r="C70" s="44">
        <f t="shared" si="8"/>
        <v>20637</v>
      </c>
      <c r="D70" s="44">
        <f t="shared" si="8"/>
        <v>77999</v>
      </c>
      <c r="E70" s="44">
        <f t="shared" si="8"/>
        <v>140690</v>
      </c>
      <c r="F70" s="44">
        <f t="shared" si="8"/>
        <v>8816</v>
      </c>
      <c r="G70" s="44">
        <f t="shared" si="8"/>
        <v>8189</v>
      </c>
      <c r="H70" s="44">
        <f t="shared" si="8"/>
        <v>342784</v>
      </c>
    </row>
    <row r="71" spans="1:8">
      <c r="A71" s="43" t="s">
        <v>168</v>
      </c>
      <c r="B71" s="51"/>
      <c r="C71" s="51"/>
      <c r="D71" s="51"/>
      <c r="E71" s="51"/>
      <c r="F71" s="51"/>
      <c r="G71" s="51"/>
      <c r="H71" s="51"/>
    </row>
    <row r="72" spans="1:8">
      <c r="A72" s="45" t="s">
        <v>146</v>
      </c>
      <c r="B72" s="52">
        <v>13202</v>
      </c>
      <c r="C72" s="53">
        <v>19425</v>
      </c>
      <c r="D72" s="53">
        <v>1038</v>
      </c>
      <c r="E72" s="53"/>
      <c r="F72" s="53">
        <v>106</v>
      </c>
      <c r="G72" s="53">
        <v>36149</v>
      </c>
      <c r="H72" s="53"/>
    </row>
    <row r="73" spans="1:8">
      <c r="A73" s="45" t="s">
        <v>152</v>
      </c>
      <c r="B73" s="46">
        <v>10544</v>
      </c>
      <c r="C73" s="47">
        <v>15552</v>
      </c>
      <c r="D73" s="47">
        <v>1308</v>
      </c>
      <c r="E73" s="47"/>
      <c r="F73" s="47"/>
      <c r="G73" s="47">
        <v>18030</v>
      </c>
      <c r="H73" s="47"/>
    </row>
    <row r="74" spans="1:8">
      <c r="A74" s="45" t="s">
        <v>153</v>
      </c>
      <c r="B74" s="48">
        <f>337533+24111</f>
        <v>361644</v>
      </c>
      <c r="C74" s="49">
        <v>368653</v>
      </c>
      <c r="D74" s="49">
        <v>154874</v>
      </c>
      <c r="E74" s="49">
        <v>226618</v>
      </c>
      <c r="F74" s="49">
        <v>99980</v>
      </c>
      <c r="G74" s="49">
        <f>118326+42675</f>
        <v>161001</v>
      </c>
      <c r="H74" s="49">
        <f>96723+61698</f>
        <v>158421</v>
      </c>
    </row>
    <row r="75" spans="1:8">
      <c r="A75" s="45" t="s">
        <v>154</v>
      </c>
      <c r="B75" s="46">
        <f>61893+10658</f>
        <v>72551</v>
      </c>
      <c r="C75" s="47">
        <f>58662-2164</f>
        <v>56498</v>
      </c>
      <c r="D75" s="47">
        <f>26708+2164</f>
        <v>28872</v>
      </c>
      <c r="E75" s="47">
        <v>76386</v>
      </c>
      <c r="F75" s="47">
        <v>59491</v>
      </c>
      <c r="G75" s="47">
        <v>80995</v>
      </c>
      <c r="H75" s="47">
        <v>94267</v>
      </c>
    </row>
    <row r="76" spans="1:8">
      <c r="A76" s="45" t="s">
        <v>155</v>
      </c>
      <c r="B76" s="46"/>
      <c r="C76" s="47"/>
      <c r="D76" s="47"/>
      <c r="E76" s="47"/>
      <c r="F76" s="47">
        <v>11609</v>
      </c>
      <c r="G76" s="47">
        <v>44201</v>
      </c>
      <c r="H76" s="47">
        <v>18395</v>
      </c>
    </row>
    <row r="77" spans="1:8">
      <c r="A77" s="45" t="s">
        <v>156</v>
      </c>
      <c r="B77" s="46">
        <f>-397107-20573</f>
        <v>-417680</v>
      </c>
      <c r="C77" s="47">
        <v>-417180</v>
      </c>
      <c r="D77" s="47">
        <v>64834</v>
      </c>
      <c r="E77" s="47">
        <v>-244001</v>
      </c>
      <c r="F77" s="47">
        <v>-143953</v>
      </c>
      <c r="G77" s="47">
        <v>-218529</v>
      </c>
      <c r="H77" s="47">
        <v>-168254</v>
      </c>
    </row>
    <row r="78" spans="1:8">
      <c r="A78" s="50" t="s">
        <v>157</v>
      </c>
      <c r="B78" s="44">
        <f t="shared" ref="B78:H78" si="9">SUM(B71:B77)</f>
        <v>40261</v>
      </c>
      <c r="C78" s="44">
        <f t="shared" si="9"/>
        <v>42948</v>
      </c>
      <c r="D78" s="44">
        <f t="shared" si="9"/>
        <v>250926</v>
      </c>
      <c r="E78" s="44">
        <f t="shared" si="9"/>
        <v>59003</v>
      </c>
      <c r="F78" s="44">
        <f t="shared" si="9"/>
        <v>27233</v>
      </c>
      <c r="G78" s="44">
        <f t="shared" si="9"/>
        <v>121847</v>
      </c>
      <c r="H78" s="44">
        <f t="shared" si="9"/>
        <v>102829</v>
      </c>
    </row>
    <row r="79" spans="1:8">
      <c r="A79" s="54" t="s">
        <v>169</v>
      </c>
      <c r="B79" s="55"/>
      <c r="C79" s="56"/>
      <c r="D79" s="56"/>
      <c r="E79" s="56"/>
      <c r="F79" s="56"/>
      <c r="G79" s="56"/>
      <c r="H79" s="56"/>
    </row>
    <row r="80" spans="1:8">
      <c r="A80" s="45" t="s">
        <v>146</v>
      </c>
      <c r="B80" s="52">
        <f>8764+10198</f>
        <v>18962</v>
      </c>
      <c r="C80" s="53">
        <v>30729</v>
      </c>
      <c r="D80" s="53">
        <v>35358</v>
      </c>
      <c r="E80" s="53">
        <v>44150</v>
      </c>
      <c r="F80" s="53">
        <v>69541</v>
      </c>
      <c r="G80" s="53">
        <v>47178</v>
      </c>
      <c r="H80" s="53">
        <v>34033</v>
      </c>
    </row>
    <row r="81" spans="1:8">
      <c r="A81" s="45" t="s">
        <v>152</v>
      </c>
      <c r="B81" s="46">
        <f>19710+29205</f>
        <v>48915</v>
      </c>
      <c r="C81" s="47">
        <v>52751</v>
      </c>
      <c r="D81" s="47">
        <v>31331</v>
      </c>
      <c r="E81" s="47">
        <v>65580</v>
      </c>
      <c r="F81" s="47">
        <v>51137</v>
      </c>
      <c r="G81" s="47">
        <v>13873</v>
      </c>
      <c r="H81" s="47">
        <v>32827</v>
      </c>
    </row>
    <row r="82" spans="1:8">
      <c r="A82" s="45" t="s">
        <v>153</v>
      </c>
      <c r="B82" s="48">
        <v>153019</v>
      </c>
      <c r="C82" s="49">
        <v>328184</v>
      </c>
      <c r="D82" s="49">
        <v>370587</v>
      </c>
      <c r="E82" s="49">
        <v>223041</v>
      </c>
      <c r="F82" s="49">
        <v>314268</v>
      </c>
      <c r="G82" s="49">
        <f>63068+53245.74</f>
        <v>116313.73999999999</v>
      </c>
      <c r="H82" s="49">
        <f>73329+86012</f>
        <v>159341</v>
      </c>
    </row>
    <row r="83" spans="1:8">
      <c r="A83" s="45" t="s">
        <v>154</v>
      </c>
      <c r="B83" s="48">
        <f>147955+28471</f>
        <v>176426</v>
      </c>
      <c r="C83" s="49">
        <v>350050</v>
      </c>
      <c r="D83" s="49">
        <v>202172</v>
      </c>
      <c r="E83" s="49">
        <v>518012</v>
      </c>
      <c r="F83" s="49">
        <v>147539</v>
      </c>
      <c r="G83" s="49">
        <v>303115</v>
      </c>
      <c r="H83" s="49">
        <v>172175</v>
      </c>
    </row>
    <row r="84" spans="1:8">
      <c r="A84" s="45" t="s">
        <v>155</v>
      </c>
      <c r="B84" s="48"/>
      <c r="C84" s="49">
        <v>19055</v>
      </c>
      <c r="D84" s="49"/>
      <c r="E84" s="49">
        <v>235</v>
      </c>
      <c r="F84" s="49">
        <v>7505</v>
      </c>
      <c r="G84" s="49">
        <v>16057.63</v>
      </c>
      <c r="H84" s="49">
        <v>2606</v>
      </c>
    </row>
    <row r="85" spans="1:8">
      <c r="A85" s="45" t="s">
        <v>147</v>
      </c>
      <c r="B85" s="48"/>
      <c r="C85" s="49"/>
      <c r="D85" s="49"/>
      <c r="E85" s="49"/>
      <c r="F85" s="49">
        <v>880</v>
      </c>
      <c r="G85" s="49">
        <v>417</v>
      </c>
      <c r="H85" s="49"/>
    </row>
    <row r="86" spans="1:8">
      <c r="A86" s="45" t="s">
        <v>156</v>
      </c>
      <c r="B86" s="48">
        <f>-337922+960</f>
        <v>-336962</v>
      </c>
      <c r="C86" s="49">
        <v>-649155</v>
      </c>
      <c r="D86" s="49">
        <v>-495587</v>
      </c>
      <c r="E86" s="49">
        <v>-721333</v>
      </c>
      <c r="F86" s="49">
        <v>-670625</v>
      </c>
      <c r="G86" s="49">
        <v>-343044</v>
      </c>
      <c r="H86" s="49">
        <v>-355536</v>
      </c>
    </row>
    <row r="87" spans="1:8">
      <c r="A87" s="50" t="s">
        <v>150</v>
      </c>
      <c r="B87" s="44">
        <f t="shared" ref="B87:H87" si="10">SUM(B80:B86)</f>
        <v>60360</v>
      </c>
      <c r="C87" s="44">
        <f t="shared" si="10"/>
        <v>131614</v>
      </c>
      <c r="D87" s="44">
        <f t="shared" si="10"/>
        <v>143861</v>
      </c>
      <c r="E87" s="44">
        <f t="shared" si="10"/>
        <v>129685</v>
      </c>
      <c r="F87" s="44">
        <f t="shared" si="10"/>
        <v>-79755</v>
      </c>
      <c r="G87" s="44">
        <f t="shared" si="10"/>
        <v>153910.37</v>
      </c>
      <c r="H87" s="44">
        <f t="shared" si="10"/>
        <v>45446</v>
      </c>
    </row>
    <row r="88" spans="1:8">
      <c r="A88" s="54" t="s">
        <v>170</v>
      </c>
      <c r="B88" s="55"/>
      <c r="C88" s="56"/>
      <c r="D88" s="56"/>
      <c r="E88" s="56"/>
      <c r="F88" s="56"/>
      <c r="G88" s="56"/>
      <c r="H88" s="56"/>
    </row>
    <row r="89" spans="1:8">
      <c r="A89" s="45" t="s">
        <v>171</v>
      </c>
      <c r="B89" s="52">
        <v>46495</v>
      </c>
      <c r="C89" s="53">
        <f>54570</f>
        <v>54570</v>
      </c>
      <c r="D89" s="53"/>
      <c r="E89" s="53"/>
      <c r="F89" s="53">
        <v>8444</v>
      </c>
      <c r="G89" s="53"/>
      <c r="H89" s="53"/>
    </row>
    <row r="90" spans="1:8">
      <c r="A90" s="45" t="s">
        <v>172</v>
      </c>
      <c r="B90" s="46">
        <v>20859</v>
      </c>
      <c r="C90" s="47"/>
      <c r="D90" s="47">
        <f>18072+4856+11067+31620+5278</f>
        <v>70893</v>
      </c>
      <c r="E90" s="47">
        <f>10193+14152</f>
        <v>24345</v>
      </c>
      <c r="F90" s="47">
        <v>96434</v>
      </c>
      <c r="G90" s="47"/>
      <c r="H90" s="47"/>
    </row>
    <row r="91" spans="1:8">
      <c r="A91" s="45" t="s">
        <v>173</v>
      </c>
      <c r="B91" s="48">
        <v>23489</v>
      </c>
      <c r="C91" s="49">
        <v>8196</v>
      </c>
      <c r="D91" s="49"/>
      <c r="E91" s="49"/>
      <c r="F91" s="49"/>
      <c r="G91" s="49"/>
      <c r="H91" s="49"/>
    </row>
    <row r="92" spans="1:8">
      <c r="A92" s="45" t="s">
        <v>174</v>
      </c>
      <c r="B92" s="48">
        <v>5000</v>
      </c>
      <c r="C92" s="49">
        <v>62099</v>
      </c>
      <c r="D92" s="49">
        <f>92798.36+36770</f>
        <v>129568.36</v>
      </c>
      <c r="E92" s="49">
        <f>6250</f>
        <v>6250</v>
      </c>
      <c r="F92" s="49">
        <v>19045</v>
      </c>
      <c r="G92" s="49"/>
      <c r="H92" s="49"/>
    </row>
    <row r="93" spans="1:8">
      <c r="A93" s="45" t="s">
        <v>175</v>
      </c>
      <c r="B93" s="48"/>
      <c r="C93" s="49"/>
      <c r="D93" s="49"/>
      <c r="E93" s="49"/>
      <c r="F93" s="49"/>
      <c r="G93" s="49">
        <v>9370</v>
      </c>
      <c r="H93" s="49">
        <f>180721-20000</f>
        <v>160721</v>
      </c>
    </row>
    <row r="94" spans="1:8">
      <c r="A94" s="45" t="s">
        <v>176</v>
      </c>
      <c r="B94" s="48"/>
      <c r="C94" s="49"/>
      <c r="D94" s="49"/>
      <c r="E94" s="49"/>
      <c r="F94" s="49"/>
      <c r="G94" s="49">
        <f>6699+3414+15266</f>
        <v>25379</v>
      </c>
      <c r="H94" s="49"/>
    </row>
    <row r="95" spans="1:8">
      <c r="A95" s="45" t="s">
        <v>177</v>
      </c>
      <c r="B95" s="48"/>
      <c r="C95" s="49"/>
      <c r="D95" s="49"/>
      <c r="E95" s="49"/>
      <c r="F95" s="49"/>
      <c r="G95" s="49">
        <f>115673.67+14736.33</f>
        <v>130410</v>
      </c>
      <c r="H95" s="49">
        <v>30400</v>
      </c>
    </row>
    <row r="96" spans="1:8">
      <c r="A96" s="45" t="s">
        <v>178</v>
      </c>
      <c r="B96" s="48"/>
      <c r="C96" s="49"/>
      <c r="D96" s="49"/>
      <c r="E96" s="49"/>
      <c r="F96" s="49"/>
      <c r="G96" s="49"/>
      <c r="H96" s="49">
        <f>27459+65801+16804</f>
        <v>110064</v>
      </c>
    </row>
    <row r="97" spans="1:9">
      <c r="A97" s="45" t="s">
        <v>179</v>
      </c>
      <c r="B97" s="48"/>
      <c r="C97" s="49"/>
      <c r="D97" s="49"/>
      <c r="E97" s="49"/>
      <c r="F97" s="49"/>
      <c r="G97" s="49"/>
      <c r="H97" s="49">
        <f>615221-140585</f>
        <v>474636</v>
      </c>
    </row>
    <row r="98" spans="1:9">
      <c r="A98" s="45" t="s">
        <v>180</v>
      </c>
      <c r="B98" s="48"/>
      <c r="C98" s="49"/>
      <c r="D98" s="49"/>
      <c r="E98" s="49"/>
      <c r="F98" s="49"/>
      <c r="G98" s="49"/>
      <c r="H98" s="49">
        <v>208000</v>
      </c>
    </row>
    <row r="99" spans="1:9">
      <c r="A99" s="45" t="s">
        <v>181</v>
      </c>
      <c r="B99" s="48">
        <v>467</v>
      </c>
      <c r="C99" s="49">
        <v>7178.74</v>
      </c>
      <c r="D99" s="49">
        <v>7992</v>
      </c>
      <c r="E99" s="49">
        <f>11189+2844+7060-2038</f>
        <v>19055</v>
      </c>
      <c r="F99" s="49">
        <v>35428</v>
      </c>
      <c r="G99" s="49">
        <f>171885-165159</f>
        <v>6726</v>
      </c>
      <c r="H99" s="49">
        <v>52715</v>
      </c>
    </row>
    <row r="100" spans="1:9">
      <c r="A100" s="50" t="s">
        <v>150</v>
      </c>
      <c r="B100" s="44">
        <f t="shared" ref="B100:H100" si="11">SUM(B89:B99)</f>
        <v>96310</v>
      </c>
      <c r="C100" s="44">
        <f t="shared" si="11"/>
        <v>132043.74</v>
      </c>
      <c r="D100" s="44">
        <f t="shared" si="11"/>
        <v>208453.36</v>
      </c>
      <c r="E100" s="44">
        <f t="shared" si="11"/>
        <v>49650</v>
      </c>
      <c r="F100" s="44">
        <f t="shared" si="11"/>
        <v>159351</v>
      </c>
      <c r="G100" s="44">
        <f t="shared" si="11"/>
        <v>171885</v>
      </c>
      <c r="H100" s="44">
        <f t="shared" si="11"/>
        <v>1036536</v>
      </c>
      <c r="I100" s="57"/>
    </row>
    <row r="101" spans="1:9">
      <c r="A101" s="54" t="s">
        <v>182</v>
      </c>
      <c r="B101" s="58"/>
      <c r="C101" s="59"/>
      <c r="D101" s="59"/>
      <c r="E101" s="59"/>
      <c r="F101" s="59"/>
      <c r="G101" s="59"/>
      <c r="H101" s="59"/>
    </row>
    <row r="102" spans="1:9">
      <c r="A102" s="45" t="s">
        <v>146</v>
      </c>
      <c r="B102" s="52">
        <v>15557</v>
      </c>
      <c r="C102" s="53">
        <v>2932</v>
      </c>
      <c r="D102" s="53">
        <v>285808</v>
      </c>
      <c r="E102" s="53"/>
      <c r="F102" s="53"/>
      <c r="G102" s="53"/>
      <c r="H102" s="53"/>
    </row>
    <row r="103" spans="1:9">
      <c r="A103" s="45" t="s">
        <v>152</v>
      </c>
      <c r="B103" s="46">
        <f>508372+1812</f>
        <v>510184</v>
      </c>
      <c r="C103" s="47">
        <v>271881</v>
      </c>
      <c r="D103" s="47">
        <v>153513</v>
      </c>
      <c r="E103" s="47"/>
      <c r="F103" s="47"/>
      <c r="G103" s="47"/>
      <c r="H103" s="47"/>
    </row>
    <row r="104" spans="1:9">
      <c r="A104" s="50" t="s">
        <v>150</v>
      </c>
      <c r="B104" s="44">
        <f t="shared" ref="B104:H104" si="12">SUM(B102:B103)</f>
        <v>525741</v>
      </c>
      <c r="C104" s="44">
        <f t="shared" si="12"/>
        <v>274813</v>
      </c>
      <c r="D104" s="44">
        <f t="shared" si="12"/>
        <v>439321</v>
      </c>
      <c r="E104" s="44">
        <f t="shared" si="12"/>
        <v>0</v>
      </c>
      <c r="F104" s="44">
        <f t="shared" si="12"/>
        <v>0</v>
      </c>
      <c r="G104" s="44">
        <f t="shared" si="12"/>
        <v>0</v>
      </c>
      <c r="H104" s="44">
        <f t="shared" si="12"/>
        <v>0</v>
      </c>
    </row>
    <row r="105" spans="1:9">
      <c r="A105" s="43" t="s">
        <v>183</v>
      </c>
      <c r="B105" s="51"/>
      <c r="C105" s="51"/>
      <c r="D105" s="51"/>
      <c r="E105" s="51"/>
      <c r="F105" s="51"/>
      <c r="G105" s="51"/>
      <c r="H105" s="51"/>
    </row>
    <row r="106" spans="1:9">
      <c r="A106" s="45" t="s">
        <v>146</v>
      </c>
      <c r="B106" s="52">
        <v>112188</v>
      </c>
      <c r="C106" s="53">
        <v>160976</v>
      </c>
      <c r="D106" s="53">
        <v>246453</v>
      </c>
      <c r="E106" s="53"/>
      <c r="F106" s="53"/>
      <c r="G106" s="53"/>
      <c r="H106" s="53">
        <v>254383</v>
      </c>
    </row>
    <row r="107" spans="1:9">
      <c r="A107" s="45" t="s">
        <v>152</v>
      </c>
      <c r="B107" s="46">
        <f>52653+76</f>
        <v>52729</v>
      </c>
      <c r="C107" s="47">
        <f>187897-1897</f>
        <v>186000</v>
      </c>
      <c r="D107" s="47">
        <v>205950</v>
      </c>
      <c r="E107" s="47"/>
      <c r="F107" s="47"/>
      <c r="G107" s="47"/>
      <c r="H107" s="47"/>
    </row>
    <row r="108" spans="1:9">
      <c r="A108" s="45" t="s">
        <v>154</v>
      </c>
      <c r="B108" s="46"/>
      <c r="C108" s="47"/>
      <c r="D108" s="47"/>
      <c r="E108" s="47"/>
      <c r="F108" s="47"/>
      <c r="G108" s="47"/>
      <c r="H108" s="47"/>
    </row>
    <row r="109" spans="1:9">
      <c r="A109" s="45" t="s">
        <v>156</v>
      </c>
      <c r="B109" s="46"/>
      <c r="C109" s="47"/>
      <c r="D109" s="47">
        <v>-1805</v>
      </c>
      <c r="E109" s="47"/>
      <c r="F109" s="47"/>
      <c r="G109" s="47"/>
      <c r="H109" s="47"/>
    </row>
    <row r="110" spans="1:9">
      <c r="A110" s="50" t="s">
        <v>157</v>
      </c>
      <c r="B110" s="44">
        <f t="shared" ref="B110:H110" si="13">SUM(B105:B109)</f>
        <v>164917</v>
      </c>
      <c r="C110" s="44">
        <f t="shared" si="13"/>
        <v>346976</v>
      </c>
      <c r="D110" s="44">
        <f t="shared" si="13"/>
        <v>450598</v>
      </c>
      <c r="E110" s="44">
        <f t="shared" si="13"/>
        <v>0</v>
      </c>
      <c r="F110" s="44">
        <f t="shared" si="13"/>
        <v>0</v>
      </c>
      <c r="G110" s="44">
        <f t="shared" si="13"/>
        <v>0</v>
      </c>
      <c r="H110" s="44">
        <f t="shared" si="13"/>
        <v>254383</v>
      </c>
    </row>
    <row r="111" spans="1:9">
      <c r="A111" s="43" t="s">
        <v>184</v>
      </c>
      <c r="B111" s="51"/>
      <c r="C111" s="51"/>
      <c r="D111" s="51"/>
      <c r="E111" s="51"/>
      <c r="F111" s="51"/>
      <c r="G111" s="51"/>
      <c r="H111" s="51"/>
    </row>
    <row r="112" spans="1:9">
      <c r="A112" s="45" t="s">
        <v>185</v>
      </c>
      <c r="B112" s="52">
        <f>88204+1220</f>
        <v>89424</v>
      </c>
      <c r="C112" s="53">
        <v>180931</v>
      </c>
      <c r="D112" s="53">
        <v>114715</v>
      </c>
      <c r="E112" s="53">
        <v>74325</v>
      </c>
      <c r="F112" s="53">
        <v>77854</v>
      </c>
      <c r="G112" s="53">
        <v>141887</v>
      </c>
      <c r="H112" s="53">
        <v>160000</v>
      </c>
    </row>
    <row r="113" spans="1:8">
      <c r="A113" s="50" t="s">
        <v>157</v>
      </c>
      <c r="B113" s="44">
        <f t="shared" ref="B113:H113" si="14">SUM(B111:B112)</f>
        <v>89424</v>
      </c>
      <c r="C113" s="44">
        <f t="shared" si="14"/>
        <v>180931</v>
      </c>
      <c r="D113" s="44">
        <f t="shared" si="14"/>
        <v>114715</v>
      </c>
      <c r="E113" s="44">
        <f t="shared" si="14"/>
        <v>74325</v>
      </c>
      <c r="F113" s="44">
        <f t="shared" si="14"/>
        <v>77854</v>
      </c>
      <c r="G113" s="44">
        <f t="shared" si="14"/>
        <v>141887</v>
      </c>
      <c r="H113" s="44">
        <f t="shared" si="14"/>
        <v>160000</v>
      </c>
    </row>
    <row r="114" spans="1:8">
      <c r="A114" s="43" t="s">
        <v>186</v>
      </c>
      <c r="B114" s="51"/>
      <c r="C114" s="51"/>
      <c r="D114" s="51"/>
      <c r="E114" s="51"/>
      <c r="F114" s="51"/>
      <c r="G114" s="51"/>
      <c r="H114" s="51"/>
    </row>
    <row r="115" spans="1:8">
      <c r="A115" s="45" t="s">
        <v>187</v>
      </c>
      <c r="B115" s="52">
        <v>255827</v>
      </c>
      <c r="C115" s="53">
        <f>41887+43579+26643+36466+36466+1296+127+429+373</f>
        <v>187266</v>
      </c>
      <c r="D115" s="53">
        <f>26077+40769+32623+46688+25721+29971+2763.72</f>
        <v>204612.72</v>
      </c>
      <c r="E115" s="53">
        <f>10222+43029</f>
        <v>53251</v>
      </c>
      <c r="F115" s="53">
        <v>46316</v>
      </c>
      <c r="G115" s="53">
        <f>205905-21233</f>
        <v>184672</v>
      </c>
      <c r="H115" s="53">
        <v>40000</v>
      </c>
    </row>
    <row r="116" spans="1:8">
      <c r="A116" s="45" t="s">
        <v>188</v>
      </c>
      <c r="B116" s="46"/>
      <c r="C116" s="47">
        <f>13651+13414</f>
        <v>27065</v>
      </c>
      <c r="D116" s="47">
        <v>20236.5</v>
      </c>
      <c r="E116" s="47">
        <f>34492+83948</f>
        <v>118440</v>
      </c>
      <c r="F116" s="47">
        <v>12600</v>
      </c>
      <c r="G116" s="47">
        <v>21233</v>
      </c>
      <c r="H116" s="47">
        <v>20000</v>
      </c>
    </row>
    <row r="117" spans="1:8">
      <c r="A117" s="45" t="s">
        <v>189</v>
      </c>
      <c r="B117" s="48"/>
      <c r="C117" s="49">
        <f>344780+300240</f>
        <v>645020</v>
      </c>
      <c r="D117" s="49">
        <v>270935</v>
      </c>
      <c r="E117" s="49">
        <f>100811+268482</f>
        <v>369293</v>
      </c>
      <c r="F117" s="49">
        <f>151814.18+352220</f>
        <v>504034.18</v>
      </c>
      <c r="G117" s="49"/>
      <c r="H117" s="49">
        <f>1058400-620000</f>
        <v>438400</v>
      </c>
    </row>
    <row r="118" spans="1:8">
      <c r="A118" s="50" t="s">
        <v>157</v>
      </c>
      <c r="B118" s="44">
        <f t="shared" ref="B118:H118" si="15">SUM(B114:B117)</f>
        <v>255827</v>
      </c>
      <c r="C118" s="44">
        <f t="shared" si="15"/>
        <v>859351</v>
      </c>
      <c r="D118" s="44">
        <f t="shared" si="15"/>
        <v>495784.22</v>
      </c>
      <c r="E118" s="44">
        <f t="shared" si="15"/>
        <v>540984</v>
      </c>
      <c r="F118" s="44">
        <f t="shared" si="15"/>
        <v>562950.17999999993</v>
      </c>
      <c r="G118" s="44">
        <f t="shared" si="15"/>
        <v>205905</v>
      </c>
      <c r="H118" s="44">
        <f t="shared" si="15"/>
        <v>498400</v>
      </c>
    </row>
    <row r="119" spans="1:8">
      <c r="A119" s="43" t="s">
        <v>190</v>
      </c>
      <c r="B119" s="51"/>
      <c r="C119" s="51"/>
      <c r="D119" s="51"/>
      <c r="E119" s="51"/>
      <c r="F119" s="51"/>
      <c r="G119" s="51"/>
      <c r="H119" s="51"/>
    </row>
    <row r="120" spans="1:8">
      <c r="A120" s="45" t="s">
        <v>153</v>
      </c>
      <c r="B120" s="52">
        <v>159705</v>
      </c>
      <c r="C120" s="53">
        <v>727</v>
      </c>
      <c r="D120" s="53">
        <v>8829</v>
      </c>
      <c r="E120" s="53">
        <v>89981</v>
      </c>
      <c r="F120" s="53">
        <v>249646</v>
      </c>
      <c r="G120" s="53"/>
      <c r="H120" s="53"/>
    </row>
    <row r="121" spans="1:8">
      <c r="A121" s="45" t="s">
        <v>154</v>
      </c>
      <c r="B121" s="46"/>
      <c r="C121" s="47"/>
      <c r="D121" s="47"/>
      <c r="E121" s="47">
        <v>51238</v>
      </c>
      <c r="F121" s="47">
        <f>29943+257</f>
        <v>30200</v>
      </c>
      <c r="G121" s="47"/>
      <c r="H121" s="47"/>
    </row>
    <row r="122" spans="1:8">
      <c r="A122" s="45" t="s">
        <v>155</v>
      </c>
      <c r="B122" s="46"/>
      <c r="C122" s="47"/>
      <c r="D122" s="47"/>
      <c r="E122" s="47"/>
      <c r="F122" s="47">
        <v>11117</v>
      </c>
      <c r="G122" s="47"/>
      <c r="H122" s="47"/>
    </row>
    <row r="123" spans="1:8">
      <c r="A123" s="50" t="s">
        <v>157</v>
      </c>
      <c r="B123" s="44">
        <f t="shared" ref="B123:H123" si="16">SUM(B119:B122)</f>
        <v>159705</v>
      </c>
      <c r="C123" s="44">
        <f t="shared" si="16"/>
        <v>727</v>
      </c>
      <c r="D123" s="44">
        <f t="shared" si="16"/>
        <v>8829</v>
      </c>
      <c r="E123" s="44">
        <f t="shared" si="16"/>
        <v>141219</v>
      </c>
      <c r="F123" s="44">
        <f t="shared" si="16"/>
        <v>290963</v>
      </c>
      <c r="G123" s="44">
        <f t="shared" si="16"/>
        <v>0</v>
      </c>
      <c r="H123" s="44">
        <f t="shared" si="16"/>
        <v>0</v>
      </c>
    </row>
    <row r="124" spans="1:8">
      <c r="A124" s="43" t="s">
        <v>191</v>
      </c>
      <c r="B124" s="52"/>
      <c r="C124" s="53"/>
      <c r="D124" s="53"/>
      <c r="E124" s="53"/>
      <c r="F124" s="53"/>
      <c r="G124" s="53"/>
      <c r="H124" s="53"/>
    </row>
    <row r="125" spans="1:8">
      <c r="A125" s="45" t="s">
        <v>146</v>
      </c>
      <c r="B125" s="46">
        <v>5840</v>
      </c>
      <c r="C125" s="47"/>
      <c r="D125" s="47"/>
      <c r="E125" s="47"/>
      <c r="F125" s="47"/>
      <c r="G125" s="47"/>
      <c r="H125" s="47"/>
    </row>
    <row r="126" spans="1:8">
      <c r="A126" s="45" t="s">
        <v>152</v>
      </c>
      <c r="B126" s="48">
        <v>105893</v>
      </c>
      <c r="C126" s="49"/>
      <c r="D126" s="49"/>
      <c r="E126" s="49"/>
      <c r="F126" s="49"/>
      <c r="G126" s="49"/>
      <c r="H126" s="49"/>
    </row>
    <row r="127" spans="1:8">
      <c r="A127" s="45" t="s">
        <v>154</v>
      </c>
      <c r="B127" s="46">
        <v>11737</v>
      </c>
      <c r="C127" s="47"/>
      <c r="D127" s="47"/>
      <c r="E127" s="47"/>
      <c r="F127" s="47"/>
      <c r="G127" s="47"/>
      <c r="H127" s="47"/>
    </row>
    <row r="128" spans="1:8">
      <c r="A128" s="50" t="s">
        <v>157</v>
      </c>
      <c r="B128" s="44">
        <f t="shared" ref="B128:H128" si="17">SUM(B124:B127)</f>
        <v>123470</v>
      </c>
      <c r="C128" s="44">
        <f t="shared" si="17"/>
        <v>0</v>
      </c>
      <c r="D128" s="44">
        <f t="shared" si="17"/>
        <v>0</v>
      </c>
      <c r="E128" s="44">
        <f t="shared" si="17"/>
        <v>0</v>
      </c>
      <c r="F128" s="44">
        <f t="shared" si="17"/>
        <v>0</v>
      </c>
      <c r="G128" s="44">
        <f t="shared" si="17"/>
        <v>0</v>
      </c>
      <c r="H128" s="44">
        <f t="shared" si="17"/>
        <v>0</v>
      </c>
    </row>
    <row r="129" spans="1:8">
      <c r="A129" s="43" t="s">
        <v>192</v>
      </c>
      <c r="B129" s="52"/>
      <c r="C129" s="53"/>
      <c r="D129" s="53"/>
      <c r="E129" s="53"/>
      <c r="F129" s="53"/>
      <c r="G129" s="53"/>
      <c r="H129" s="53"/>
    </row>
    <row r="130" spans="1:8">
      <c r="A130" s="45" t="s">
        <v>146</v>
      </c>
      <c r="B130" s="46">
        <v>94507</v>
      </c>
      <c r="C130" s="47"/>
      <c r="D130" s="47">
        <v>47818</v>
      </c>
      <c r="E130" s="47"/>
      <c r="F130" s="47"/>
      <c r="G130" s="47"/>
      <c r="H130" s="47"/>
    </row>
    <row r="131" spans="1:8">
      <c r="A131" s="45" t="s">
        <v>152</v>
      </c>
      <c r="B131" s="48">
        <v>169087</v>
      </c>
      <c r="C131" s="49"/>
      <c r="D131" s="49"/>
      <c r="E131" s="49"/>
      <c r="F131" s="49"/>
      <c r="G131" s="49"/>
      <c r="H131" s="49"/>
    </row>
    <row r="132" spans="1:8">
      <c r="A132" s="45" t="s">
        <v>154</v>
      </c>
      <c r="B132" s="46">
        <v>7433</v>
      </c>
      <c r="C132" s="47"/>
      <c r="D132" s="47"/>
      <c r="E132" s="47"/>
      <c r="F132" s="47"/>
      <c r="G132" s="47"/>
      <c r="H132" s="47"/>
    </row>
    <row r="133" spans="1:8">
      <c r="A133" s="50" t="s">
        <v>157</v>
      </c>
      <c r="B133" s="44">
        <f t="shared" ref="B133:H133" si="18">SUM(B129:B132)</f>
        <v>271027</v>
      </c>
      <c r="C133" s="44">
        <f t="shared" si="18"/>
        <v>0</v>
      </c>
      <c r="D133" s="44">
        <f t="shared" si="18"/>
        <v>47818</v>
      </c>
      <c r="E133" s="44">
        <f t="shared" si="18"/>
        <v>0</v>
      </c>
      <c r="F133" s="44">
        <f t="shared" si="18"/>
        <v>0</v>
      </c>
      <c r="G133" s="44">
        <f t="shared" si="18"/>
        <v>0</v>
      </c>
      <c r="H133" s="44">
        <f t="shared" si="18"/>
        <v>0</v>
      </c>
    </row>
    <row r="134" spans="1:8">
      <c r="A134" s="54" t="s">
        <v>193</v>
      </c>
      <c r="B134" s="58"/>
      <c r="C134" s="59"/>
      <c r="D134" s="59"/>
      <c r="E134" s="59"/>
      <c r="F134" s="59"/>
      <c r="G134" s="59"/>
      <c r="H134" s="59"/>
    </row>
    <row r="135" spans="1:8">
      <c r="A135" s="45" t="s">
        <v>145</v>
      </c>
      <c r="B135" s="52"/>
      <c r="C135" s="53">
        <v>45</v>
      </c>
      <c r="D135" s="53"/>
      <c r="E135" s="53"/>
      <c r="F135" s="53"/>
      <c r="G135" s="53"/>
      <c r="H135" s="53"/>
    </row>
    <row r="136" spans="1:8">
      <c r="A136" s="45" t="s">
        <v>146</v>
      </c>
      <c r="B136" s="46"/>
      <c r="C136" s="47">
        <v>74930</v>
      </c>
      <c r="D136" s="47"/>
      <c r="E136" s="47"/>
      <c r="F136" s="47"/>
      <c r="G136" s="47"/>
      <c r="H136" s="47"/>
    </row>
    <row r="137" spans="1:8">
      <c r="A137" s="45" t="s">
        <v>152</v>
      </c>
      <c r="B137" s="48"/>
      <c r="C137" s="49">
        <v>54150</v>
      </c>
      <c r="D137" s="49"/>
      <c r="E137" s="49"/>
      <c r="F137" s="49"/>
      <c r="G137" s="49"/>
      <c r="H137" s="49"/>
    </row>
    <row r="138" spans="1:8">
      <c r="A138" s="45" t="s">
        <v>153</v>
      </c>
      <c r="B138" s="48"/>
      <c r="C138" s="49">
        <v>103916</v>
      </c>
      <c r="D138" s="49"/>
      <c r="E138" s="49"/>
      <c r="F138" s="49"/>
      <c r="G138" s="49"/>
      <c r="H138" s="49"/>
    </row>
    <row r="139" spans="1:8">
      <c r="A139" s="50" t="s">
        <v>150</v>
      </c>
      <c r="B139" s="44">
        <f t="shared" ref="B139:H139" si="19">SUM(B135:B138)</f>
        <v>0</v>
      </c>
      <c r="C139" s="44">
        <f t="shared" si="19"/>
        <v>233041</v>
      </c>
      <c r="D139" s="44">
        <f t="shared" si="19"/>
        <v>0</v>
      </c>
      <c r="E139" s="44">
        <f t="shared" si="19"/>
        <v>0</v>
      </c>
      <c r="F139" s="44">
        <f t="shared" si="19"/>
        <v>0</v>
      </c>
      <c r="G139" s="44">
        <f t="shared" si="19"/>
        <v>0</v>
      </c>
      <c r="H139" s="44">
        <f t="shared" si="19"/>
        <v>0</v>
      </c>
    </row>
    <row r="140" spans="1:8">
      <c r="A140" s="54" t="s">
        <v>194</v>
      </c>
      <c r="B140" s="58"/>
      <c r="C140" s="59"/>
      <c r="D140" s="59"/>
      <c r="E140" s="59"/>
      <c r="F140" s="59"/>
      <c r="G140" s="59"/>
      <c r="H140" s="59"/>
    </row>
    <row r="141" spans="1:8">
      <c r="A141" s="45" t="s">
        <v>146</v>
      </c>
      <c r="B141" s="52"/>
      <c r="C141" s="53">
        <v>215732</v>
      </c>
      <c r="D141" s="53">
        <v>20472</v>
      </c>
      <c r="E141" s="53"/>
      <c r="F141" s="53"/>
      <c r="G141" s="53"/>
      <c r="H141" s="53"/>
    </row>
    <row r="142" spans="1:8">
      <c r="A142" s="45" t="s">
        <v>152</v>
      </c>
      <c r="B142" s="46"/>
      <c r="C142" s="47">
        <v>395597</v>
      </c>
      <c r="D142" s="47">
        <v>136431</v>
      </c>
      <c r="E142" s="47"/>
      <c r="F142" s="47"/>
      <c r="G142" s="47"/>
      <c r="H142" s="47"/>
    </row>
    <row r="143" spans="1:8">
      <c r="A143" s="45" t="s">
        <v>153</v>
      </c>
      <c r="B143" s="48"/>
      <c r="C143" s="49">
        <v>109329</v>
      </c>
      <c r="D143" s="49">
        <v>226595</v>
      </c>
      <c r="E143" s="49">
        <f>1716+68</f>
        <v>1784</v>
      </c>
      <c r="F143" s="49"/>
      <c r="G143" s="49"/>
      <c r="H143" s="49"/>
    </row>
    <row r="144" spans="1:8">
      <c r="A144" s="45" t="s">
        <v>154</v>
      </c>
      <c r="B144" s="48"/>
      <c r="C144" s="49">
        <v>3763</v>
      </c>
      <c r="D144" s="49">
        <v>62572</v>
      </c>
      <c r="E144" s="49"/>
      <c r="F144" s="49"/>
      <c r="G144" s="49"/>
      <c r="H144" s="49"/>
    </row>
    <row r="145" spans="1:8">
      <c r="A145" s="50" t="s">
        <v>150</v>
      </c>
      <c r="B145" s="44">
        <f t="shared" ref="B145:H145" si="20">SUM(B141:B144)</f>
        <v>0</v>
      </c>
      <c r="C145" s="44">
        <f t="shared" si="20"/>
        <v>724421</v>
      </c>
      <c r="D145" s="44">
        <f t="shared" si="20"/>
        <v>446070</v>
      </c>
      <c r="E145" s="44">
        <f t="shared" si="20"/>
        <v>1784</v>
      </c>
      <c r="F145" s="44">
        <f t="shared" si="20"/>
        <v>0</v>
      </c>
      <c r="G145" s="44">
        <f t="shared" si="20"/>
        <v>0</v>
      </c>
      <c r="H145" s="44">
        <f t="shared" si="20"/>
        <v>0</v>
      </c>
    </row>
    <row r="146" spans="1:8">
      <c r="A146" s="43" t="s">
        <v>195</v>
      </c>
      <c r="B146" s="51"/>
      <c r="C146" s="51"/>
      <c r="D146" s="51"/>
      <c r="E146" s="51"/>
      <c r="F146" s="51"/>
      <c r="G146" s="51"/>
      <c r="H146" s="51"/>
    </row>
    <row r="147" spans="1:8">
      <c r="A147" s="45" t="s">
        <v>153</v>
      </c>
      <c r="B147" s="52"/>
      <c r="C147" s="53">
        <v>119240</v>
      </c>
      <c r="D147" s="53"/>
      <c r="E147" s="53"/>
      <c r="F147" s="53"/>
      <c r="G147" s="53"/>
      <c r="H147" s="53"/>
    </row>
    <row r="148" spans="1:8">
      <c r="A148" s="45" t="s">
        <v>154</v>
      </c>
      <c r="B148" s="46"/>
      <c r="C148" s="47">
        <v>42499</v>
      </c>
      <c r="D148" s="47"/>
      <c r="E148" s="47"/>
      <c r="F148" s="47"/>
      <c r="G148" s="47"/>
      <c r="H148" s="47"/>
    </row>
    <row r="149" spans="1:8">
      <c r="A149" s="50" t="s">
        <v>157</v>
      </c>
      <c r="B149" s="44">
        <f t="shared" ref="B149:H149" si="21">SUM(B146:B148)</f>
        <v>0</v>
      </c>
      <c r="C149" s="44">
        <f t="shared" si="21"/>
        <v>161739</v>
      </c>
      <c r="D149" s="44">
        <f t="shared" si="21"/>
        <v>0</v>
      </c>
      <c r="E149" s="44">
        <f t="shared" si="21"/>
        <v>0</v>
      </c>
      <c r="F149" s="44">
        <f t="shared" si="21"/>
        <v>0</v>
      </c>
      <c r="G149" s="44">
        <f t="shared" si="21"/>
        <v>0</v>
      </c>
      <c r="H149" s="44">
        <f t="shared" si="21"/>
        <v>0</v>
      </c>
    </row>
    <row r="150" spans="1:8">
      <c r="A150" s="43" t="s">
        <v>196</v>
      </c>
      <c r="B150" s="51"/>
      <c r="C150" s="51"/>
      <c r="D150" s="51"/>
      <c r="E150" s="51"/>
      <c r="F150" s="51"/>
      <c r="G150" s="51"/>
      <c r="H150" s="51"/>
    </row>
    <row r="151" spans="1:8">
      <c r="A151" s="45" t="s">
        <v>153</v>
      </c>
      <c r="B151" s="52"/>
      <c r="C151" s="53"/>
      <c r="D151" s="53">
        <v>184992</v>
      </c>
      <c r="E151" s="53"/>
      <c r="F151" s="53"/>
      <c r="G151" s="53"/>
      <c r="H151" s="53"/>
    </row>
    <row r="152" spans="1:8">
      <c r="A152" s="50" t="s">
        <v>157</v>
      </c>
      <c r="B152" s="44">
        <f t="shared" ref="B152:H152" si="22">SUM(B150:B151)</f>
        <v>0</v>
      </c>
      <c r="C152" s="44">
        <f t="shared" si="22"/>
        <v>0</v>
      </c>
      <c r="D152" s="44">
        <f t="shared" si="22"/>
        <v>184992</v>
      </c>
      <c r="E152" s="44">
        <f t="shared" si="22"/>
        <v>0</v>
      </c>
      <c r="F152" s="44">
        <f t="shared" si="22"/>
        <v>0</v>
      </c>
      <c r="G152" s="44">
        <f t="shared" si="22"/>
        <v>0</v>
      </c>
      <c r="H152" s="44">
        <f t="shared" si="22"/>
        <v>0</v>
      </c>
    </row>
    <row r="153" spans="1:8">
      <c r="A153" s="43" t="s">
        <v>197</v>
      </c>
      <c r="B153" s="51"/>
      <c r="C153" s="51"/>
      <c r="D153" s="51"/>
      <c r="E153" s="51"/>
      <c r="F153" s="51"/>
      <c r="G153" s="51"/>
      <c r="H153" s="51"/>
    </row>
    <row r="154" spans="1:8">
      <c r="A154" s="45" t="s">
        <v>148</v>
      </c>
      <c r="B154" s="52"/>
      <c r="C154" s="53"/>
      <c r="D154" s="53">
        <v>302438</v>
      </c>
      <c r="E154" s="53">
        <v>45300</v>
      </c>
      <c r="F154" s="53">
        <v>52901</v>
      </c>
      <c r="G154" s="53"/>
      <c r="H154" s="53">
        <v>92450</v>
      </c>
    </row>
    <row r="155" spans="1:8">
      <c r="A155" s="50" t="s">
        <v>157</v>
      </c>
      <c r="B155" s="44">
        <f t="shared" ref="B155:H155" si="23">SUM(B153:B154)</f>
        <v>0</v>
      </c>
      <c r="C155" s="44">
        <f t="shared" si="23"/>
        <v>0</v>
      </c>
      <c r="D155" s="44">
        <f t="shared" si="23"/>
        <v>302438</v>
      </c>
      <c r="E155" s="44">
        <f t="shared" si="23"/>
        <v>45300</v>
      </c>
      <c r="F155" s="44">
        <f t="shared" si="23"/>
        <v>52901</v>
      </c>
      <c r="G155" s="44">
        <f t="shared" si="23"/>
        <v>0</v>
      </c>
      <c r="H155" s="44">
        <f t="shared" si="23"/>
        <v>92450</v>
      </c>
    </row>
    <row r="156" spans="1:8">
      <c r="A156" s="43" t="s">
        <v>198</v>
      </c>
      <c r="B156" s="51"/>
      <c r="C156" s="51"/>
      <c r="D156" s="51"/>
      <c r="E156" s="51"/>
      <c r="F156" s="51"/>
      <c r="G156" s="51"/>
      <c r="H156" s="51"/>
    </row>
    <row r="157" spans="1:8">
      <c r="A157" s="45" t="s">
        <v>146</v>
      </c>
      <c r="B157" s="52"/>
      <c r="C157" s="53"/>
      <c r="D157" s="53">
        <v>208082</v>
      </c>
      <c r="E157" s="53"/>
      <c r="F157" s="53"/>
      <c r="G157" s="53"/>
      <c r="H157" s="53"/>
    </row>
    <row r="158" spans="1:8">
      <c r="A158" s="45" t="s">
        <v>152</v>
      </c>
      <c r="B158" s="46"/>
      <c r="C158" s="47"/>
      <c r="D158" s="47">
        <v>55469</v>
      </c>
      <c r="E158" s="47">
        <v>5956</v>
      </c>
      <c r="F158" s="47"/>
      <c r="G158" s="47"/>
      <c r="H158" s="47"/>
    </row>
    <row r="159" spans="1:8">
      <c r="A159" s="45" t="s">
        <v>154</v>
      </c>
      <c r="B159" s="48"/>
      <c r="C159" s="49"/>
      <c r="D159" s="49">
        <v>6107</v>
      </c>
      <c r="E159" s="49"/>
      <c r="F159" s="49"/>
      <c r="G159" s="49"/>
      <c r="H159" s="49"/>
    </row>
    <row r="160" spans="1:8">
      <c r="A160" s="50" t="s">
        <v>157</v>
      </c>
      <c r="B160" s="44">
        <f t="shared" ref="B160:H160" si="24">SUM(B156:B159)</f>
        <v>0</v>
      </c>
      <c r="C160" s="44">
        <f t="shared" si="24"/>
        <v>0</v>
      </c>
      <c r="D160" s="44">
        <f t="shared" si="24"/>
        <v>269658</v>
      </c>
      <c r="E160" s="44">
        <f t="shared" si="24"/>
        <v>5956</v>
      </c>
      <c r="F160" s="44">
        <f t="shared" si="24"/>
        <v>0</v>
      </c>
      <c r="G160" s="44">
        <f t="shared" si="24"/>
        <v>0</v>
      </c>
      <c r="H160" s="44">
        <f t="shared" si="24"/>
        <v>0</v>
      </c>
    </row>
    <row r="161" spans="1:8">
      <c r="A161" s="43" t="s">
        <v>199</v>
      </c>
      <c r="B161" s="51"/>
      <c r="C161" s="51"/>
      <c r="D161" s="51"/>
      <c r="E161" s="51"/>
      <c r="F161" s="51"/>
      <c r="G161" s="51"/>
      <c r="H161" s="51"/>
    </row>
    <row r="162" spans="1:8">
      <c r="A162" s="45" t="s">
        <v>153</v>
      </c>
      <c r="B162" s="52"/>
      <c r="C162" s="53"/>
      <c r="D162" s="53">
        <v>152478</v>
      </c>
      <c r="E162" s="53">
        <v>156882</v>
      </c>
      <c r="F162" s="47">
        <v>2206</v>
      </c>
      <c r="G162" s="47"/>
      <c r="H162" s="47"/>
    </row>
    <row r="163" spans="1:8">
      <c r="A163" s="45" t="s">
        <v>154</v>
      </c>
      <c r="B163" s="46"/>
      <c r="C163" s="47"/>
      <c r="D163" s="47">
        <v>41793</v>
      </c>
      <c r="E163" s="47">
        <v>22196</v>
      </c>
      <c r="F163" s="47"/>
      <c r="G163" s="47"/>
      <c r="H163" s="47"/>
    </row>
    <row r="164" spans="1:8">
      <c r="A164" s="50" t="s">
        <v>157</v>
      </c>
      <c r="B164" s="44">
        <f t="shared" ref="B164:H164" si="25">SUM(B161:B163)</f>
        <v>0</v>
      </c>
      <c r="C164" s="44">
        <f t="shared" si="25"/>
        <v>0</v>
      </c>
      <c r="D164" s="44">
        <f t="shared" si="25"/>
        <v>194271</v>
      </c>
      <c r="E164" s="44">
        <f t="shared" si="25"/>
        <v>179078</v>
      </c>
      <c r="F164" s="44">
        <f t="shared" si="25"/>
        <v>2206</v>
      </c>
      <c r="G164" s="44">
        <f t="shared" si="25"/>
        <v>0</v>
      </c>
      <c r="H164" s="44">
        <f t="shared" si="25"/>
        <v>0</v>
      </c>
    </row>
    <row r="165" spans="1:8">
      <c r="A165" s="43" t="s">
        <v>200</v>
      </c>
      <c r="B165" s="51"/>
      <c r="C165" s="51"/>
      <c r="D165" s="51"/>
      <c r="E165" s="51"/>
      <c r="F165" s="51"/>
      <c r="G165" s="51"/>
      <c r="H165" s="51"/>
    </row>
    <row r="166" spans="1:8">
      <c r="A166" s="45" t="s">
        <v>146</v>
      </c>
      <c r="B166" s="52"/>
      <c r="C166" s="53"/>
      <c r="D166" s="53">
        <v>437642</v>
      </c>
      <c r="E166" s="53">
        <v>34038</v>
      </c>
      <c r="F166" s="53"/>
      <c r="G166" s="53"/>
      <c r="H166" s="53"/>
    </row>
    <row r="167" spans="1:8">
      <c r="A167" s="45" t="s">
        <v>152</v>
      </c>
      <c r="B167" s="46"/>
      <c r="C167" s="47"/>
      <c r="D167" s="47">
        <v>143447</v>
      </c>
      <c r="E167" s="47">
        <v>135286</v>
      </c>
      <c r="F167" s="47"/>
      <c r="G167" s="47"/>
      <c r="H167" s="47"/>
    </row>
    <row r="168" spans="1:8">
      <c r="A168" s="45" t="s">
        <v>153</v>
      </c>
      <c r="B168" s="48"/>
      <c r="C168" s="49"/>
      <c r="D168" s="49">
        <v>5776</v>
      </c>
      <c r="E168" s="49"/>
      <c r="F168" s="49"/>
      <c r="G168" s="49"/>
      <c r="H168" s="49"/>
    </row>
    <row r="169" spans="1:8">
      <c r="A169" s="45" t="s">
        <v>154</v>
      </c>
      <c r="B169" s="46"/>
      <c r="C169" s="47"/>
      <c r="D169" s="47">
        <v>56961</v>
      </c>
      <c r="E169" s="47">
        <v>32770</v>
      </c>
      <c r="F169" s="47"/>
      <c r="G169" s="47"/>
      <c r="H169" s="47"/>
    </row>
    <row r="170" spans="1:8">
      <c r="A170" s="50" t="s">
        <v>157</v>
      </c>
      <c r="B170" s="44">
        <f t="shared" ref="B170:H170" si="26">SUM(B165:B169)</f>
        <v>0</v>
      </c>
      <c r="C170" s="44">
        <f t="shared" si="26"/>
        <v>0</v>
      </c>
      <c r="D170" s="44">
        <f t="shared" si="26"/>
        <v>643826</v>
      </c>
      <c r="E170" s="44">
        <f t="shared" si="26"/>
        <v>202094</v>
      </c>
      <c r="F170" s="44">
        <f t="shared" si="26"/>
        <v>0</v>
      </c>
      <c r="G170" s="44">
        <f t="shared" si="26"/>
        <v>0</v>
      </c>
      <c r="H170" s="44">
        <f t="shared" si="26"/>
        <v>0</v>
      </c>
    </row>
    <row r="171" spans="1:8">
      <c r="A171" s="43" t="s">
        <v>201</v>
      </c>
      <c r="B171" s="51"/>
      <c r="C171" s="51"/>
      <c r="D171" s="51"/>
      <c r="E171" s="51"/>
      <c r="F171" s="51"/>
      <c r="G171" s="51"/>
      <c r="H171" s="51"/>
    </row>
    <row r="172" spans="1:8">
      <c r="A172" s="45" t="s">
        <v>202</v>
      </c>
      <c r="B172" s="52"/>
      <c r="C172" s="47">
        <v>10260</v>
      </c>
      <c r="D172" s="53">
        <v>297472</v>
      </c>
      <c r="E172" s="47">
        <v>15730</v>
      </c>
      <c r="F172" s="47">
        <f>1800+17265</f>
        <v>19065</v>
      </c>
      <c r="G172" s="47">
        <v>821</v>
      </c>
      <c r="H172" s="47">
        <v>346437</v>
      </c>
    </row>
    <row r="173" spans="1:8">
      <c r="A173" s="50" t="s">
        <v>157</v>
      </c>
      <c r="B173" s="44">
        <f t="shared" ref="B173:H173" si="27">SUM(B171:B172)</f>
        <v>0</v>
      </c>
      <c r="C173" s="44">
        <f t="shared" si="27"/>
        <v>10260</v>
      </c>
      <c r="D173" s="44">
        <f t="shared" si="27"/>
        <v>297472</v>
      </c>
      <c r="E173" s="44">
        <f t="shared" si="27"/>
        <v>15730</v>
      </c>
      <c r="F173" s="44">
        <f t="shared" si="27"/>
        <v>19065</v>
      </c>
      <c r="G173" s="44">
        <f t="shared" si="27"/>
        <v>821</v>
      </c>
      <c r="H173" s="44">
        <f t="shared" si="27"/>
        <v>346437</v>
      </c>
    </row>
    <row r="174" spans="1:8">
      <c r="A174" s="43" t="s">
        <v>203</v>
      </c>
      <c r="B174" s="51"/>
      <c r="C174" s="51"/>
      <c r="D174" s="51"/>
      <c r="E174" s="51"/>
      <c r="F174" s="51"/>
      <c r="G174" s="51"/>
      <c r="H174" s="51"/>
    </row>
    <row r="175" spans="1:8">
      <c r="A175" s="45" t="s">
        <v>146</v>
      </c>
      <c r="B175" s="52"/>
      <c r="C175" s="53"/>
      <c r="D175" s="53">
        <v>111828</v>
      </c>
      <c r="E175" s="53">
        <v>3485</v>
      </c>
      <c r="F175" s="53"/>
      <c r="G175" s="53"/>
      <c r="H175" s="53"/>
    </row>
    <row r="176" spans="1:8">
      <c r="A176" s="45" t="s">
        <v>152</v>
      </c>
      <c r="B176" s="46"/>
      <c r="C176" s="47"/>
      <c r="D176" s="47">
        <v>159844</v>
      </c>
      <c r="E176" s="47"/>
      <c r="F176" s="47"/>
      <c r="G176" s="47"/>
      <c r="H176" s="47"/>
    </row>
    <row r="177" spans="1:8">
      <c r="A177" s="45" t="s">
        <v>154</v>
      </c>
      <c r="B177" s="48"/>
      <c r="C177" s="49"/>
      <c r="D177" s="49">
        <v>24488</v>
      </c>
      <c r="E177" s="49"/>
      <c r="F177" s="49"/>
      <c r="G177" s="49"/>
      <c r="H177" s="49"/>
    </row>
    <row r="178" spans="1:8">
      <c r="A178" s="45" t="s">
        <v>149</v>
      </c>
      <c r="B178" s="46"/>
      <c r="C178" s="47"/>
      <c r="D178" s="47">
        <v>-8311</v>
      </c>
      <c r="E178" s="47"/>
      <c r="F178" s="47"/>
      <c r="G178" s="47"/>
      <c r="H178" s="47"/>
    </row>
    <row r="179" spans="1:8">
      <c r="A179" s="50" t="s">
        <v>157</v>
      </c>
      <c r="B179" s="44">
        <f t="shared" ref="B179:H179" si="28">SUM(B174:B178)</f>
        <v>0</v>
      </c>
      <c r="C179" s="44">
        <f t="shared" si="28"/>
        <v>0</v>
      </c>
      <c r="D179" s="44">
        <f t="shared" si="28"/>
        <v>287849</v>
      </c>
      <c r="E179" s="44">
        <f t="shared" si="28"/>
        <v>3485</v>
      </c>
      <c r="F179" s="44">
        <f t="shared" si="28"/>
        <v>0</v>
      </c>
      <c r="G179" s="44">
        <f t="shared" si="28"/>
        <v>0</v>
      </c>
      <c r="H179" s="44">
        <f t="shared" si="28"/>
        <v>0</v>
      </c>
    </row>
    <row r="180" spans="1:8">
      <c r="A180" s="43" t="s">
        <v>204</v>
      </c>
      <c r="B180" s="51"/>
      <c r="C180" s="51"/>
      <c r="D180" s="51"/>
      <c r="E180" s="51"/>
      <c r="F180" s="51"/>
      <c r="G180" s="51"/>
      <c r="H180" s="51"/>
    </row>
    <row r="181" spans="1:8">
      <c r="A181" s="45" t="s">
        <v>146</v>
      </c>
      <c r="B181" s="52"/>
      <c r="C181" s="53"/>
      <c r="D181" s="53">
        <v>74255</v>
      </c>
      <c r="E181" s="53">
        <v>1834</v>
      </c>
      <c r="F181" s="53"/>
      <c r="G181" s="53"/>
      <c r="H181" s="53"/>
    </row>
    <row r="182" spans="1:8">
      <c r="A182" s="45" t="s">
        <v>152</v>
      </c>
      <c r="B182" s="46"/>
      <c r="C182" s="47"/>
      <c r="D182" s="47">
        <v>99634</v>
      </c>
      <c r="E182" s="47"/>
      <c r="F182" s="47"/>
      <c r="G182" s="47"/>
      <c r="H182" s="47"/>
    </row>
    <row r="183" spans="1:8">
      <c r="A183" s="45" t="s">
        <v>153</v>
      </c>
      <c r="B183" s="48"/>
      <c r="C183" s="49"/>
      <c r="D183" s="49">
        <v>95792</v>
      </c>
      <c r="E183" s="49">
        <v>1015</v>
      </c>
      <c r="F183" s="49"/>
      <c r="G183" s="49"/>
      <c r="H183" s="49"/>
    </row>
    <row r="184" spans="1:8">
      <c r="A184" s="45" t="s">
        <v>154</v>
      </c>
      <c r="B184" s="46"/>
      <c r="C184" s="47"/>
      <c r="D184" s="47">
        <v>145344</v>
      </c>
      <c r="E184" s="47">
        <v>2456</v>
      </c>
      <c r="F184" s="47"/>
      <c r="G184" s="47"/>
      <c r="H184" s="47"/>
    </row>
    <row r="185" spans="1:8">
      <c r="A185" s="50" t="s">
        <v>157</v>
      </c>
      <c r="B185" s="44">
        <f t="shared" ref="B185:H185" si="29">SUM(B180:B184)</f>
        <v>0</v>
      </c>
      <c r="C185" s="44">
        <f t="shared" si="29"/>
        <v>0</v>
      </c>
      <c r="D185" s="44">
        <f t="shared" si="29"/>
        <v>415025</v>
      </c>
      <c r="E185" s="44">
        <f t="shared" si="29"/>
        <v>5305</v>
      </c>
      <c r="F185" s="44">
        <f t="shared" si="29"/>
        <v>0</v>
      </c>
      <c r="G185" s="44">
        <f t="shared" si="29"/>
        <v>0</v>
      </c>
      <c r="H185" s="44">
        <f t="shared" si="29"/>
        <v>0</v>
      </c>
    </row>
    <row r="186" spans="1:8">
      <c r="A186" s="43" t="s">
        <v>205</v>
      </c>
      <c r="B186" s="51"/>
      <c r="C186" s="51"/>
      <c r="D186" s="51"/>
      <c r="E186" s="51"/>
      <c r="F186" s="51"/>
      <c r="G186" s="51"/>
      <c r="H186" s="51"/>
    </row>
    <row r="187" spans="1:8">
      <c r="A187" s="45" t="s">
        <v>146</v>
      </c>
      <c r="B187" s="52"/>
      <c r="C187" s="53"/>
      <c r="D187" s="53">
        <v>11360</v>
      </c>
      <c r="E187" s="53">
        <v>12082</v>
      </c>
      <c r="F187" s="53"/>
      <c r="G187" s="53"/>
      <c r="H187" s="53"/>
    </row>
    <row r="188" spans="1:8">
      <c r="A188" s="45" t="s">
        <v>152</v>
      </c>
      <c r="B188" s="46"/>
      <c r="C188" s="47"/>
      <c r="D188" s="47">
        <v>36066</v>
      </c>
      <c r="E188" s="47">
        <v>99169</v>
      </c>
      <c r="F188" s="47"/>
      <c r="G188" s="47"/>
      <c r="H188" s="47"/>
    </row>
    <row r="189" spans="1:8">
      <c r="A189" s="45" t="s">
        <v>153</v>
      </c>
      <c r="B189" s="48"/>
      <c r="C189" s="49"/>
      <c r="D189" s="49">
        <v>1497</v>
      </c>
      <c r="E189" s="49">
        <v>35108</v>
      </c>
      <c r="F189" s="49"/>
      <c r="G189" s="49">
        <v>214</v>
      </c>
      <c r="H189" s="49"/>
    </row>
    <row r="190" spans="1:8">
      <c r="A190" s="45" t="s">
        <v>154</v>
      </c>
      <c r="B190" s="46"/>
      <c r="C190" s="47"/>
      <c r="D190" s="47"/>
      <c r="E190" s="47">
        <v>60832</v>
      </c>
      <c r="F190" s="47"/>
      <c r="G190" s="47"/>
      <c r="H190" s="47"/>
    </row>
    <row r="191" spans="1:8">
      <c r="A191" s="50" t="s">
        <v>157</v>
      </c>
      <c r="B191" s="44">
        <f t="shared" ref="B191:H191" si="30">SUM(B186:B190)</f>
        <v>0</v>
      </c>
      <c r="C191" s="44">
        <f t="shared" si="30"/>
        <v>0</v>
      </c>
      <c r="D191" s="44">
        <f t="shared" si="30"/>
        <v>48923</v>
      </c>
      <c r="E191" s="44">
        <f t="shared" si="30"/>
        <v>207191</v>
      </c>
      <c r="F191" s="44">
        <f t="shared" si="30"/>
        <v>0</v>
      </c>
      <c r="G191" s="44">
        <f t="shared" si="30"/>
        <v>214</v>
      </c>
      <c r="H191" s="44">
        <f t="shared" si="30"/>
        <v>0</v>
      </c>
    </row>
    <row r="192" spans="1:8">
      <c r="A192" s="43" t="s">
        <v>206</v>
      </c>
      <c r="B192" s="44"/>
      <c r="C192" s="44"/>
      <c r="D192" s="44"/>
      <c r="E192" s="44"/>
      <c r="F192" s="44"/>
      <c r="G192" s="44"/>
      <c r="H192" s="44"/>
    </row>
    <row r="193" spans="1:8">
      <c r="A193" s="45" t="s">
        <v>146</v>
      </c>
      <c r="B193" s="52"/>
      <c r="C193" s="53"/>
      <c r="D193" s="53">
        <v>2395</v>
      </c>
      <c r="E193" s="53">
        <v>121314</v>
      </c>
      <c r="F193" s="53">
        <v>65635</v>
      </c>
      <c r="G193" s="53"/>
      <c r="H193" s="53"/>
    </row>
    <row r="194" spans="1:8">
      <c r="A194" s="45" t="s">
        <v>152</v>
      </c>
      <c r="B194" s="60"/>
      <c r="C194" s="47"/>
      <c r="D194" s="47"/>
      <c r="E194" s="47">
        <v>359105</v>
      </c>
      <c r="F194" s="47">
        <v>40889</v>
      </c>
      <c r="G194" s="47"/>
      <c r="H194" s="47"/>
    </row>
    <row r="195" spans="1:8">
      <c r="A195" s="45" t="s">
        <v>153</v>
      </c>
      <c r="B195" s="48"/>
      <c r="C195" s="49"/>
      <c r="D195" s="49"/>
      <c r="E195" s="49">
        <v>208805</v>
      </c>
      <c r="F195" s="49">
        <v>21402</v>
      </c>
      <c r="G195" s="49"/>
      <c r="H195" s="49"/>
    </row>
    <row r="196" spans="1:8">
      <c r="A196" s="45" t="s">
        <v>154</v>
      </c>
      <c r="B196" s="48"/>
      <c r="C196" s="49"/>
      <c r="D196" s="49"/>
      <c r="E196" s="49">
        <v>396007</v>
      </c>
      <c r="F196" s="49">
        <v>62896</v>
      </c>
      <c r="G196" s="49"/>
      <c r="H196" s="49"/>
    </row>
    <row r="197" spans="1:8">
      <c r="A197" s="45" t="s">
        <v>155</v>
      </c>
      <c r="B197" s="48"/>
      <c r="C197" s="49"/>
      <c r="D197" s="49"/>
      <c r="E197" s="49">
        <v>7850</v>
      </c>
      <c r="F197" s="49"/>
      <c r="G197" s="49"/>
      <c r="H197" s="49"/>
    </row>
    <row r="198" spans="1:8">
      <c r="A198" s="50" t="s">
        <v>150</v>
      </c>
      <c r="B198" s="44">
        <f t="shared" ref="B198:H198" si="31">SUM(B193:B197)</f>
        <v>0</v>
      </c>
      <c r="C198" s="44">
        <f t="shared" si="31"/>
        <v>0</v>
      </c>
      <c r="D198" s="44">
        <f t="shared" si="31"/>
        <v>2395</v>
      </c>
      <c r="E198" s="44">
        <f t="shared" si="31"/>
        <v>1093081</v>
      </c>
      <c r="F198" s="44">
        <f t="shared" si="31"/>
        <v>190822</v>
      </c>
      <c r="G198" s="44">
        <f t="shared" si="31"/>
        <v>0</v>
      </c>
      <c r="H198" s="44">
        <f t="shared" si="31"/>
        <v>0</v>
      </c>
    </row>
    <row r="199" spans="1:8">
      <c r="A199" s="43" t="s">
        <v>207</v>
      </c>
      <c r="B199" s="55"/>
      <c r="C199" s="56"/>
      <c r="D199" s="56"/>
      <c r="E199" s="56"/>
      <c r="F199" s="56"/>
      <c r="G199" s="56"/>
      <c r="H199" s="56"/>
    </row>
    <row r="200" spans="1:8">
      <c r="A200" s="45" t="s">
        <v>148</v>
      </c>
      <c r="B200" s="52"/>
      <c r="C200" s="53"/>
      <c r="D200" s="53"/>
      <c r="E200" s="53">
        <v>476702</v>
      </c>
      <c r="F200" s="53">
        <v>11042</v>
      </c>
      <c r="G200" s="53"/>
      <c r="H200" s="53"/>
    </row>
    <row r="201" spans="1:8">
      <c r="A201" s="50" t="s">
        <v>150</v>
      </c>
      <c r="B201" s="44">
        <f t="shared" ref="B201:H201" si="32">SUM(B200:B200)</f>
        <v>0</v>
      </c>
      <c r="C201" s="44">
        <f t="shared" si="32"/>
        <v>0</v>
      </c>
      <c r="D201" s="44">
        <f t="shared" si="32"/>
        <v>0</v>
      </c>
      <c r="E201" s="44">
        <f t="shared" si="32"/>
        <v>476702</v>
      </c>
      <c r="F201" s="44">
        <f t="shared" si="32"/>
        <v>11042</v>
      </c>
      <c r="G201" s="44">
        <f t="shared" si="32"/>
        <v>0</v>
      </c>
      <c r="H201" s="44">
        <f t="shared" si="32"/>
        <v>0</v>
      </c>
    </row>
    <row r="202" spans="1:8">
      <c r="A202" s="43" t="s">
        <v>208</v>
      </c>
      <c r="B202" s="51"/>
      <c r="C202" s="51"/>
      <c r="D202" s="51"/>
      <c r="E202" s="51"/>
      <c r="F202" s="51"/>
      <c r="G202" s="51"/>
      <c r="H202" s="51"/>
    </row>
    <row r="203" spans="1:8">
      <c r="A203" s="45" t="s">
        <v>146</v>
      </c>
      <c r="B203" s="52"/>
      <c r="C203" s="53"/>
      <c r="D203" s="53"/>
      <c r="E203" s="53">
        <v>100585</v>
      </c>
      <c r="F203" s="53"/>
      <c r="G203" s="53"/>
      <c r="H203" s="53"/>
    </row>
    <row r="204" spans="1:8">
      <c r="A204" s="45" t="s">
        <v>152</v>
      </c>
      <c r="B204" s="46"/>
      <c r="C204" s="47"/>
      <c r="D204" s="47"/>
      <c r="E204" s="47">
        <v>44544</v>
      </c>
      <c r="F204" s="47"/>
      <c r="G204" s="47"/>
      <c r="H204" s="47"/>
    </row>
    <row r="205" spans="1:8">
      <c r="A205" s="50" t="s">
        <v>157</v>
      </c>
      <c r="B205" s="44">
        <f t="shared" ref="B205:H205" si="33">SUM(B202:B204)</f>
        <v>0</v>
      </c>
      <c r="C205" s="44">
        <f t="shared" si="33"/>
        <v>0</v>
      </c>
      <c r="D205" s="44">
        <f t="shared" si="33"/>
        <v>0</v>
      </c>
      <c r="E205" s="44">
        <f t="shared" si="33"/>
        <v>145129</v>
      </c>
      <c r="F205" s="44">
        <f t="shared" si="33"/>
        <v>0</v>
      </c>
      <c r="G205" s="44">
        <f t="shared" si="33"/>
        <v>0</v>
      </c>
      <c r="H205" s="44">
        <f t="shared" si="33"/>
        <v>0</v>
      </c>
    </row>
    <row r="206" spans="1:8">
      <c r="A206" s="43" t="s">
        <v>209</v>
      </c>
      <c r="B206" s="51"/>
      <c r="C206" s="51"/>
      <c r="D206" s="51"/>
      <c r="E206" s="51"/>
      <c r="F206" s="51"/>
      <c r="G206" s="51"/>
      <c r="H206" s="51"/>
    </row>
    <row r="207" spans="1:8">
      <c r="A207" s="45" t="s">
        <v>146</v>
      </c>
      <c r="B207" s="52"/>
      <c r="C207" s="53"/>
      <c r="D207" s="53"/>
      <c r="E207" s="53">
        <v>7393</v>
      </c>
      <c r="F207" s="53"/>
      <c r="G207" s="53"/>
      <c r="H207" s="53"/>
    </row>
    <row r="208" spans="1:8">
      <c r="A208" s="45" t="s">
        <v>152</v>
      </c>
      <c r="B208" s="46"/>
      <c r="C208" s="47"/>
      <c r="D208" s="47"/>
      <c r="E208" s="47">
        <v>10005</v>
      </c>
      <c r="F208" s="47">
        <v>4882</v>
      </c>
      <c r="G208" s="47"/>
      <c r="H208" s="47"/>
    </row>
    <row r="209" spans="1:8">
      <c r="A209" s="45" t="s">
        <v>153</v>
      </c>
      <c r="B209" s="48"/>
      <c r="C209" s="49">
        <v>1407</v>
      </c>
      <c r="D209" s="49">
        <v>4217</v>
      </c>
      <c r="E209" s="49">
        <v>146326</v>
      </c>
      <c r="F209" s="49"/>
      <c r="G209" s="49"/>
      <c r="H209" s="49"/>
    </row>
    <row r="210" spans="1:8">
      <c r="A210" s="45" t="s">
        <v>154</v>
      </c>
      <c r="B210" s="46"/>
      <c r="C210" s="47"/>
      <c r="D210" s="47"/>
      <c r="E210" s="47">
        <v>57667</v>
      </c>
      <c r="F210" s="47"/>
      <c r="G210" s="47"/>
      <c r="H210" s="47"/>
    </row>
    <row r="211" spans="1:8">
      <c r="A211" s="45" t="s">
        <v>155</v>
      </c>
      <c r="B211" s="52"/>
      <c r="C211" s="53"/>
      <c r="D211" s="53"/>
      <c r="E211" s="53">
        <v>16381</v>
      </c>
      <c r="F211" s="53"/>
      <c r="G211" s="53"/>
      <c r="H211" s="53"/>
    </row>
    <row r="212" spans="1:8">
      <c r="A212" s="50" t="s">
        <v>157</v>
      </c>
      <c r="B212" s="44">
        <f t="shared" ref="B212:H212" si="34">SUM(B207:B211)</f>
        <v>0</v>
      </c>
      <c r="C212" s="44">
        <f t="shared" si="34"/>
        <v>1407</v>
      </c>
      <c r="D212" s="44">
        <f t="shared" si="34"/>
        <v>4217</v>
      </c>
      <c r="E212" s="44">
        <f t="shared" si="34"/>
        <v>237772</v>
      </c>
      <c r="F212" s="44">
        <f t="shared" si="34"/>
        <v>4882</v>
      </c>
      <c r="G212" s="44">
        <f t="shared" si="34"/>
        <v>0</v>
      </c>
      <c r="H212" s="44">
        <f t="shared" si="34"/>
        <v>0</v>
      </c>
    </row>
    <row r="213" spans="1:8">
      <c r="A213" s="43" t="s">
        <v>210</v>
      </c>
      <c r="B213" s="51"/>
      <c r="C213" s="51"/>
      <c r="D213" s="51"/>
      <c r="E213" s="51"/>
      <c r="F213" s="51">
        <v>0</v>
      </c>
      <c r="G213" s="51"/>
      <c r="H213" s="51"/>
    </row>
    <row r="214" spans="1:8">
      <c r="A214" s="45" t="s">
        <v>148</v>
      </c>
      <c r="B214" s="46"/>
      <c r="C214" s="47"/>
      <c r="D214" s="47"/>
      <c r="E214" s="47"/>
      <c r="F214" s="47">
        <v>153987</v>
      </c>
      <c r="G214" s="47">
        <v>7888</v>
      </c>
      <c r="H214" s="47"/>
    </row>
    <row r="215" spans="1:8">
      <c r="A215" s="45" t="s">
        <v>211</v>
      </c>
      <c r="B215" s="52"/>
      <c r="C215" s="53"/>
      <c r="D215" s="53"/>
      <c r="E215" s="53"/>
      <c r="F215" s="53"/>
      <c r="G215" s="53">
        <v>9001</v>
      </c>
      <c r="H215" s="53"/>
    </row>
    <row r="216" spans="1:8">
      <c r="A216" s="50" t="s">
        <v>157</v>
      </c>
      <c r="B216" s="44">
        <f t="shared" ref="B216:H216" si="35">SUM(B213:B214)</f>
        <v>0</v>
      </c>
      <c r="C216" s="44">
        <f t="shared" si="35"/>
        <v>0</v>
      </c>
      <c r="D216" s="44">
        <f t="shared" si="35"/>
        <v>0</v>
      </c>
      <c r="E216" s="44">
        <f t="shared" si="35"/>
        <v>0</v>
      </c>
      <c r="F216" s="44">
        <f>SUM(F213:F215)</f>
        <v>153987</v>
      </c>
      <c r="G216" s="44">
        <f>SUM(G213:G215)</f>
        <v>16889</v>
      </c>
      <c r="H216" s="44">
        <f t="shared" si="35"/>
        <v>0</v>
      </c>
    </row>
    <row r="217" spans="1:8">
      <c r="A217" s="43" t="s">
        <v>212</v>
      </c>
      <c r="B217" s="51"/>
      <c r="C217" s="51"/>
      <c r="D217" s="51"/>
      <c r="E217" s="51"/>
      <c r="F217" s="51"/>
      <c r="G217" s="51"/>
      <c r="H217" s="51"/>
    </row>
    <row r="218" spans="1:8">
      <c r="A218" s="45" t="s">
        <v>146</v>
      </c>
      <c r="B218" s="52"/>
      <c r="C218" s="53"/>
      <c r="D218" s="53"/>
      <c r="E218" s="53"/>
      <c r="F218" s="53">
        <v>55619</v>
      </c>
      <c r="G218" s="53"/>
      <c r="H218" s="53"/>
    </row>
    <row r="219" spans="1:8">
      <c r="A219" s="45" t="s">
        <v>152</v>
      </c>
      <c r="B219" s="46"/>
      <c r="C219" s="47"/>
      <c r="D219" s="47"/>
      <c r="E219" s="47"/>
      <c r="F219" s="47">
        <v>5634</v>
      </c>
      <c r="G219" s="47"/>
      <c r="H219" s="47"/>
    </row>
    <row r="220" spans="1:8">
      <c r="A220" s="45" t="s">
        <v>153</v>
      </c>
      <c r="B220" s="48"/>
      <c r="C220" s="49"/>
      <c r="D220" s="49"/>
      <c r="E220" s="49"/>
      <c r="F220" s="49">
        <v>59285</v>
      </c>
      <c r="G220" s="49">
        <v>7937</v>
      </c>
      <c r="H220" s="49"/>
    </row>
    <row r="221" spans="1:8">
      <c r="A221" s="45" t="s">
        <v>154</v>
      </c>
      <c r="B221" s="46"/>
      <c r="C221" s="47"/>
      <c r="D221" s="47"/>
      <c r="E221" s="47"/>
      <c r="F221" s="47">
        <v>8708</v>
      </c>
      <c r="G221" s="47">
        <v>794</v>
      </c>
      <c r="H221" s="47"/>
    </row>
    <row r="222" spans="1:8">
      <c r="A222" s="45" t="s">
        <v>155</v>
      </c>
      <c r="B222" s="52"/>
      <c r="C222" s="53"/>
      <c r="D222" s="53"/>
      <c r="E222" s="53"/>
      <c r="F222" s="53">
        <v>21225</v>
      </c>
      <c r="G222" s="53"/>
      <c r="H222" s="53"/>
    </row>
    <row r="223" spans="1:8">
      <c r="A223" s="50" t="s">
        <v>157</v>
      </c>
      <c r="B223" s="44">
        <f t="shared" ref="B223:H223" si="36">SUM(B217:B222)</f>
        <v>0</v>
      </c>
      <c r="C223" s="44">
        <f t="shared" si="36"/>
        <v>0</v>
      </c>
      <c r="D223" s="44">
        <f t="shared" si="36"/>
        <v>0</v>
      </c>
      <c r="E223" s="44">
        <f t="shared" si="36"/>
        <v>0</v>
      </c>
      <c r="F223" s="44">
        <f t="shared" si="36"/>
        <v>150471</v>
      </c>
      <c r="G223" s="44">
        <f t="shared" si="36"/>
        <v>8731</v>
      </c>
      <c r="H223" s="44">
        <f t="shared" si="36"/>
        <v>0</v>
      </c>
    </row>
    <row r="224" spans="1:8">
      <c r="A224" s="43" t="s">
        <v>213</v>
      </c>
      <c r="B224" s="51"/>
      <c r="C224" s="51"/>
      <c r="D224" s="51"/>
      <c r="E224" s="51"/>
      <c r="F224" s="51"/>
      <c r="G224" s="51"/>
      <c r="H224" s="51"/>
    </row>
    <row r="225" spans="1:8">
      <c r="A225" s="45" t="s">
        <v>146</v>
      </c>
      <c r="B225" s="52"/>
      <c r="C225" s="53"/>
      <c r="D225" s="53"/>
      <c r="E225" s="53"/>
      <c r="F225" s="53">
        <v>10221</v>
      </c>
      <c r="G225" s="53"/>
      <c r="H225" s="53"/>
    </row>
    <row r="226" spans="1:8">
      <c r="A226" s="45" t="s">
        <v>152</v>
      </c>
      <c r="B226" s="46"/>
      <c r="C226" s="47"/>
      <c r="D226" s="47"/>
      <c r="E226" s="47"/>
      <c r="F226" s="47">
        <v>19647</v>
      </c>
      <c r="G226" s="47"/>
      <c r="H226" s="47"/>
    </row>
    <row r="227" spans="1:8">
      <c r="A227" s="45" t="s">
        <v>153</v>
      </c>
      <c r="B227" s="48"/>
      <c r="C227" s="49"/>
      <c r="D227" s="49"/>
      <c r="E227" s="49"/>
      <c r="F227" s="49">
        <v>85868</v>
      </c>
      <c r="G227" s="49"/>
      <c r="H227" s="49"/>
    </row>
    <row r="228" spans="1:8">
      <c r="A228" s="45" t="s">
        <v>154</v>
      </c>
      <c r="B228" s="46"/>
      <c r="C228" s="47"/>
      <c r="D228" s="47"/>
      <c r="E228" s="47"/>
      <c r="F228" s="47">
        <v>15444</v>
      </c>
      <c r="G228" s="47"/>
      <c r="H228" s="47"/>
    </row>
    <row r="229" spans="1:8">
      <c r="A229" s="50" t="s">
        <v>157</v>
      </c>
      <c r="B229" s="44">
        <f t="shared" ref="B229:H229" si="37">SUM(B224:B228)</f>
        <v>0</v>
      </c>
      <c r="C229" s="44">
        <f t="shared" si="37"/>
        <v>0</v>
      </c>
      <c r="D229" s="44">
        <f t="shared" si="37"/>
        <v>0</v>
      </c>
      <c r="E229" s="44">
        <f t="shared" si="37"/>
        <v>0</v>
      </c>
      <c r="F229" s="44">
        <f t="shared" si="37"/>
        <v>131180</v>
      </c>
      <c r="G229" s="44">
        <f t="shared" si="37"/>
        <v>0</v>
      </c>
      <c r="H229" s="44">
        <f t="shared" si="37"/>
        <v>0</v>
      </c>
    </row>
    <row r="230" spans="1:8">
      <c r="A230" s="43" t="s">
        <v>214</v>
      </c>
      <c r="B230" s="51"/>
      <c r="C230" s="51"/>
      <c r="D230" s="51"/>
      <c r="E230" s="51"/>
      <c r="F230" s="51"/>
      <c r="G230" s="51"/>
      <c r="H230" s="51"/>
    </row>
    <row r="231" spans="1:8">
      <c r="A231" s="45" t="s">
        <v>146</v>
      </c>
      <c r="B231" s="52"/>
      <c r="C231" s="53"/>
      <c r="D231" s="53"/>
      <c r="E231" s="53"/>
      <c r="F231" s="53">
        <v>290793</v>
      </c>
      <c r="G231" s="53"/>
      <c r="H231" s="53"/>
    </row>
    <row r="232" spans="1:8">
      <c r="A232" s="45" t="s">
        <v>152</v>
      </c>
      <c r="B232" s="46"/>
      <c r="C232" s="47"/>
      <c r="D232" s="47"/>
      <c r="E232" s="47"/>
      <c r="F232" s="47">
        <v>255580</v>
      </c>
      <c r="G232" s="47"/>
      <c r="H232" s="47"/>
    </row>
    <row r="233" spans="1:8">
      <c r="A233" s="45" t="s">
        <v>154</v>
      </c>
      <c r="B233" s="48"/>
      <c r="C233" s="49"/>
      <c r="D233" s="49"/>
      <c r="E233" s="49"/>
      <c r="F233" s="49">
        <v>5173</v>
      </c>
      <c r="G233" s="49"/>
      <c r="H233" s="49"/>
    </row>
    <row r="234" spans="1:8">
      <c r="A234" s="50" t="s">
        <v>157</v>
      </c>
      <c r="B234" s="44">
        <f t="shared" ref="B234:H234" si="38">SUM(B230:B233)</f>
        <v>0</v>
      </c>
      <c r="C234" s="44">
        <f t="shared" si="38"/>
        <v>0</v>
      </c>
      <c r="D234" s="44">
        <f t="shared" si="38"/>
        <v>0</v>
      </c>
      <c r="E234" s="44">
        <f t="shared" si="38"/>
        <v>0</v>
      </c>
      <c r="F234" s="44">
        <f t="shared" si="38"/>
        <v>551546</v>
      </c>
      <c r="G234" s="44">
        <f t="shared" si="38"/>
        <v>0</v>
      </c>
      <c r="H234" s="44">
        <f t="shared" si="38"/>
        <v>0</v>
      </c>
    </row>
    <row r="235" spans="1:8">
      <c r="A235" s="54" t="s">
        <v>215</v>
      </c>
      <c r="B235" s="55"/>
      <c r="C235" s="56"/>
      <c r="D235" s="56"/>
      <c r="E235" s="56"/>
      <c r="F235" s="56"/>
      <c r="G235" s="56"/>
      <c r="H235" s="56"/>
    </row>
    <row r="236" spans="1:8">
      <c r="A236" s="45" t="s">
        <v>146</v>
      </c>
      <c r="B236" s="52"/>
      <c r="C236" s="53"/>
      <c r="D236" s="53"/>
      <c r="E236" s="53"/>
      <c r="F236" s="53">
        <v>220040</v>
      </c>
      <c r="G236" s="53">
        <v>1524</v>
      </c>
      <c r="H236" s="53"/>
    </row>
    <row r="237" spans="1:8">
      <c r="A237" s="45" t="s">
        <v>152</v>
      </c>
      <c r="B237" s="46"/>
      <c r="C237" s="47"/>
      <c r="D237" s="47"/>
      <c r="E237" s="47"/>
      <c r="F237" s="47">
        <v>179849</v>
      </c>
      <c r="G237" s="47">
        <v>15459</v>
      </c>
      <c r="H237" s="47"/>
    </row>
    <row r="238" spans="1:8">
      <c r="A238" s="45" t="s">
        <v>153</v>
      </c>
      <c r="B238" s="48"/>
      <c r="C238" s="49"/>
      <c r="D238" s="49"/>
      <c r="E238" s="49"/>
      <c r="F238" s="49">
        <v>631</v>
      </c>
      <c r="G238" s="49"/>
      <c r="H238" s="49"/>
    </row>
    <row r="239" spans="1:8">
      <c r="A239" s="45" t="s">
        <v>154</v>
      </c>
      <c r="B239" s="48"/>
      <c r="C239" s="49"/>
      <c r="D239" s="49"/>
      <c r="E239" s="49"/>
      <c r="F239" s="49">
        <v>61374</v>
      </c>
      <c r="G239" s="49"/>
      <c r="H239" s="49"/>
    </row>
    <row r="240" spans="1:8">
      <c r="A240" s="45" t="s">
        <v>155</v>
      </c>
      <c r="B240" s="48"/>
      <c r="C240" s="49"/>
      <c r="D240" s="49"/>
      <c r="E240" s="49"/>
      <c r="F240" s="49">
        <v>211902</v>
      </c>
      <c r="G240" s="49"/>
      <c r="H240" s="49"/>
    </row>
    <row r="241" spans="1:8">
      <c r="A241" s="50" t="s">
        <v>150</v>
      </c>
      <c r="B241" s="44">
        <f t="shared" ref="B241:H241" si="39">SUM(B236:B240)</f>
        <v>0</v>
      </c>
      <c r="C241" s="44">
        <f t="shared" si="39"/>
        <v>0</v>
      </c>
      <c r="D241" s="44">
        <f t="shared" si="39"/>
        <v>0</v>
      </c>
      <c r="E241" s="44">
        <f t="shared" si="39"/>
        <v>0</v>
      </c>
      <c r="F241" s="44">
        <f t="shared" si="39"/>
        <v>673796</v>
      </c>
      <c r="G241" s="44">
        <f t="shared" si="39"/>
        <v>16983</v>
      </c>
      <c r="H241" s="44">
        <f t="shared" si="39"/>
        <v>0</v>
      </c>
    </row>
    <row r="242" spans="1:8">
      <c r="A242" s="54" t="s">
        <v>216</v>
      </c>
      <c r="B242" s="55"/>
      <c r="C242" s="56"/>
      <c r="D242" s="56"/>
      <c r="E242" s="56"/>
      <c r="F242" s="56"/>
      <c r="G242" s="56"/>
      <c r="H242" s="56"/>
    </row>
    <row r="243" spans="1:8">
      <c r="A243" s="45" t="s">
        <v>146</v>
      </c>
      <c r="B243" s="52"/>
      <c r="C243" s="53"/>
      <c r="D243" s="53"/>
      <c r="E243" s="53"/>
      <c r="F243" s="53">
        <v>246787</v>
      </c>
      <c r="G243" s="53">
        <v>100119</v>
      </c>
      <c r="H243" s="53"/>
    </row>
    <row r="244" spans="1:8">
      <c r="A244" s="45" t="s">
        <v>152</v>
      </c>
      <c r="B244" s="46"/>
      <c r="C244" s="47"/>
      <c r="D244" s="47"/>
      <c r="E244" s="47"/>
      <c r="F244" s="47">
        <v>64836</v>
      </c>
      <c r="G244" s="47">
        <v>178086</v>
      </c>
      <c r="H244" s="47"/>
    </row>
    <row r="245" spans="1:8">
      <c r="A245" s="45" t="s">
        <v>152</v>
      </c>
      <c r="B245" s="48"/>
      <c r="C245" s="49"/>
      <c r="D245" s="49"/>
      <c r="E245" s="49"/>
      <c r="F245" s="49"/>
      <c r="G245" s="49">
        <f>9682+33847</f>
        <v>43529</v>
      </c>
      <c r="H245" s="49"/>
    </row>
    <row r="246" spans="1:8">
      <c r="A246" s="45" t="s">
        <v>154</v>
      </c>
      <c r="B246" s="48"/>
      <c r="C246" s="49"/>
      <c r="D246" s="49"/>
      <c r="E246" s="49"/>
      <c r="F246" s="49"/>
      <c r="G246" s="49">
        <v>71759</v>
      </c>
      <c r="H246" s="49"/>
    </row>
    <row r="247" spans="1:8">
      <c r="A247" s="45" t="s">
        <v>155</v>
      </c>
      <c r="B247" s="48"/>
      <c r="C247" s="49"/>
      <c r="D247" s="49"/>
      <c r="E247" s="49"/>
      <c r="F247" s="49">
        <v>12067</v>
      </c>
      <c r="G247" s="49">
        <v>105359</v>
      </c>
      <c r="H247" s="49"/>
    </row>
    <row r="248" spans="1:8">
      <c r="A248" s="50" t="s">
        <v>150</v>
      </c>
      <c r="B248" s="44">
        <f t="shared" ref="B248:H248" si="40">SUM(B243:B247)</f>
        <v>0</v>
      </c>
      <c r="C248" s="44">
        <f t="shared" si="40"/>
        <v>0</v>
      </c>
      <c r="D248" s="44">
        <f t="shared" si="40"/>
        <v>0</v>
      </c>
      <c r="E248" s="44">
        <f t="shared" si="40"/>
        <v>0</v>
      </c>
      <c r="F248" s="44">
        <f t="shared" si="40"/>
        <v>323690</v>
      </c>
      <c r="G248" s="44">
        <f>SUM(G243:G247)</f>
        <v>498852</v>
      </c>
      <c r="H248" s="44">
        <f t="shared" si="40"/>
        <v>0</v>
      </c>
    </row>
    <row r="249" spans="1:8">
      <c r="A249" s="54" t="s">
        <v>217</v>
      </c>
      <c r="B249" s="55"/>
      <c r="C249" s="56"/>
      <c r="D249" s="56"/>
      <c r="E249" s="56"/>
      <c r="F249" s="56"/>
      <c r="G249" s="56"/>
      <c r="H249" s="56"/>
    </row>
    <row r="250" spans="1:8">
      <c r="A250" s="45" t="s">
        <v>146</v>
      </c>
      <c r="B250" s="52"/>
      <c r="C250" s="53"/>
      <c r="D250" s="53"/>
      <c r="E250" s="53"/>
      <c r="F250" s="53">
        <v>142224</v>
      </c>
      <c r="G250" s="53"/>
      <c r="H250" s="53"/>
    </row>
    <row r="251" spans="1:8">
      <c r="A251" s="45" t="s">
        <v>152</v>
      </c>
      <c r="B251" s="46"/>
      <c r="C251" s="47"/>
      <c r="D251" s="47"/>
      <c r="E251" s="47"/>
      <c r="F251" s="47">
        <v>37683</v>
      </c>
      <c r="G251" s="47"/>
      <c r="H251" s="47"/>
    </row>
    <row r="252" spans="1:8">
      <c r="A252" s="45" t="s">
        <v>153</v>
      </c>
      <c r="B252" s="48"/>
      <c r="C252" s="49"/>
      <c r="D252" s="49"/>
      <c r="E252" s="49"/>
      <c r="F252" s="49">
        <v>14527</v>
      </c>
      <c r="G252" s="49"/>
      <c r="H252" s="49"/>
    </row>
    <row r="253" spans="1:8">
      <c r="A253" s="45" t="s">
        <v>154</v>
      </c>
      <c r="B253" s="48"/>
      <c r="C253" s="49"/>
      <c r="D253" s="49"/>
      <c r="E253" s="49"/>
      <c r="F253" s="49">
        <v>51781</v>
      </c>
      <c r="G253" s="49"/>
      <c r="H253" s="49"/>
    </row>
    <row r="254" spans="1:8">
      <c r="A254" s="45" t="s">
        <v>155</v>
      </c>
      <c r="B254" s="48"/>
      <c r="C254" s="49"/>
      <c r="D254" s="49"/>
      <c r="E254" s="49"/>
      <c r="F254" s="49">
        <v>63350</v>
      </c>
      <c r="G254" s="49"/>
      <c r="H254" s="49"/>
    </row>
    <row r="255" spans="1:8">
      <c r="A255" s="45" t="s">
        <v>147</v>
      </c>
      <c r="B255" s="48"/>
      <c r="C255" s="49"/>
      <c r="D255" s="49"/>
      <c r="E255" s="49"/>
      <c r="F255" s="49">
        <v>646</v>
      </c>
      <c r="G255" s="49"/>
      <c r="H255" s="49"/>
    </row>
    <row r="256" spans="1:8">
      <c r="A256" s="50" t="s">
        <v>150</v>
      </c>
      <c r="B256" s="44">
        <f t="shared" ref="B256:H256" si="41">SUM(B250:B255)</f>
        <v>0</v>
      </c>
      <c r="C256" s="44">
        <f t="shared" si="41"/>
        <v>0</v>
      </c>
      <c r="D256" s="44">
        <f t="shared" si="41"/>
        <v>0</v>
      </c>
      <c r="E256" s="44">
        <f t="shared" si="41"/>
        <v>0</v>
      </c>
      <c r="F256" s="44">
        <f t="shared" si="41"/>
        <v>310211</v>
      </c>
      <c r="G256" s="44">
        <f t="shared" si="41"/>
        <v>0</v>
      </c>
      <c r="H256" s="44">
        <f t="shared" si="41"/>
        <v>0</v>
      </c>
    </row>
    <row r="257" spans="1:8">
      <c r="A257" s="54" t="s">
        <v>218</v>
      </c>
      <c r="B257" s="55"/>
      <c r="C257" s="56"/>
      <c r="D257" s="56"/>
      <c r="E257" s="56"/>
      <c r="F257" s="56"/>
      <c r="G257" s="56"/>
      <c r="H257" s="56"/>
    </row>
    <row r="258" spans="1:8">
      <c r="A258" s="45" t="s">
        <v>146</v>
      </c>
      <c r="B258" s="52"/>
      <c r="C258" s="53"/>
      <c r="D258" s="53"/>
      <c r="E258" s="53"/>
      <c r="F258" s="53">
        <v>136487</v>
      </c>
      <c r="G258" s="53">
        <v>24074</v>
      </c>
      <c r="H258" s="53"/>
    </row>
    <row r="259" spans="1:8">
      <c r="A259" s="45" t="s">
        <v>152</v>
      </c>
      <c r="B259" s="46"/>
      <c r="C259" s="47"/>
      <c r="D259" s="47"/>
      <c r="E259" s="47"/>
      <c r="F259" s="47">
        <v>27723</v>
      </c>
      <c r="G259" s="47">
        <v>1114</v>
      </c>
      <c r="H259" s="47"/>
    </row>
    <row r="260" spans="1:8">
      <c r="A260" s="45" t="s">
        <v>153</v>
      </c>
      <c r="B260" s="48"/>
      <c r="C260" s="49"/>
      <c r="D260" s="49"/>
      <c r="E260" s="49"/>
      <c r="F260" s="49">
        <v>10480</v>
      </c>
      <c r="G260" s="49">
        <v>783</v>
      </c>
      <c r="H260" s="49"/>
    </row>
    <row r="261" spans="1:8">
      <c r="A261" s="45" t="s">
        <v>154</v>
      </c>
      <c r="B261" s="48"/>
      <c r="C261" s="49"/>
      <c r="D261" s="49"/>
      <c r="E261" s="49"/>
      <c r="F261" s="49">
        <v>89315</v>
      </c>
      <c r="G261" s="49">
        <v>24510</v>
      </c>
      <c r="H261" s="49"/>
    </row>
    <row r="262" spans="1:8">
      <c r="A262" s="45" t="s">
        <v>155</v>
      </c>
      <c r="B262" s="48"/>
      <c r="C262" s="49"/>
      <c r="D262" s="49"/>
      <c r="E262" s="49"/>
      <c r="F262" s="49">
        <v>4950</v>
      </c>
      <c r="G262" s="49">
        <v>103322</v>
      </c>
      <c r="H262" s="49"/>
    </row>
    <row r="263" spans="1:8">
      <c r="A263" s="50" t="s">
        <v>150</v>
      </c>
      <c r="B263" s="44">
        <f t="shared" ref="B263:H263" si="42">SUM(B258:B262)</f>
        <v>0</v>
      </c>
      <c r="C263" s="44">
        <f t="shared" si="42"/>
        <v>0</v>
      </c>
      <c r="D263" s="44">
        <f t="shared" si="42"/>
        <v>0</v>
      </c>
      <c r="E263" s="44">
        <f t="shared" si="42"/>
        <v>0</v>
      </c>
      <c r="F263" s="44">
        <f t="shared" si="42"/>
        <v>268955</v>
      </c>
      <c r="G263" s="44">
        <f t="shared" si="42"/>
        <v>153803</v>
      </c>
      <c r="H263" s="44">
        <f t="shared" si="42"/>
        <v>0</v>
      </c>
    </row>
    <row r="264" spans="1:8">
      <c r="A264" s="54" t="s">
        <v>219</v>
      </c>
      <c r="B264" s="55"/>
      <c r="C264" s="56"/>
      <c r="D264" s="56"/>
      <c r="E264" s="56"/>
      <c r="F264" s="56"/>
      <c r="G264" s="56"/>
      <c r="H264" s="56"/>
    </row>
    <row r="265" spans="1:8">
      <c r="A265" s="45" t="s">
        <v>146</v>
      </c>
      <c r="B265" s="46"/>
      <c r="C265" s="47"/>
      <c r="D265" s="47"/>
      <c r="E265" s="47"/>
      <c r="F265" s="47"/>
      <c r="G265" s="47">
        <v>6354</v>
      </c>
      <c r="H265" s="47"/>
    </row>
    <row r="266" spans="1:8">
      <c r="A266" s="45" t="s">
        <v>152</v>
      </c>
      <c r="B266" s="52"/>
      <c r="C266" s="53"/>
      <c r="D266" s="53"/>
      <c r="E266" s="53"/>
      <c r="F266" s="53"/>
      <c r="G266" s="53">
        <v>1607</v>
      </c>
      <c r="H266" s="53"/>
    </row>
    <row r="267" spans="1:8">
      <c r="A267" s="45" t="s">
        <v>153</v>
      </c>
      <c r="B267" s="46"/>
      <c r="C267" s="47"/>
      <c r="D267" s="47"/>
      <c r="E267" s="47"/>
      <c r="F267" s="47"/>
      <c r="G267" s="47">
        <f>79309+41700</f>
        <v>121009</v>
      </c>
      <c r="H267" s="47"/>
    </row>
    <row r="268" spans="1:8">
      <c r="A268" s="45" t="s">
        <v>154</v>
      </c>
      <c r="B268" s="48"/>
      <c r="C268" s="49"/>
      <c r="D268" s="49"/>
      <c r="E268" s="49"/>
      <c r="F268" s="49"/>
      <c r="G268" s="49">
        <v>14185</v>
      </c>
      <c r="H268" s="49"/>
    </row>
    <row r="269" spans="1:8">
      <c r="A269" s="45" t="s">
        <v>155</v>
      </c>
      <c r="B269" s="48"/>
      <c r="C269" s="49"/>
      <c r="D269" s="49"/>
      <c r="E269" s="49"/>
      <c r="F269" s="49"/>
      <c r="G269" s="49">
        <v>55006</v>
      </c>
      <c r="H269" s="49"/>
    </row>
    <row r="270" spans="1:8">
      <c r="A270" s="50" t="s">
        <v>150</v>
      </c>
      <c r="B270" s="44">
        <f t="shared" ref="B270:H270" si="43">SUM(B265:B269)</f>
        <v>0</v>
      </c>
      <c r="C270" s="44">
        <f t="shared" si="43"/>
        <v>0</v>
      </c>
      <c r="D270" s="44">
        <f t="shared" si="43"/>
        <v>0</v>
      </c>
      <c r="E270" s="44">
        <f t="shared" si="43"/>
        <v>0</v>
      </c>
      <c r="F270" s="44">
        <f t="shared" si="43"/>
        <v>0</v>
      </c>
      <c r="G270" s="44">
        <f t="shared" si="43"/>
        <v>198161</v>
      </c>
      <c r="H270" s="44">
        <f t="shared" si="43"/>
        <v>0</v>
      </c>
    </row>
    <row r="271" spans="1:8">
      <c r="A271" s="54" t="s">
        <v>220</v>
      </c>
      <c r="B271" s="55"/>
      <c r="C271" s="56"/>
      <c r="D271" s="56"/>
      <c r="E271" s="56"/>
      <c r="F271" s="56"/>
      <c r="G271" s="56"/>
      <c r="H271" s="56"/>
    </row>
    <row r="272" spans="1:8">
      <c r="A272" s="45" t="s">
        <v>146</v>
      </c>
      <c r="B272" s="46"/>
      <c r="C272" s="47"/>
      <c r="D272" s="47"/>
      <c r="E272" s="47"/>
      <c r="F272" s="47"/>
      <c r="G272" s="47">
        <v>13025</v>
      </c>
      <c r="H272" s="47"/>
    </row>
    <row r="273" spans="1:8">
      <c r="A273" s="45" t="s">
        <v>152</v>
      </c>
      <c r="B273" s="52"/>
      <c r="C273" s="53"/>
      <c r="D273" s="53"/>
      <c r="E273" s="53"/>
      <c r="F273" s="53"/>
      <c r="G273" s="53">
        <v>9681</v>
      </c>
      <c r="H273" s="53"/>
    </row>
    <row r="274" spans="1:8">
      <c r="A274" s="45" t="s">
        <v>153</v>
      </c>
      <c r="B274" s="46"/>
      <c r="C274" s="47"/>
      <c r="D274" s="47"/>
      <c r="E274" s="47"/>
      <c r="F274" s="47"/>
      <c r="G274" s="47">
        <f>432577+48319</f>
        <v>480896</v>
      </c>
      <c r="H274" s="47"/>
    </row>
    <row r="275" spans="1:8">
      <c r="A275" s="45" t="s">
        <v>154</v>
      </c>
      <c r="B275" s="48"/>
      <c r="C275" s="49"/>
      <c r="D275" s="49"/>
      <c r="E275" s="49"/>
      <c r="F275" s="49"/>
      <c r="G275" s="49">
        <v>25316</v>
      </c>
      <c r="H275" s="49"/>
    </row>
    <row r="276" spans="1:8">
      <c r="A276" s="45" t="s">
        <v>155</v>
      </c>
      <c r="B276" s="48"/>
      <c r="C276" s="49"/>
      <c r="D276" s="49"/>
      <c r="E276" s="49"/>
      <c r="F276" s="49"/>
      <c r="G276" s="49">
        <v>43997</v>
      </c>
      <c r="H276" s="49"/>
    </row>
    <row r="277" spans="1:8">
      <c r="A277" s="50" t="s">
        <v>150</v>
      </c>
      <c r="B277" s="44">
        <f t="shared" ref="B277:H277" si="44">SUM(B272:B276)</f>
        <v>0</v>
      </c>
      <c r="C277" s="44">
        <f t="shared" si="44"/>
        <v>0</v>
      </c>
      <c r="D277" s="44">
        <f t="shared" si="44"/>
        <v>0</v>
      </c>
      <c r="E277" s="44">
        <f t="shared" si="44"/>
        <v>0</v>
      </c>
      <c r="F277" s="44">
        <f t="shared" si="44"/>
        <v>0</v>
      </c>
      <c r="G277" s="44">
        <f t="shared" si="44"/>
        <v>572915</v>
      </c>
      <c r="H277" s="44">
        <f t="shared" si="44"/>
        <v>0</v>
      </c>
    </row>
    <row r="278" spans="1:8">
      <c r="A278" s="54" t="s">
        <v>221</v>
      </c>
      <c r="B278" s="55"/>
      <c r="C278" s="56"/>
      <c r="D278" s="56"/>
      <c r="E278" s="56"/>
      <c r="F278" s="56"/>
      <c r="G278" s="56"/>
      <c r="H278" s="56"/>
    </row>
    <row r="279" spans="1:8">
      <c r="A279" s="45" t="s">
        <v>146</v>
      </c>
      <c r="B279" s="52"/>
      <c r="C279" s="53"/>
      <c r="D279" s="53"/>
      <c r="E279" s="53"/>
      <c r="F279" s="53"/>
      <c r="G279" s="53">
        <v>309210</v>
      </c>
      <c r="H279" s="53"/>
    </row>
    <row r="280" spans="1:8">
      <c r="A280" s="45" t="s">
        <v>152</v>
      </c>
      <c r="B280" s="46"/>
      <c r="C280" s="47"/>
      <c r="D280" s="47"/>
      <c r="E280" s="47"/>
      <c r="F280" s="47"/>
      <c r="G280" s="47">
        <v>67339</v>
      </c>
      <c r="H280" s="47"/>
    </row>
    <row r="281" spans="1:8">
      <c r="A281" s="45" t="s">
        <v>153</v>
      </c>
      <c r="B281" s="48"/>
      <c r="C281" s="49"/>
      <c r="D281" s="49"/>
      <c r="E281" s="49"/>
      <c r="F281" s="49"/>
      <c r="G281" s="49">
        <f>1527+8098</f>
        <v>9625</v>
      </c>
      <c r="H281" s="49"/>
    </row>
    <row r="282" spans="1:8">
      <c r="A282" s="45" t="s">
        <v>154</v>
      </c>
      <c r="B282" s="48"/>
      <c r="C282" s="49"/>
      <c r="D282" s="49"/>
      <c r="E282" s="49"/>
      <c r="F282" s="49"/>
      <c r="G282" s="49">
        <v>77349</v>
      </c>
      <c r="H282" s="49"/>
    </row>
    <row r="283" spans="1:8">
      <c r="A283" s="45" t="s">
        <v>155</v>
      </c>
      <c r="B283" s="48"/>
      <c r="C283" s="49"/>
      <c r="D283" s="49"/>
      <c r="E283" s="49"/>
      <c r="F283" s="49"/>
      <c r="G283" s="49">
        <v>261555</v>
      </c>
      <c r="H283" s="49"/>
    </row>
    <row r="284" spans="1:8">
      <c r="A284" s="50" t="s">
        <v>150</v>
      </c>
      <c r="B284" s="44">
        <f t="shared" ref="B284:H284" si="45">SUM(B279:B283)</f>
        <v>0</v>
      </c>
      <c r="C284" s="44">
        <f t="shared" si="45"/>
        <v>0</v>
      </c>
      <c r="D284" s="44">
        <f t="shared" si="45"/>
        <v>0</v>
      </c>
      <c r="E284" s="44">
        <f t="shared" si="45"/>
        <v>0</v>
      </c>
      <c r="F284" s="44">
        <f t="shared" si="45"/>
        <v>0</v>
      </c>
      <c r="G284" s="44">
        <f t="shared" si="45"/>
        <v>725078</v>
      </c>
      <c r="H284" s="44">
        <f t="shared" si="45"/>
        <v>0</v>
      </c>
    </row>
    <row r="285" spans="1:8">
      <c r="A285" s="54" t="s">
        <v>222</v>
      </c>
      <c r="B285" s="55"/>
      <c r="C285" s="56"/>
      <c r="D285" s="56"/>
      <c r="E285" s="56"/>
      <c r="F285" s="56"/>
      <c r="G285" s="56"/>
      <c r="H285" s="56"/>
    </row>
    <row r="286" spans="1:8">
      <c r="A286" s="45" t="s">
        <v>146</v>
      </c>
      <c r="B286" s="52"/>
      <c r="C286" s="53"/>
      <c r="D286" s="53"/>
      <c r="E286" s="53"/>
      <c r="F286" s="53">
        <v>876</v>
      </c>
      <c r="G286" s="53"/>
      <c r="H286" s="53"/>
    </row>
    <row r="287" spans="1:8">
      <c r="A287" s="45" t="s">
        <v>153</v>
      </c>
      <c r="B287" s="46"/>
      <c r="C287" s="47"/>
      <c r="D287" s="47"/>
      <c r="E287" s="47"/>
      <c r="F287" s="47">
        <v>291390</v>
      </c>
      <c r="G287" s="47">
        <v>309699</v>
      </c>
      <c r="H287" s="47"/>
    </row>
    <row r="288" spans="1:8">
      <c r="A288" s="45" t="s">
        <v>154</v>
      </c>
      <c r="B288" s="48"/>
      <c r="C288" s="49"/>
      <c r="D288" s="49"/>
      <c r="E288" s="49"/>
      <c r="F288" s="49">
        <v>71107</v>
      </c>
      <c r="G288" s="49">
        <v>24084</v>
      </c>
      <c r="H288" s="49"/>
    </row>
    <row r="289" spans="1:8">
      <c r="A289" s="45" t="s">
        <v>155</v>
      </c>
      <c r="B289" s="48"/>
      <c r="C289" s="49"/>
      <c r="D289" s="49"/>
      <c r="E289" s="49"/>
      <c r="F289" s="47">
        <v>65414</v>
      </c>
      <c r="G289" s="47">
        <v>175250</v>
      </c>
      <c r="H289" s="47"/>
    </row>
    <row r="290" spans="1:8">
      <c r="A290" s="50" t="s">
        <v>150</v>
      </c>
      <c r="B290" s="44">
        <f t="shared" ref="B290:H290" si="46">SUM(B286:B289)</f>
        <v>0</v>
      </c>
      <c r="C290" s="44">
        <f t="shared" si="46"/>
        <v>0</v>
      </c>
      <c r="D290" s="44">
        <f t="shared" si="46"/>
        <v>0</v>
      </c>
      <c r="E290" s="44">
        <f t="shared" si="46"/>
        <v>0</v>
      </c>
      <c r="F290" s="44">
        <f t="shared" si="46"/>
        <v>428787</v>
      </c>
      <c r="G290" s="44">
        <f t="shared" si="46"/>
        <v>509033</v>
      </c>
      <c r="H290" s="44">
        <f t="shared" si="46"/>
        <v>0</v>
      </c>
    </row>
    <row r="291" spans="1:8">
      <c r="A291" s="54" t="s">
        <v>223</v>
      </c>
      <c r="B291" s="55"/>
      <c r="C291" s="56"/>
      <c r="D291" s="56"/>
      <c r="E291" s="56"/>
      <c r="F291" s="56"/>
      <c r="G291" s="56"/>
      <c r="H291" s="56"/>
    </row>
    <row r="292" spans="1:8">
      <c r="A292" s="45" t="s">
        <v>224</v>
      </c>
      <c r="B292" s="52"/>
      <c r="C292" s="47">
        <v>7335</v>
      </c>
      <c r="D292" s="47">
        <v>19821</v>
      </c>
      <c r="E292" s="47"/>
      <c r="F292" s="47">
        <v>7757</v>
      </c>
      <c r="G292" s="47">
        <v>41872</v>
      </c>
      <c r="H292" s="47">
        <v>60000</v>
      </c>
    </row>
    <row r="293" spans="1:8">
      <c r="A293" s="50" t="s">
        <v>150</v>
      </c>
      <c r="B293" s="44">
        <f t="shared" ref="B293:H293" si="47">SUM(B292:B292)</f>
        <v>0</v>
      </c>
      <c r="C293" s="44">
        <f t="shared" si="47"/>
        <v>7335</v>
      </c>
      <c r="D293" s="44">
        <f t="shared" si="47"/>
        <v>19821</v>
      </c>
      <c r="E293" s="44">
        <f t="shared" si="47"/>
        <v>0</v>
      </c>
      <c r="F293" s="44">
        <f t="shared" si="47"/>
        <v>7757</v>
      </c>
      <c r="G293" s="44">
        <f t="shared" si="47"/>
        <v>41872</v>
      </c>
      <c r="H293" s="44">
        <f t="shared" si="47"/>
        <v>60000</v>
      </c>
    </row>
    <row r="294" spans="1:8">
      <c r="A294" s="54" t="s">
        <v>225</v>
      </c>
      <c r="B294" s="55"/>
      <c r="C294" s="56"/>
      <c r="D294" s="56"/>
      <c r="E294" s="56"/>
      <c r="F294" s="56"/>
      <c r="G294" s="56"/>
      <c r="H294" s="56"/>
    </row>
    <row r="295" spans="1:8">
      <c r="A295" s="45" t="s">
        <v>211</v>
      </c>
      <c r="B295" s="52"/>
      <c r="C295" s="47"/>
      <c r="D295" s="47"/>
      <c r="E295" s="47"/>
      <c r="F295" s="47"/>
      <c r="G295" s="47"/>
      <c r="H295" s="47">
        <v>364328</v>
      </c>
    </row>
    <row r="296" spans="1:8">
      <c r="A296" s="50" t="s">
        <v>150</v>
      </c>
      <c r="B296" s="44">
        <f t="shared" ref="B296:H296" si="48">SUM(B295:B295)</f>
        <v>0</v>
      </c>
      <c r="C296" s="44">
        <f t="shared" si="48"/>
        <v>0</v>
      </c>
      <c r="D296" s="44">
        <f t="shared" si="48"/>
        <v>0</v>
      </c>
      <c r="E296" s="44">
        <f t="shared" si="48"/>
        <v>0</v>
      </c>
      <c r="F296" s="44">
        <f t="shared" si="48"/>
        <v>0</v>
      </c>
      <c r="G296" s="44">
        <f t="shared" si="48"/>
        <v>0</v>
      </c>
      <c r="H296" s="44">
        <f t="shared" si="48"/>
        <v>364328</v>
      </c>
    </row>
    <row r="297" spans="1:8">
      <c r="A297" s="54" t="s">
        <v>226</v>
      </c>
      <c r="B297" s="55"/>
      <c r="C297" s="56"/>
      <c r="D297" s="56"/>
      <c r="E297" s="56"/>
      <c r="F297" s="56"/>
      <c r="G297" s="56"/>
      <c r="H297" s="56"/>
    </row>
    <row r="298" spans="1:8">
      <c r="A298" s="45" t="s">
        <v>152</v>
      </c>
      <c r="B298" s="52"/>
      <c r="C298" s="47"/>
      <c r="D298" s="47">
        <f>81942+0.57</f>
        <v>81942.570000000007</v>
      </c>
      <c r="E298" s="47">
        <f>44163-0.34</f>
        <v>44162.66</v>
      </c>
      <c r="F298" s="47">
        <f>32886+0.29</f>
        <v>32886.29</v>
      </c>
      <c r="G298" s="47"/>
      <c r="H298" s="47">
        <v>555675</v>
      </c>
    </row>
    <row r="299" spans="1:8">
      <c r="A299" s="50" t="s">
        <v>150</v>
      </c>
      <c r="B299" s="44">
        <f t="shared" ref="B299:H299" si="49">SUM(B298:B298)</f>
        <v>0</v>
      </c>
      <c r="C299" s="44">
        <f t="shared" si="49"/>
        <v>0</v>
      </c>
      <c r="D299" s="44">
        <f t="shared" si="49"/>
        <v>81942.570000000007</v>
      </c>
      <c r="E299" s="44">
        <f t="shared" si="49"/>
        <v>44162.66</v>
      </c>
      <c r="F299" s="44">
        <f t="shared" si="49"/>
        <v>32886.29</v>
      </c>
      <c r="G299" s="44">
        <f t="shared" si="49"/>
        <v>0</v>
      </c>
      <c r="H299" s="44">
        <f t="shared" si="49"/>
        <v>555675</v>
      </c>
    </row>
    <row r="300" spans="1:8">
      <c r="A300" s="43" t="s">
        <v>227</v>
      </c>
      <c r="B300" s="51"/>
      <c r="C300" s="51"/>
      <c r="D300" s="51"/>
      <c r="E300" s="51"/>
      <c r="F300" s="51"/>
      <c r="G300" s="51"/>
      <c r="H300" s="51"/>
    </row>
    <row r="301" spans="1:8">
      <c r="A301" s="45" t="s">
        <v>146</v>
      </c>
      <c r="B301" s="46"/>
      <c r="C301" s="47"/>
      <c r="D301" s="47"/>
      <c r="E301" s="47"/>
      <c r="F301" s="47"/>
      <c r="G301" s="47">
        <v>58448</v>
      </c>
      <c r="H301" s="47"/>
    </row>
    <row r="302" spans="1:8">
      <c r="A302" s="45" t="s">
        <v>152</v>
      </c>
      <c r="B302" s="48"/>
      <c r="C302" s="49"/>
      <c r="D302" s="49"/>
      <c r="E302" s="49"/>
      <c r="F302" s="49"/>
      <c r="G302" s="49">
        <v>16475</v>
      </c>
      <c r="H302" s="49"/>
    </row>
    <row r="303" spans="1:8">
      <c r="A303" s="45" t="s">
        <v>153</v>
      </c>
      <c r="B303" s="48"/>
      <c r="C303" s="49"/>
      <c r="D303" s="49"/>
      <c r="E303" s="49"/>
      <c r="F303" s="49"/>
      <c r="G303" s="49">
        <v>144</v>
      </c>
      <c r="H303" s="49"/>
    </row>
    <row r="304" spans="1:8">
      <c r="A304" s="45" t="s">
        <v>154</v>
      </c>
      <c r="B304" s="48"/>
      <c r="C304" s="49"/>
      <c r="D304" s="49"/>
      <c r="E304" s="49"/>
      <c r="F304" s="49"/>
      <c r="G304" s="49">
        <v>39439</v>
      </c>
      <c r="H304" s="49"/>
    </row>
    <row r="305" spans="1:8">
      <c r="A305" s="45" t="s">
        <v>155</v>
      </c>
      <c r="B305" s="46"/>
      <c r="C305" s="47"/>
      <c r="D305" s="47"/>
      <c r="E305" s="47"/>
      <c r="F305" s="47"/>
      <c r="G305" s="47">
        <v>9315</v>
      </c>
      <c r="H305" s="47"/>
    </row>
    <row r="306" spans="1:8">
      <c r="A306" s="50" t="s">
        <v>157</v>
      </c>
      <c r="B306" s="44">
        <f t="shared" ref="B306:G306" si="50">SUM(B300:B305)</f>
        <v>0</v>
      </c>
      <c r="C306" s="44">
        <f t="shared" si="50"/>
        <v>0</v>
      </c>
      <c r="D306" s="44">
        <f t="shared" si="50"/>
        <v>0</v>
      </c>
      <c r="E306" s="44">
        <f t="shared" si="50"/>
        <v>0</v>
      </c>
      <c r="F306" s="44">
        <f t="shared" si="50"/>
        <v>0</v>
      </c>
      <c r="G306" s="44">
        <f t="shared" si="50"/>
        <v>123821</v>
      </c>
      <c r="H306" s="44">
        <f>SUM(H300:H304)</f>
        <v>0</v>
      </c>
    </row>
    <row r="307" spans="1:8">
      <c r="A307" s="43" t="s">
        <v>228</v>
      </c>
      <c r="B307" s="51"/>
      <c r="C307" s="51"/>
      <c r="D307" s="51"/>
      <c r="E307" s="51"/>
      <c r="F307" s="51"/>
      <c r="G307" s="51"/>
      <c r="H307" s="51"/>
    </row>
    <row r="308" spans="1:8">
      <c r="A308" s="45" t="s">
        <v>146</v>
      </c>
      <c r="B308" s="46"/>
      <c r="C308" s="47"/>
      <c r="D308" s="47"/>
      <c r="E308" s="47"/>
      <c r="F308" s="47"/>
      <c r="G308" s="47"/>
      <c r="H308" s="47">
        <v>166102</v>
      </c>
    </row>
    <row r="309" spans="1:8">
      <c r="A309" s="45" t="s">
        <v>152</v>
      </c>
      <c r="B309" s="48"/>
      <c r="C309" s="49"/>
      <c r="D309" s="49"/>
      <c r="E309" s="49"/>
      <c r="F309" s="49"/>
      <c r="G309" s="49"/>
      <c r="H309" s="49">
        <v>159969</v>
      </c>
    </row>
    <row r="310" spans="1:8">
      <c r="A310" s="45" t="s">
        <v>153</v>
      </c>
      <c r="B310" s="48"/>
      <c r="C310" s="49"/>
      <c r="D310" s="49"/>
      <c r="E310" s="49"/>
      <c r="F310" s="49"/>
      <c r="G310" s="49"/>
      <c r="H310" s="49">
        <f>30665+9302</f>
        <v>39967</v>
      </c>
    </row>
    <row r="311" spans="1:8">
      <c r="A311" s="45" t="s">
        <v>154</v>
      </c>
      <c r="B311" s="48"/>
      <c r="C311" s="49"/>
      <c r="D311" s="49"/>
      <c r="E311" s="49"/>
      <c r="F311" s="49"/>
      <c r="G311" s="49"/>
      <c r="H311" s="49">
        <v>99661</v>
      </c>
    </row>
    <row r="312" spans="1:8">
      <c r="A312" s="45" t="s">
        <v>155</v>
      </c>
      <c r="B312" s="46"/>
      <c r="C312" s="47"/>
      <c r="D312" s="47"/>
      <c r="E312" s="47"/>
      <c r="F312" s="47"/>
      <c r="G312" s="47"/>
      <c r="H312" s="47">
        <v>45385</v>
      </c>
    </row>
    <row r="313" spans="1:8">
      <c r="A313" s="50" t="s">
        <v>157</v>
      </c>
      <c r="B313" s="44">
        <f t="shared" ref="B313:H313" si="51">SUM(B307:B312)</f>
        <v>0</v>
      </c>
      <c r="C313" s="44">
        <f t="shared" si="51"/>
        <v>0</v>
      </c>
      <c r="D313" s="44">
        <f t="shared" si="51"/>
        <v>0</v>
      </c>
      <c r="E313" s="44">
        <f t="shared" si="51"/>
        <v>0</v>
      </c>
      <c r="F313" s="44">
        <f t="shared" si="51"/>
        <v>0</v>
      </c>
      <c r="G313" s="44">
        <f t="shared" si="51"/>
        <v>0</v>
      </c>
      <c r="H313" s="44">
        <f t="shared" si="51"/>
        <v>511084</v>
      </c>
    </row>
    <row r="314" spans="1:8">
      <c r="A314" s="43" t="s">
        <v>229</v>
      </c>
      <c r="B314" s="51"/>
      <c r="C314" s="51"/>
      <c r="D314" s="51"/>
      <c r="E314" s="51"/>
      <c r="F314" s="51"/>
      <c r="G314" s="51"/>
      <c r="H314" s="51"/>
    </row>
    <row r="315" spans="1:8">
      <c r="A315" s="45" t="s">
        <v>146</v>
      </c>
      <c r="B315" s="46"/>
      <c r="C315" s="47"/>
      <c r="D315" s="47"/>
      <c r="E315" s="47"/>
      <c r="F315" s="47"/>
      <c r="G315" s="47"/>
      <c r="H315" s="47">
        <v>90817</v>
      </c>
    </row>
    <row r="316" spans="1:8">
      <c r="A316" s="45" t="s">
        <v>152</v>
      </c>
      <c r="B316" s="48"/>
      <c r="C316" s="49"/>
      <c r="D316" s="49"/>
      <c r="E316" s="49"/>
      <c r="F316" s="49"/>
      <c r="G316" s="49"/>
      <c r="H316" s="49">
        <v>45408</v>
      </c>
    </row>
    <row r="317" spans="1:8">
      <c r="A317" s="45" t="s">
        <v>154</v>
      </c>
      <c r="B317" s="48"/>
      <c r="C317" s="49"/>
      <c r="D317" s="49"/>
      <c r="E317" s="49"/>
      <c r="F317" s="49"/>
      <c r="G317" s="49"/>
      <c r="H317" s="49">
        <v>136225</v>
      </c>
    </row>
    <row r="318" spans="1:8">
      <c r="A318" s="45" t="s">
        <v>155</v>
      </c>
      <c r="B318" s="46"/>
      <c r="C318" s="47"/>
      <c r="D318" s="47"/>
      <c r="E318" s="47"/>
      <c r="F318" s="47"/>
      <c r="G318" s="47"/>
      <c r="H318" s="47">
        <v>30273</v>
      </c>
    </row>
    <row r="319" spans="1:8">
      <c r="A319" s="50" t="s">
        <v>157</v>
      </c>
      <c r="B319" s="44">
        <f t="shared" ref="B319:G319" si="52">SUM(B314:B318)</f>
        <v>0</v>
      </c>
      <c r="C319" s="44">
        <f t="shared" si="52"/>
        <v>0</v>
      </c>
      <c r="D319" s="44">
        <f t="shared" si="52"/>
        <v>0</v>
      </c>
      <c r="E319" s="44">
        <f t="shared" si="52"/>
        <v>0</v>
      </c>
      <c r="F319" s="44">
        <f t="shared" si="52"/>
        <v>0</v>
      </c>
      <c r="G319" s="44">
        <f t="shared" si="52"/>
        <v>0</v>
      </c>
      <c r="H319" s="44">
        <f>SUM(H315:H318)</f>
        <v>302723</v>
      </c>
    </row>
    <row r="320" spans="1:8">
      <c r="A320" s="43" t="s">
        <v>230</v>
      </c>
      <c r="B320" s="51"/>
      <c r="C320" s="51"/>
      <c r="D320" s="51"/>
      <c r="E320" s="51"/>
      <c r="F320" s="51"/>
      <c r="G320" s="51"/>
      <c r="H320" s="51"/>
    </row>
    <row r="321" spans="1:8">
      <c r="A321" s="45" t="s">
        <v>146</v>
      </c>
      <c r="B321" s="46"/>
      <c r="C321" s="47"/>
      <c r="D321" s="47"/>
      <c r="E321" s="47"/>
      <c r="F321" s="47"/>
      <c r="G321" s="47"/>
      <c r="H321" s="47">
        <v>53470</v>
      </c>
    </row>
    <row r="322" spans="1:8">
      <c r="A322" s="45" t="s">
        <v>152</v>
      </c>
      <c r="B322" s="48"/>
      <c r="C322" s="49"/>
      <c r="D322" s="49"/>
      <c r="E322" s="49"/>
      <c r="F322" s="49"/>
      <c r="G322" s="49"/>
      <c r="H322" s="49">
        <v>26735</v>
      </c>
    </row>
    <row r="323" spans="1:8">
      <c r="A323" s="45" t="s">
        <v>154</v>
      </c>
      <c r="B323" s="48"/>
      <c r="C323" s="49"/>
      <c r="D323" s="49"/>
      <c r="E323" s="49"/>
      <c r="F323" s="49"/>
      <c r="G323" s="49"/>
      <c r="H323" s="49">
        <v>80204</v>
      </c>
    </row>
    <row r="324" spans="1:8">
      <c r="A324" s="45" t="s">
        <v>155</v>
      </c>
      <c r="B324" s="46"/>
      <c r="C324" s="47"/>
      <c r="D324" s="47"/>
      <c r="E324" s="47"/>
      <c r="F324" s="47"/>
      <c r="G324" s="47"/>
      <c r="H324" s="47">
        <v>17823</v>
      </c>
    </row>
    <row r="325" spans="1:8">
      <c r="A325" s="50" t="s">
        <v>157</v>
      </c>
      <c r="B325" s="44">
        <f t="shared" ref="B325:H325" si="53">SUM(B320:B324)</f>
        <v>0</v>
      </c>
      <c r="C325" s="44">
        <f t="shared" si="53"/>
        <v>0</v>
      </c>
      <c r="D325" s="44">
        <f t="shared" si="53"/>
        <v>0</v>
      </c>
      <c r="E325" s="44">
        <f t="shared" si="53"/>
        <v>0</v>
      </c>
      <c r="F325" s="44">
        <f t="shared" si="53"/>
        <v>0</v>
      </c>
      <c r="G325" s="44">
        <f t="shared" si="53"/>
        <v>0</v>
      </c>
      <c r="H325" s="44">
        <f t="shared" si="53"/>
        <v>178232</v>
      </c>
    </row>
    <row r="326" spans="1:8">
      <c r="A326" s="43" t="s">
        <v>231</v>
      </c>
      <c r="B326" s="51"/>
      <c r="C326" s="51"/>
      <c r="D326" s="51"/>
      <c r="E326" s="51"/>
      <c r="F326" s="51"/>
      <c r="G326" s="51"/>
      <c r="H326" s="51"/>
    </row>
    <row r="327" spans="1:8">
      <c r="A327" s="45" t="s">
        <v>146</v>
      </c>
      <c r="B327" s="46"/>
      <c r="C327" s="47"/>
      <c r="D327" s="47"/>
      <c r="E327" s="47"/>
      <c r="F327" s="47"/>
      <c r="G327" s="47"/>
      <c r="H327" s="47">
        <v>6693</v>
      </c>
    </row>
    <row r="328" spans="1:8">
      <c r="A328" s="45" t="s">
        <v>153</v>
      </c>
      <c r="B328" s="48"/>
      <c r="C328" s="49"/>
      <c r="D328" s="49"/>
      <c r="E328" s="49"/>
      <c r="F328" s="49"/>
      <c r="G328" s="49"/>
      <c r="H328" s="49">
        <f>150597+56892</f>
        <v>207489</v>
      </c>
    </row>
    <row r="329" spans="1:8">
      <c r="A329" s="45" t="s">
        <v>154</v>
      </c>
      <c r="B329" s="48"/>
      <c r="C329" s="49"/>
      <c r="D329" s="49"/>
      <c r="E329" s="49"/>
      <c r="F329" s="49"/>
      <c r="G329" s="49"/>
      <c r="H329" s="49">
        <v>80319</v>
      </c>
    </row>
    <row r="330" spans="1:8">
      <c r="A330" s="45" t="s">
        <v>155</v>
      </c>
      <c r="B330" s="46"/>
      <c r="C330" s="47"/>
      <c r="D330" s="47"/>
      <c r="E330" s="47"/>
      <c r="F330" s="47"/>
      <c r="G330" s="47"/>
      <c r="H330" s="47">
        <f>40159+1</f>
        <v>40160</v>
      </c>
    </row>
    <row r="331" spans="1:8">
      <c r="A331" s="50" t="s">
        <v>157</v>
      </c>
      <c r="B331" s="44">
        <f t="shared" ref="B331:H331" si="54">SUM(B326:B330)</f>
        <v>0</v>
      </c>
      <c r="C331" s="44">
        <f t="shared" si="54"/>
        <v>0</v>
      </c>
      <c r="D331" s="44">
        <f t="shared" si="54"/>
        <v>0</v>
      </c>
      <c r="E331" s="44">
        <f t="shared" si="54"/>
        <v>0</v>
      </c>
      <c r="F331" s="44">
        <f t="shared" si="54"/>
        <v>0</v>
      </c>
      <c r="G331" s="44">
        <f t="shared" si="54"/>
        <v>0</v>
      </c>
      <c r="H331" s="44">
        <f t="shared" si="54"/>
        <v>334661</v>
      </c>
    </row>
    <row r="332" spans="1:8">
      <c r="A332" s="43" t="s">
        <v>232</v>
      </c>
      <c r="B332" s="51"/>
      <c r="C332" s="51"/>
      <c r="D332" s="51"/>
      <c r="E332" s="51"/>
      <c r="F332" s="51"/>
      <c r="G332" s="51"/>
      <c r="H332" s="51"/>
    </row>
    <row r="333" spans="1:8">
      <c r="A333" s="45" t="s">
        <v>146</v>
      </c>
      <c r="B333" s="46"/>
      <c r="C333" s="47"/>
      <c r="D333" s="47"/>
      <c r="E333" s="47"/>
      <c r="F333" s="47"/>
      <c r="G333" s="47"/>
      <c r="H333" s="47">
        <v>149501</v>
      </c>
    </row>
    <row r="334" spans="1:8">
      <c r="A334" s="45" t="s">
        <v>152</v>
      </c>
      <c r="B334" s="48"/>
      <c r="C334" s="49"/>
      <c r="D334" s="49"/>
      <c r="E334" s="49"/>
      <c r="F334" s="49"/>
      <c r="G334" s="49"/>
      <c r="H334" s="49">
        <v>104651</v>
      </c>
    </row>
    <row r="335" spans="1:8">
      <c r="A335" s="45" t="s">
        <v>154</v>
      </c>
      <c r="B335" s="48"/>
      <c r="C335" s="49"/>
      <c r="D335" s="49"/>
      <c r="E335" s="49"/>
      <c r="F335" s="49"/>
      <c r="G335" s="49"/>
      <c r="H335" s="49">
        <v>44850</v>
      </c>
    </row>
    <row r="336" spans="1:8">
      <c r="A336" s="45" t="s">
        <v>155</v>
      </c>
      <c r="B336" s="46"/>
      <c r="C336" s="47"/>
      <c r="D336" s="47"/>
      <c r="E336" s="47"/>
      <c r="F336" s="47"/>
      <c r="G336" s="47"/>
      <c r="H336" s="47">
        <v>74751</v>
      </c>
    </row>
    <row r="337" spans="1:8">
      <c r="A337" s="50" t="s">
        <v>157</v>
      </c>
      <c r="B337" s="44">
        <f t="shared" ref="B337:G337" si="55">SUM(B332:B336)</f>
        <v>0</v>
      </c>
      <c r="C337" s="44">
        <f t="shared" si="55"/>
        <v>0</v>
      </c>
      <c r="D337" s="44">
        <f t="shared" si="55"/>
        <v>0</v>
      </c>
      <c r="E337" s="44">
        <f t="shared" si="55"/>
        <v>0</v>
      </c>
      <c r="F337" s="44">
        <f t="shared" si="55"/>
        <v>0</v>
      </c>
      <c r="G337" s="44">
        <f t="shared" si="55"/>
        <v>0</v>
      </c>
      <c r="H337" s="44">
        <f>SUM(H333:H336)</f>
        <v>373753</v>
      </c>
    </row>
    <row r="338" spans="1:8">
      <c r="A338" s="43" t="s">
        <v>233</v>
      </c>
      <c r="B338" s="51"/>
      <c r="C338" s="51"/>
      <c r="D338" s="51"/>
      <c r="E338" s="51"/>
      <c r="F338" s="51"/>
      <c r="G338" s="51"/>
      <c r="H338" s="51"/>
    </row>
    <row r="339" spans="1:8">
      <c r="A339" s="45" t="s">
        <v>146</v>
      </c>
      <c r="B339" s="46"/>
      <c r="C339" s="47"/>
      <c r="D339" s="47"/>
      <c r="E339" s="47"/>
      <c r="F339" s="47"/>
      <c r="G339" s="47"/>
      <c r="H339" s="47">
        <v>90818</v>
      </c>
    </row>
    <row r="340" spans="1:8">
      <c r="A340" s="45" t="s">
        <v>152</v>
      </c>
      <c r="B340" s="48"/>
      <c r="C340" s="49"/>
      <c r="D340" s="49"/>
      <c r="E340" s="49"/>
      <c r="F340" s="49"/>
      <c r="G340" s="49"/>
      <c r="H340" s="49">
        <v>45408</v>
      </c>
    </row>
    <row r="341" spans="1:8">
      <c r="A341" s="45" t="s">
        <v>154</v>
      </c>
      <c r="B341" s="48"/>
      <c r="C341" s="49"/>
      <c r="D341" s="49"/>
      <c r="E341" s="49"/>
      <c r="F341" s="49"/>
      <c r="G341" s="49"/>
      <c r="H341" s="49">
        <v>136225</v>
      </c>
    </row>
    <row r="342" spans="1:8">
      <c r="A342" s="45" t="s">
        <v>155</v>
      </c>
      <c r="B342" s="46"/>
      <c r="C342" s="47"/>
      <c r="D342" s="47"/>
      <c r="E342" s="47"/>
      <c r="F342" s="47"/>
      <c r="G342" s="47"/>
      <c r="H342" s="47">
        <v>30272</v>
      </c>
    </row>
    <row r="343" spans="1:8">
      <c r="A343" s="50" t="s">
        <v>157</v>
      </c>
      <c r="B343" s="44">
        <f t="shared" ref="B343:G343" si="56">SUM(B338:B342)</f>
        <v>0</v>
      </c>
      <c r="C343" s="44">
        <f t="shared" si="56"/>
        <v>0</v>
      </c>
      <c r="D343" s="44">
        <f t="shared" si="56"/>
        <v>0</v>
      </c>
      <c r="E343" s="44">
        <f t="shared" si="56"/>
        <v>0</v>
      </c>
      <c r="F343" s="44">
        <f t="shared" si="56"/>
        <v>0</v>
      </c>
      <c r="G343" s="44">
        <f t="shared" si="56"/>
        <v>0</v>
      </c>
      <c r="H343" s="44">
        <f>SUM(H339:H342)</f>
        <v>302723</v>
      </c>
    </row>
    <row r="344" spans="1:8">
      <c r="A344" s="43" t="s">
        <v>234</v>
      </c>
      <c r="B344" s="51"/>
      <c r="C344" s="51"/>
      <c r="D344" s="51"/>
      <c r="E344" s="51"/>
      <c r="F344" s="51"/>
      <c r="G344" s="51"/>
      <c r="H344" s="51"/>
    </row>
    <row r="345" spans="1:8">
      <c r="A345" s="45" t="s">
        <v>146</v>
      </c>
      <c r="B345" s="46"/>
      <c r="C345" s="47"/>
      <c r="D345" s="47"/>
      <c r="E345" s="47"/>
      <c r="F345" s="47"/>
      <c r="G345" s="47">
        <v>246853</v>
      </c>
      <c r="H345" s="47">
        <v>186246</v>
      </c>
    </row>
    <row r="346" spans="1:8">
      <c r="A346" s="45" t="s">
        <v>152</v>
      </c>
      <c r="B346" s="48"/>
      <c r="C346" s="49"/>
      <c r="D346" s="49"/>
      <c r="E346" s="49"/>
      <c r="F346" s="49"/>
      <c r="G346" s="49">
        <v>10026</v>
      </c>
      <c r="H346" s="49">
        <v>133032</v>
      </c>
    </row>
    <row r="347" spans="1:8">
      <c r="A347" s="45" t="s">
        <v>154</v>
      </c>
      <c r="B347" s="48"/>
      <c r="C347" s="49"/>
      <c r="D347" s="49"/>
      <c r="E347" s="49"/>
      <c r="F347" s="49"/>
      <c r="G347" s="49">
        <v>35567</v>
      </c>
      <c r="H347" s="49">
        <v>79819</v>
      </c>
    </row>
    <row r="348" spans="1:8">
      <c r="A348" s="45" t="s">
        <v>155</v>
      </c>
      <c r="B348" s="46"/>
      <c r="C348" s="47"/>
      <c r="D348" s="47"/>
      <c r="E348" s="47"/>
      <c r="F348" s="47"/>
      <c r="G348" s="47"/>
      <c r="H348" s="47">
        <v>133032</v>
      </c>
    </row>
    <row r="349" spans="1:8">
      <c r="A349" s="50" t="s">
        <v>157</v>
      </c>
      <c r="B349" s="44">
        <f>SUM(B344:B348)</f>
        <v>0</v>
      </c>
      <c r="C349" s="44">
        <f>SUM(C344:C348)</f>
        <v>0</v>
      </c>
      <c r="D349" s="44">
        <f>SUM(D344:D348)</f>
        <v>0</v>
      </c>
      <c r="E349" s="44">
        <f>SUM(E344:E348)</f>
        <v>0</v>
      </c>
      <c r="F349" s="44">
        <f>SUM(F344:F348)</f>
        <v>0</v>
      </c>
      <c r="G349" s="44">
        <f>SUM(G345:G348)</f>
        <v>292446</v>
      </c>
      <c r="H349" s="44">
        <f>SUM(H345:H348)</f>
        <v>532129</v>
      </c>
    </row>
    <row r="350" spans="1:8">
      <c r="A350" s="43" t="s">
        <v>235</v>
      </c>
      <c r="B350" s="51"/>
      <c r="C350" s="51"/>
      <c r="D350" s="51"/>
      <c r="E350" s="51"/>
      <c r="F350" s="51"/>
      <c r="G350" s="51"/>
      <c r="H350" s="51"/>
    </row>
    <row r="351" spans="1:8">
      <c r="A351" s="45" t="s">
        <v>146</v>
      </c>
      <c r="B351" s="46"/>
      <c r="C351" s="47"/>
      <c r="D351" s="47"/>
      <c r="E351" s="47"/>
      <c r="F351" s="47"/>
      <c r="G351" s="47"/>
      <c r="H351" s="47">
        <v>95935</v>
      </c>
    </row>
    <row r="352" spans="1:8">
      <c r="A352" s="45" t="s">
        <v>152</v>
      </c>
      <c r="B352" s="48"/>
      <c r="C352" s="49"/>
      <c r="D352" s="49"/>
      <c r="E352" s="49"/>
      <c r="F352" s="49"/>
      <c r="G352" s="49"/>
      <c r="H352" s="49">
        <v>65596</v>
      </c>
    </row>
    <row r="353" spans="1:8">
      <c r="A353" s="45" t="s">
        <v>153</v>
      </c>
      <c r="B353" s="48"/>
      <c r="C353" s="49"/>
      <c r="D353" s="49"/>
      <c r="E353" s="49"/>
      <c r="F353" s="49"/>
      <c r="G353" s="49"/>
      <c r="H353" s="49">
        <f>12709+5002</f>
        <v>17711</v>
      </c>
    </row>
    <row r="354" spans="1:8">
      <c r="A354" s="45" t="s">
        <v>154</v>
      </c>
      <c r="B354" s="48"/>
      <c r="C354" s="49"/>
      <c r="D354" s="49"/>
      <c r="E354" s="49"/>
      <c r="F354" s="49"/>
      <c r="G354" s="49"/>
      <c r="H354" s="49">
        <v>3280</v>
      </c>
    </row>
    <row r="355" spans="1:8">
      <c r="A355" s="45" t="s">
        <v>155</v>
      </c>
      <c r="B355" s="46"/>
      <c r="C355" s="47"/>
      <c r="D355" s="47"/>
      <c r="E355" s="47"/>
      <c r="F355" s="47"/>
      <c r="G355" s="47"/>
      <c r="H355" s="47">
        <v>22466</v>
      </c>
    </row>
    <row r="356" spans="1:8">
      <c r="A356" s="50" t="s">
        <v>157</v>
      </c>
      <c r="B356" s="44">
        <f t="shared" ref="B356:G356" si="57">SUM(B350:B355)</f>
        <v>0</v>
      </c>
      <c r="C356" s="44">
        <f t="shared" si="57"/>
        <v>0</v>
      </c>
      <c r="D356" s="44">
        <f t="shared" si="57"/>
        <v>0</v>
      </c>
      <c r="E356" s="44">
        <f t="shared" si="57"/>
        <v>0</v>
      </c>
      <c r="F356" s="44">
        <f t="shared" si="57"/>
        <v>0</v>
      </c>
      <c r="G356" s="44">
        <f t="shared" si="57"/>
        <v>0</v>
      </c>
      <c r="H356" s="44">
        <f>SUM(H351:H355)</f>
        <v>204988</v>
      </c>
    </row>
    <row r="357" spans="1:8">
      <c r="A357" s="43" t="s">
        <v>236</v>
      </c>
      <c r="B357" s="51"/>
      <c r="C357" s="51"/>
      <c r="D357" s="51"/>
      <c r="E357" s="51"/>
      <c r="F357" s="51"/>
      <c r="G357" s="51"/>
      <c r="H357" s="51"/>
    </row>
    <row r="358" spans="1:8">
      <c r="A358" s="45" t="s">
        <v>145</v>
      </c>
      <c r="B358" s="46"/>
      <c r="C358" s="47"/>
      <c r="D358" s="47"/>
      <c r="E358" s="47"/>
      <c r="F358" s="47"/>
      <c r="G358" s="47"/>
      <c r="H358" s="47">
        <v>284913</v>
      </c>
    </row>
    <row r="359" spans="1:8">
      <c r="A359" s="45" t="s">
        <v>152</v>
      </c>
      <c r="B359" s="48"/>
      <c r="C359" s="49"/>
      <c r="D359" s="49"/>
      <c r="E359" s="49"/>
      <c r="F359" s="49"/>
      <c r="G359" s="49"/>
      <c r="H359" s="49"/>
    </row>
    <row r="360" spans="1:8">
      <c r="A360" s="45" t="s">
        <v>154</v>
      </c>
      <c r="B360" s="48"/>
      <c r="C360" s="49"/>
      <c r="D360" s="49"/>
      <c r="E360" s="49"/>
      <c r="F360" s="49"/>
      <c r="G360" s="49"/>
      <c r="H360" s="49"/>
    </row>
    <row r="361" spans="1:8">
      <c r="A361" s="45" t="s">
        <v>155</v>
      </c>
      <c r="B361" s="46"/>
      <c r="C361" s="47"/>
      <c r="D361" s="47"/>
      <c r="E361" s="47"/>
      <c r="F361" s="47"/>
      <c r="G361" s="47"/>
      <c r="H361" s="47"/>
    </row>
    <row r="362" spans="1:8">
      <c r="A362" s="50" t="s">
        <v>157</v>
      </c>
      <c r="B362" s="44">
        <f t="shared" ref="B362:G362" si="58">SUM(B357:B361)</f>
        <v>0</v>
      </c>
      <c r="C362" s="44">
        <f t="shared" si="58"/>
        <v>0</v>
      </c>
      <c r="D362" s="44">
        <f t="shared" si="58"/>
        <v>0</v>
      </c>
      <c r="E362" s="44">
        <f t="shared" si="58"/>
        <v>0</v>
      </c>
      <c r="F362" s="44">
        <f t="shared" si="58"/>
        <v>0</v>
      </c>
      <c r="G362" s="44">
        <f t="shared" si="58"/>
        <v>0</v>
      </c>
      <c r="H362" s="44">
        <f>SUM(H358:H361)</f>
        <v>284913</v>
      </c>
    </row>
    <row r="363" spans="1:8">
      <c r="A363" s="43" t="s">
        <v>237</v>
      </c>
      <c r="B363" s="51"/>
      <c r="C363" s="51"/>
      <c r="D363" s="51"/>
      <c r="E363" s="51"/>
      <c r="F363" s="51"/>
      <c r="G363" s="51"/>
      <c r="H363" s="51"/>
    </row>
    <row r="364" spans="1:8">
      <c r="A364" s="45" t="s">
        <v>146</v>
      </c>
      <c r="B364" s="46"/>
      <c r="C364" s="47"/>
      <c r="D364" s="47"/>
      <c r="E364" s="47"/>
      <c r="F364" s="47"/>
      <c r="G364" s="47"/>
      <c r="H364" s="47">
        <v>76873</v>
      </c>
    </row>
    <row r="365" spans="1:8">
      <c r="A365" s="45" t="s">
        <v>152</v>
      </c>
      <c r="B365" s="48"/>
      <c r="C365" s="49"/>
      <c r="D365" s="49"/>
      <c r="E365" s="49"/>
      <c r="F365" s="49"/>
      <c r="G365" s="49"/>
      <c r="H365" s="49">
        <v>28648</v>
      </c>
    </row>
    <row r="366" spans="1:8">
      <c r="A366" s="45" t="s">
        <v>154</v>
      </c>
      <c r="B366" s="48"/>
      <c r="C366" s="49"/>
      <c r="D366" s="49"/>
      <c r="E366" s="49"/>
      <c r="F366" s="49"/>
      <c r="G366" s="49"/>
      <c r="H366" s="49">
        <v>39869</v>
      </c>
    </row>
    <row r="367" spans="1:8">
      <c r="A367" s="45" t="s">
        <v>155</v>
      </c>
      <c r="B367" s="46"/>
      <c r="C367" s="47"/>
      <c r="D367" s="47"/>
      <c r="E367" s="47"/>
      <c r="F367" s="47"/>
      <c r="G367" s="47"/>
      <c r="H367" s="47">
        <v>93345</v>
      </c>
    </row>
    <row r="368" spans="1:8">
      <c r="A368" s="50" t="s">
        <v>157</v>
      </c>
      <c r="B368" s="44">
        <f t="shared" ref="B368:H368" si="59">SUM(B363:B367)</f>
        <v>0</v>
      </c>
      <c r="C368" s="44">
        <f t="shared" si="59"/>
        <v>0</v>
      </c>
      <c r="D368" s="44">
        <f t="shared" si="59"/>
        <v>0</v>
      </c>
      <c r="E368" s="44">
        <f t="shared" si="59"/>
        <v>0</v>
      </c>
      <c r="F368" s="44">
        <f t="shared" si="59"/>
        <v>0</v>
      </c>
      <c r="G368" s="44">
        <f t="shared" si="59"/>
        <v>0</v>
      </c>
      <c r="H368" s="44">
        <f t="shared" si="59"/>
        <v>238735</v>
      </c>
    </row>
    <row r="369" spans="1:8">
      <c r="A369" s="43" t="s">
        <v>238</v>
      </c>
      <c r="B369" s="51"/>
      <c r="C369" s="51"/>
      <c r="D369" s="51"/>
      <c r="E369" s="51"/>
      <c r="F369" s="51"/>
      <c r="G369" s="51"/>
      <c r="H369" s="51"/>
    </row>
    <row r="370" spans="1:8">
      <c r="A370" s="45" t="s">
        <v>145</v>
      </c>
      <c r="B370" s="46"/>
      <c r="C370" s="47"/>
      <c r="D370" s="47"/>
      <c r="E370" s="47"/>
      <c r="F370" s="47"/>
      <c r="G370" s="47"/>
      <c r="H370" s="47">
        <v>1821517</v>
      </c>
    </row>
    <row r="371" spans="1:8">
      <c r="A371" s="45" t="s">
        <v>153</v>
      </c>
      <c r="B371" s="46"/>
      <c r="C371" s="47"/>
      <c r="D371" s="47"/>
      <c r="E371" s="47"/>
      <c r="F371" s="47"/>
      <c r="G371" s="47"/>
      <c r="H371" s="47">
        <v>130232</v>
      </c>
    </row>
    <row r="372" spans="1:8">
      <c r="A372" s="45" t="s">
        <v>202</v>
      </c>
      <c r="B372" s="46"/>
      <c r="C372" s="47"/>
      <c r="D372" s="47"/>
      <c r="E372" s="47"/>
      <c r="F372" s="47"/>
      <c r="G372" s="47"/>
      <c r="H372" s="47">
        <v>33635</v>
      </c>
    </row>
    <row r="373" spans="1:8">
      <c r="A373" s="50" t="s">
        <v>157</v>
      </c>
      <c r="B373" s="44">
        <f t="shared" ref="B373:H373" si="60">SUM(B369:B372)</f>
        <v>0</v>
      </c>
      <c r="C373" s="44">
        <f t="shared" si="60"/>
        <v>0</v>
      </c>
      <c r="D373" s="44">
        <f t="shared" si="60"/>
        <v>0</v>
      </c>
      <c r="E373" s="44">
        <f t="shared" si="60"/>
        <v>0</v>
      </c>
      <c r="F373" s="44">
        <f t="shared" si="60"/>
        <v>0</v>
      </c>
      <c r="G373" s="44">
        <f t="shared" si="60"/>
        <v>0</v>
      </c>
      <c r="H373" s="44">
        <f t="shared" si="60"/>
        <v>1985384</v>
      </c>
    </row>
    <row r="374" spans="1:8">
      <c r="A374" s="43" t="s">
        <v>239</v>
      </c>
      <c r="B374" s="51"/>
      <c r="C374" s="51"/>
      <c r="D374" s="51"/>
      <c r="E374" s="51"/>
      <c r="F374" s="51"/>
      <c r="G374" s="51"/>
      <c r="H374" s="51"/>
    </row>
    <row r="375" spans="1:8">
      <c r="A375" s="45" t="s">
        <v>202</v>
      </c>
      <c r="B375" s="52"/>
      <c r="C375" s="47"/>
      <c r="D375" s="53"/>
      <c r="E375" s="47"/>
      <c r="F375" s="47"/>
      <c r="G375" s="47"/>
      <c r="H375" s="47">
        <v>174165</v>
      </c>
    </row>
    <row r="376" spans="1:8">
      <c r="A376" s="50" t="s">
        <v>157</v>
      </c>
      <c r="B376" s="44">
        <f t="shared" ref="B376:H376" si="61">SUM(B374:B375)</f>
        <v>0</v>
      </c>
      <c r="C376" s="44">
        <f t="shared" si="61"/>
        <v>0</v>
      </c>
      <c r="D376" s="44">
        <f t="shared" si="61"/>
        <v>0</v>
      </c>
      <c r="E376" s="44">
        <f t="shared" si="61"/>
        <v>0</v>
      </c>
      <c r="F376" s="44">
        <f t="shared" si="61"/>
        <v>0</v>
      </c>
      <c r="G376" s="44">
        <f t="shared" si="61"/>
        <v>0</v>
      </c>
      <c r="H376" s="44">
        <f t="shared" si="61"/>
        <v>174165</v>
      </c>
    </row>
    <row r="377" spans="1:8">
      <c r="A377" s="43" t="s">
        <v>240</v>
      </c>
      <c r="B377" s="51"/>
      <c r="C377" s="51"/>
      <c r="D377" s="51"/>
      <c r="E377" s="51"/>
      <c r="F377" s="51"/>
      <c r="G377" s="51"/>
      <c r="H377" s="51"/>
    </row>
    <row r="378" spans="1:8">
      <c r="A378" s="45" t="s">
        <v>241</v>
      </c>
      <c r="B378" s="46"/>
      <c r="C378" s="47"/>
      <c r="D378" s="47">
        <v>1275</v>
      </c>
      <c r="E378" s="47"/>
      <c r="F378" s="47"/>
      <c r="G378" s="47"/>
      <c r="H378" s="47"/>
    </row>
    <row r="379" spans="1:8">
      <c r="A379" s="45" t="s">
        <v>242</v>
      </c>
      <c r="B379" s="46"/>
      <c r="C379" s="47"/>
      <c r="D379" s="47">
        <v>93977</v>
      </c>
      <c r="E379" s="47"/>
      <c r="F379" s="47"/>
      <c r="G379" s="47">
        <v>850</v>
      </c>
      <c r="H379" s="47"/>
    </row>
    <row r="380" spans="1:8">
      <c r="A380" s="45" t="s">
        <v>243</v>
      </c>
      <c r="B380" s="46"/>
      <c r="C380" s="47">
        <v>16700</v>
      </c>
      <c r="D380" s="47">
        <v>21337</v>
      </c>
      <c r="E380" s="47"/>
      <c r="F380" s="47"/>
      <c r="G380" s="47"/>
      <c r="H380" s="47"/>
    </row>
    <row r="381" spans="1:8">
      <c r="A381" s="45" t="s">
        <v>244</v>
      </c>
      <c r="B381" s="46"/>
      <c r="C381" s="47"/>
      <c r="D381" s="47">
        <v>70003</v>
      </c>
      <c r="E381" s="47"/>
      <c r="F381" s="47"/>
      <c r="G381" s="47"/>
      <c r="H381" s="47"/>
    </row>
    <row r="382" spans="1:8" s="61" customFormat="1" ht="15.75" customHeight="1">
      <c r="A382" s="45" t="s">
        <v>245</v>
      </c>
      <c r="B382" s="46"/>
      <c r="C382" s="47"/>
      <c r="D382" s="47"/>
      <c r="E382" s="47"/>
      <c r="F382" s="47"/>
      <c r="G382" s="47"/>
      <c r="H382" s="47">
        <v>75000</v>
      </c>
    </row>
    <row r="383" spans="1:8" s="61" customFormat="1">
      <c r="A383" s="45" t="s">
        <v>246</v>
      </c>
      <c r="B383" s="46"/>
      <c r="C383" s="47"/>
      <c r="D383" s="47">
        <v>114780</v>
      </c>
      <c r="E383" s="47"/>
      <c r="F383" s="47"/>
      <c r="G383" s="47"/>
      <c r="H383" s="47"/>
    </row>
    <row r="384" spans="1:8">
      <c r="A384" s="45" t="s">
        <v>247</v>
      </c>
      <c r="B384" s="46"/>
      <c r="C384" s="47"/>
      <c r="D384" s="47"/>
      <c r="E384" s="47">
        <v>50676</v>
      </c>
      <c r="F384" s="47">
        <v>7907</v>
      </c>
      <c r="G384" s="47"/>
      <c r="H384" s="47"/>
    </row>
    <row r="385" spans="1:8">
      <c r="A385" s="45" t="s">
        <v>248</v>
      </c>
      <c r="B385" s="46"/>
      <c r="C385" s="47"/>
      <c r="D385" s="47"/>
      <c r="E385" s="47">
        <v>7963</v>
      </c>
      <c r="F385" s="47"/>
      <c r="G385" s="47"/>
      <c r="H385" s="47"/>
    </row>
    <row r="386" spans="1:8">
      <c r="A386" s="45" t="s">
        <v>249</v>
      </c>
      <c r="B386" s="46"/>
      <c r="C386" s="47"/>
      <c r="D386" s="47"/>
      <c r="E386" s="47">
        <v>11341</v>
      </c>
      <c r="F386" s="47">
        <v>92720</v>
      </c>
      <c r="G386" s="47">
        <v>52401.5</v>
      </c>
      <c r="H386" s="47"/>
    </row>
    <row r="387" spans="1:8">
      <c r="A387" s="45" t="s">
        <v>250</v>
      </c>
      <c r="B387" s="46"/>
      <c r="C387" s="47"/>
      <c r="D387" s="47"/>
      <c r="E387" s="47">
        <v>69456</v>
      </c>
      <c r="F387" s="47"/>
      <c r="G387" s="47"/>
      <c r="H387" s="47"/>
    </row>
    <row r="388" spans="1:8">
      <c r="A388" s="45" t="s">
        <v>251</v>
      </c>
      <c r="B388" s="46"/>
      <c r="C388" s="47"/>
      <c r="D388" s="47"/>
      <c r="E388" s="47"/>
      <c r="F388" s="47">
        <v>70000</v>
      </c>
      <c r="G388" s="47"/>
      <c r="H388" s="47"/>
    </row>
    <row r="389" spans="1:8">
      <c r="A389" s="45" t="s">
        <v>252</v>
      </c>
      <c r="B389" s="46"/>
      <c r="C389" s="47"/>
      <c r="D389" s="47"/>
      <c r="E389" s="47"/>
      <c r="F389" s="47">
        <v>57640</v>
      </c>
      <c r="G389" s="47"/>
      <c r="H389" s="47"/>
    </row>
    <row r="390" spans="1:8">
      <c r="A390" s="45" t="s">
        <v>253</v>
      </c>
      <c r="B390" s="46"/>
      <c r="C390" s="47">
        <v>8065</v>
      </c>
      <c r="D390" s="47"/>
      <c r="E390" s="47"/>
      <c r="F390" s="47"/>
      <c r="G390" s="47"/>
      <c r="H390" s="47"/>
    </row>
    <row r="391" spans="1:8">
      <c r="A391" s="45" t="s">
        <v>254</v>
      </c>
      <c r="B391" s="48"/>
      <c r="C391" s="49">
        <f>1091+0.77</f>
        <v>1091.77</v>
      </c>
      <c r="D391" s="49"/>
      <c r="E391" s="49"/>
      <c r="F391" s="49"/>
      <c r="G391" s="49"/>
      <c r="H391" s="49"/>
    </row>
    <row r="392" spans="1:8">
      <c r="A392" s="45" t="s">
        <v>255</v>
      </c>
      <c r="B392" s="48"/>
      <c r="C392" s="49"/>
      <c r="D392" s="49"/>
      <c r="E392" s="49"/>
      <c r="F392" s="49"/>
      <c r="G392" s="49"/>
      <c r="H392" s="49"/>
    </row>
    <row r="393" spans="1:8">
      <c r="A393" s="45" t="s">
        <v>256</v>
      </c>
      <c r="B393" s="48"/>
      <c r="C393" s="49"/>
      <c r="D393" s="49"/>
      <c r="E393" s="49"/>
      <c r="F393" s="49"/>
      <c r="G393" s="49"/>
      <c r="H393" s="49"/>
    </row>
    <row r="394" spans="1:8">
      <c r="A394" s="45" t="s">
        <v>257</v>
      </c>
      <c r="B394" s="48">
        <f>2482.48-0.1</f>
        <v>2482.38</v>
      </c>
      <c r="C394" s="49"/>
      <c r="D394" s="49"/>
      <c r="E394" s="49"/>
      <c r="F394" s="49"/>
      <c r="G394" s="49"/>
      <c r="H394" s="49"/>
    </row>
    <row r="395" spans="1:8">
      <c r="A395" s="45" t="s">
        <v>258</v>
      </c>
      <c r="B395" s="48"/>
      <c r="C395" s="49"/>
      <c r="D395" s="49"/>
      <c r="E395" s="49"/>
      <c r="F395" s="49"/>
      <c r="G395" s="49"/>
      <c r="H395" s="49">
        <f>71294</f>
        <v>71294</v>
      </c>
    </row>
    <row r="396" spans="1:8">
      <c r="A396" s="45" t="s">
        <v>259</v>
      </c>
      <c r="B396" s="48"/>
      <c r="C396" s="49"/>
      <c r="D396" s="49"/>
      <c r="E396" s="49"/>
      <c r="F396" s="49"/>
      <c r="G396" s="49"/>
      <c r="H396" s="49">
        <v>98182</v>
      </c>
    </row>
    <row r="397" spans="1:8">
      <c r="A397" s="45" t="s">
        <v>260</v>
      </c>
      <c r="B397" s="48"/>
      <c r="C397" s="49"/>
      <c r="D397" s="49"/>
      <c r="E397" s="49"/>
      <c r="F397" s="49"/>
      <c r="G397" s="49"/>
      <c r="H397" s="49">
        <v>33952</v>
      </c>
    </row>
    <row r="398" spans="1:8">
      <c r="A398" s="45" t="s">
        <v>261</v>
      </c>
      <c r="B398" s="48"/>
      <c r="C398" s="49"/>
      <c r="D398" s="49"/>
      <c r="E398" s="49"/>
      <c r="F398" s="49"/>
      <c r="G398" s="49"/>
      <c r="H398" s="49">
        <v>18287</v>
      </c>
    </row>
    <row r="399" spans="1:8">
      <c r="A399" s="45" t="s">
        <v>262</v>
      </c>
      <c r="B399" s="48"/>
      <c r="C399" s="49"/>
      <c r="D399" s="49"/>
      <c r="E399" s="49"/>
      <c r="F399" s="49"/>
      <c r="G399" s="49"/>
      <c r="H399" s="49">
        <v>66000</v>
      </c>
    </row>
    <row r="400" spans="1:8">
      <c r="A400" s="45" t="s">
        <v>263</v>
      </c>
      <c r="B400" s="48"/>
      <c r="C400" s="49"/>
      <c r="D400" s="49"/>
      <c r="E400" s="49"/>
      <c r="F400" s="49"/>
      <c r="G400" s="49"/>
      <c r="H400" s="49">
        <v>75000</v>
      </c>
    </row>
    <row r="401" spans="1:9">
      <c r="A401" s="45" t="s">
        <v>264</v>
      </c>
      <c r="B401" s="46">
        <f>15677+0.79</f>
        <v>15677.79</v>
      </c>
      <c r="C401" s="47"/>
      <c r="D401" s="47"/>
      <c r="E401" s="47"/>
      <c r="F401" s="47"/>
      <c r="G401" s="47"/>
      <c r="H401" s="47"/>
    </row>
    <row r="402" spans="1:9">
      <c r="A402" s="50" t="s">
        <v>150</v>
      </c>
      <c r="B402" s="44">
        <f t="shared" ref="B402:H402" si="62">SUM(B378:B401)</f>
        <v>18160.170000000002</v>
      </c>
      <c r="C402" s="44">
        <f t="shared" si="62"/>
        <v>25856.77</v>
      </c>
      <c r="D402" s="44">
        <f t="shared" si="62"/>
        <v>301372</v>
      </c>
      <c r="E402" s="44">
        <f t="shared" si="62"/>
        <v>139436</v>
      </c>
      <c r="F402" s="44">
        <f t="shared" si="62"/>
        <v>228267</v>
      </c>
      <c r="G402" s="44">
        <f t="shared" si="62"/>
        <v>53251.5</v>
      </c>
      <c r="H402" s="44">
        <f t="shared" si="62"/>
        <v>437715</v>
      </c>
    </row>
    <row r="403" spans="1:9">
      <c r="A403" s="54" t="s">
        <v>265</v>
      </c>
      <c r="B403" s="46">
        <v>17498</v>
      </c>
      <c r="C403" s="47">
        <v>822832</v>
      </c>
      <c r="D403" s="47">
        <v>8220.5400000000009</v>
      </c>
      <c r="E403" s="47">
        <v>228308</v>
      </c>
      <c r="F403" s="47">
        <v>430859</v>
      </c>
      <c r="G403" s="47">
        <v>450894</v>
      </c>
      <c r="H403" s="47">
        <f>128138+180000</f>
        <v>308138</v>
      </c>
    </row>
    <row r="404" spans="1:9" ht="13.5" thickBot="1">
      <c r="A404" s="62" t="s">
        <v>266</v>
      </c>
      <c r="B404" s="52"/>
      <c r="C404" s="53"/>
      <c r="D404" s="53"/>
      <c r="E404" s="53">
        <v>1022658</v>
      </c>
      <c r="F404" s="53">
        <v>105162</v>
      </c>
      <c r="G404" s="53"/>
      <c r="H404" s="53"/>
    </row>
    <row r="405" spans="1:9" ht="14.25" thickTop="1" thickBot="1">
      <c r="A405" s="63" t="s">
        <v>267</v>
      </c>
      <c r="B405" s="64">
        <f t="shared" ref="B405:H405" si="63">SUMPRODUCT(--($A15:$A402="Sub-Total"), B$15:B$402)+B403+B404</f>
        <v>4849749.68</v>
      </c>
      <c r="C405" s="64">
        <f t="shared" si="63"/>
        <v>6061818.5099999998</v>
      </c>
      <c r="D405" s="64">
        <f t="shared" si="63"/>
        <v>7746423.6900000004</v>
      </c>
      <c r="E405" s="64">
        <f t="shared" si="63"/>
        <v>8002088.6600000001</v>
      </c>
      <c r="F405" s="64">
        <f t="shared" si="63"/>
        <v>6762310.4699999997</v>
      </c>
      <c r="G405" s="64">
        <f t="shared" si="63"/>
        <v>7421103.0700000003</v>
      </c>
      <c r="H405" s="64">
        <f t="shared" si="63"/>
        <v>11560743</v>
      </c>
    </row>
    <row r="406" spans="1:9">
      <c r="A406" s="30" t="s">
        <v>268</v>
      </c>
      <c r="B406" s="65">
        <f>'App.2-B_Fixed Asset Con''ty 2007'!F54</f>
        <v>4849749.7000000011</v>
      </c>
      <c r="C406" s="65">
        <f>'App.2-B_Fixed Asset Con''ty 2008'!F54</f>
        <v>6061818.5099999988</v>
      </c>
      <c r="D406" s="65">
        <f>'App.2-B_Fixed Asset Con''ty 2009'!F54</f>
        <v>7746423.6899999976</v>
      </c>
      <c r="E406" s="65">
        <f>'App.2-B_Fixed Asset Con''ty 2010'!F57</f>
        <v>8002088.6550959991</v>
      </c>
      <c r="F406" s="65">
        <f>'App.2-B_Fixed Asset Con''ty 2011'!F57</f>
        <v>6762310.4701119997</v>
      </c>
      <c r="G406" s="65">
        <f>'App.2-B_Fixed Asset Con''ty 2012'!F57</f>
        <v>7421103.1199999982</v>
      </c>
      <c r="H406" s="65">
        <f>'App.2-B_Fixed Asset Con''ty 2013'!H57</f>
        <v>11560743.04784481</v>
      </c>
    </row>
    <row r="407" spans="1:9">
      <c r="A407" s="30" t="s">
        <v>269</v>
      </c>
      <c r="B407" s="66">
        <f t="shared" ref="B407:H407" si="64">ROUND((B405-B406),1)</f>
        <v>0</v>
      </c>
      <c r="C407" s="65">
        <f t="shared" si="64"/>
        <v>0</v>
      </c>
      <c r="D407" s="65">
        <f t="shared" si="64"/>
        <v>0</v>
      </c>
      <c r="E407" s="65">
        <f t="shared" si="64"/>
        <v>0</v>
      </c>
      <c r="F407" s="65">
        <f t="shared" si="64"/>
        <v>0</v>
      </c>
      <c r="G407" s="67">
        <f t="shared" si="64"/>
        <v>0</v>
      </c>
      <c r="H407" s="67">
        <f t="shared" si="64"/>
        <v>0</v>
      </c>
    </row>
    <row r="408" spans="1:9">
      <c r="B408" s="65"/>
      <c r="C408" s="65"/>
      <c r="D408" s="65"/>
      <c r="E408" s="65"/>
      <c r="F408" s="65"/>
      <c r="G408" s="65"/>
      <c r="H408" s="65"/>
    </row>
    <row r="409" spans="1:9">
      <c r="A409" s="68" t="s">
        <v>270</v>
      </c>
      <c r="G409" s="69"/>
    </row>
    <row r="410" spans="1:9">
      <c r="G410" s="69"/>
    </row>
    <row r="411" spans="1:9" ht="28.5" customHeight="1">
      <c r="A411" s="1123" t="s">
        <v>271</v>
      </c>
      <c r="B411" s="1123"/>
      <c r="C411" s="1123"/>
      <c r="D411" s="1123"/>
      <c r="E411" s="1123"/>
      <c r="F411" s="1123"/>
      <c r="G411" s="1123"/>
      <c r="H411" s="1123"/>
    </row>
    <row r="413" spans="1:9">
      <c r="A413" s="70"/>
      <c r="B413" s="70"/>
      <c r="C413" s="70"/>
      <c r="D413" s="70"/>
      <c r="E413" s="70"/>
      <c r="F413" s="70"/>
      <c r="G413" s="70"/>
      <c r="H413" s="70"/>
    </row>
    <row r="415" spans="1:9">
      <c r="A415" s="71"/>
      <c r="B415" s="71"/>
      <c r="C415" s="71"/>
      <c r="D415" s="71"/>
      <c r="E415" s="71"/>
      <c r="F415" s="71"/>
      <c r="G415" s="71"/>
      <c r="H415" s="71"/>
      <c r="I415" s="71"/>
    </row>
    <row r="416" spans="1:9">
      <c r="A416" s="71"/>
      <c r="B416" s="71"/>
      <c r="C416" s="71"/>
      <c r="D416" s="71"/>
      <c r="E416" s="71"/>
      <c r="F416" s="71"/>
      <c r="G416" s="71"/>
      <c r="H416" s="71"/>
      <c r="I416" s="71"/>
    </row>
    <row r="418" spans="1:1">
      <c r="A418" s="31"/>
    </row>
  </sheetData>
  <mergeCells count="3">
    <mergeCell ref="A9:H9"/>
    <mergeCell ref="A10:H10"/>
    <mergeCell ref="A411:H411"/>
  </mergeCells>
  <dataValidations count="1">
    <dataValidation type="list" allowBlank="1" showInputMessage="1" showErrorMessage="1" sqref="B14:H14">
      <formula1>"CGAAP, MIFRS, USGAAP, ASPE"</formula1>
    </dataValidation>
  </dataValidations>
  <pageMargins left="0.70866141732283472" right="0.70866141732283472" top="0.74803149606299213" bottom="0.74803149606299213" header="0.31496062992125984" footer="0.31496062992125984"/>
  <pageSetup paperSize="17" scale="91" fitToHeight="16" orientation="portrait" r:id="rId1"/>
</worksheet>
</file>

<file path=xl/worksheets/sheet30.xml><?xml version="1.0" encoding="utf-8"?>
<worksheet xmlns="http://schemas.openxmlformats.org/spreadsheetml/2006/main" xmlns:r="http://schemas.openxmlformats.org/officeDocument/2006/relationships">
  <sheetPr>
    <pageSetUpPr fitToPage="1"/>
  </sheetPr>
  <dimension ref="A1:O53"/>
  <sheetViews>
    <sheetView showGridLines="0" zoomScaleNormal="100" workbookViewId="0">
      <selection activeCell="J24" sqref="J24"/>
    </sheetView>
  </sheetViews>
  <sheetFormatPr defaultRowHeight="12.75"/>
  <cols>
    <col min="1" max="1" width="5" style="30" customWidth="1"/>
    <col min="2" max="2" width="47.42578125" style="30" customWidth="1"/>
    <col min="3" max="3" width="12.7109375" style="30" bestFit="1" customWidth="1"/>
    <col min="4" max="4" width="1.7109375" style="30" customWidth="1"/>
    <col min="5" max="10" width="15.7109375" style="30" customWidth="1"/>
    <col min="11" max="11" width="13.7109375" style="30" customWidth="1"/>
    <col min="12" max="12" width="17.85546875" style="30" customWidth="1"/>
    <col min="13" max="13" width="16.85546875" style="30" customWidth="1"/>
    <col min="14" max="14" width="16" style="30" customWidth="1"/>
    <col min="15" max="15" width="40.7109375" style="30" customWidth="1"/>
    <col min="16" max="258" width="9.140625" style="30"/>
    <col min="259" max="259" width="2.85546875" style="30" customWidth="1"/>
    <col min="260" max="260" width="5" style="30" customWidth="1"/>
    <col min="261" max="261" width="62" style="30" customWidth="1"/>
    <col min="262" max="262" width="12.7109375" style="30" bestFit="1" customWidth="1"/>
    <col min="263" max="263" width="1.7109375" style="30" customWidth="1"/>
    <col min="264" max="269" width="15.7109375" style="30" customWidth="1"/>
    <col min="270" max="270" width="13.7109375" style="30" customWidth="1"/>
    <col min="271" max="271" width="40.7109375" style="30" customWidth="1"/>
    <col min="272" max="514" width="9.140625" style="30"/>
    <col min="515" max="515" width="2.85546875" style="30" customWidth="1"/>
    <col min="516" max="516" width="5" style="30" customWidth="1"/>
    <col min="517" max="517" width="62" style="30" customWidth="1"/>
    <col min="518" max="518" width="12.7109375" style="30" bestFit="1" customWidth="1"/>
    <col min="519" max="519" width="1.7109375" style="30" customWidth="1"/>
    <col min="520" max="525" width="15.7109375" style="30" customWidth="1"/>
    <col min="526" max="526" width="13.7109375" style="30" customWidth="1"/>
    <col min="527" max="527" width="40.7109375" style="30" customWidth="1"/>
    <col min="528" max="770" width="9.140625" style="30"/>
    <col min="771" max="771" width="2.85546875" style="30" customWidth="1"/>
    <col min="772" max="772" width="5" style="30" customWidth="1"/>
    <col min="773" max="773" width="62" style="30" customWidth="1"/>
    <col min="774" max="774" width="12.7109375" style="30" bestFit="1" customWidth="1"/>
    <col min="775" max="775" width="1.7109375" style="30" customWidth="1"/>
    <col min="776" max="781" width="15.7109375" style="30" customWidth="1"/>
    <col min="782" max="782" width="13.7109375" style="30" customWidth="1"/>
    <col min="783" max="783" width="40.7109375" style="30" customWidth="1"/>
    <col min="784" max="1026" width="9.140625" style="30"/>
    <col min="1027" max="1027" width="2.85546875" style="30" customWidth="1"/>
    <col min="1028" max="1028" width="5" style="30" customWidth="1"/>
    <col min="1029" max="1029" width="62" style="30" customWidth="1"/>
    <col min="1030" max="1030" width="12.7109375" style="30" bestFit="1" customWidth="1"/>
    <col min="1031" max="1031" width="1.7109375" style="30" customWidth="1"/>
    <col min="1032" max="1037" width="15.7109375" style="30" customWidth="1"/>
    <col min="1038" max="1038" width="13.7109375" style="30" customWidth="1"/>
    <col min="1039" max="1039" width="40.7109375" style="30" customWidth="1"/>
    <col min="1040" max="1282" width="9.140625" style="30"/>
    <col min="1283" max="1283" width="2.85546875" style="30" customWidth="1"/>
    <col min="1284" max="1284" width="5" style="30" customWidth="1"/>
    <col min="1285" max="1285" width="62" style="30" customWidth="1"/>
    <col min="1286" max="1286" width="12.7109375" style="30" bestFit="1" customWidth="1"/>
    <col min="1287" max="1287" width="1.7109375" style="30" customWidth="1"/>
    <col min="1288" max="1293" width="15.7109375" style="30" customWidth="1"/>
    <col min="1294" max="1294" width="13.7109375" style="30" customWidth="1"/>
    <col min="1295" max="1295" width="40.7109375" style="30" customWidth="1"/>
    <col min="1296" max="1538" width="9.140625" style="30"/>
    <col min="1539" max="1539" width="2.85546875" style="30" customWidth="1"/>
    <col min="1540" max="1540" width="5" style="30" customWidth="1"/>
    <col min="1541" max="1541" width="62" style="30" customWidth="1"/>
    <col min="1542" max="1542" width="12.7109375" style="30" bestFit="1" customWidth="1"/>
    <col min="1543" max="1543" width="1.7109375" style="30" customWidth="1"/>
    <col min="1544" max="1549" width="15.7109375" style="30" customWidth="1"/>
    <col min="1550" max="1550" width="13.7109375" style="30" customWidth="1"/>
    <col min="1551" max="1551" width="40.7109375" style="30" customWidth="1"/>
    <col min="1552" max="1794" width="9.140625" style="30"/>
    <col min="1795" max="1795" width="2.85546875" style="30" customWidth="1"/>
    <col min="1796" max="1796" width="5" style="30" customWidth="1"/>
    <col min="1797" max="1797" width="62" style="30" customWidth="1"/>
    <col min="1798" max="1798" width="12.7109375" style="30" bestFit="1" customWidth="1"/>
    <col min="1799" max="1799" width="1.7109375" style="30" customWidth="1"/>
    <col min="1800" max="1805" width="15.7109375" style="30" customWidth="1"/>
    <col min="1806" max="1806" width="13.7109375" style="30" customWidth="1"/>
    <col min="1807" max="1807" width="40.7109375" style="30" customWidth="1"/>
    <col min="1808" max="2050" width="9.140625" style="30"/>
    <col min="2051" max="2051" width="2.85546875" style="30" customWidth="1"/>
    <col min="2052" max="2052" width="5" style="30" customWidth="1"/>
    <col min="2053" max="2053" width="62" style="30" customWidth="1"/>
    <col min="2054" max="2054" width="12.7109375" style="30" bestFit="1" customWidth="1"/>
    <col min="2055" max="2055" width="1.7109375" style="30" customWidth="1"/>
    <col min="2056" max="2061" width="15.7109375" style="30" customWidth="1"/>
    <col min="2062" max="2062" width="13.7109375" style="30" customWidth="1"/>
    <col min="2063" max="2063" width="40.7109375" style="30" customWidth="1"/>
    <col min="2064" max="2306" width="9.140625" style="30"/>
    <col min="2307" max="2307" width="2.85546875" style="30" customWidth="1"/>
    <col min="2308" max="2308" width="5" style="30" customWidth="1"/>
    <col min="2309" max="2309" width="62" style="30" customWidth="1"/>
    <col min="2310" max="2310" width="12.7109375" style="30" bestFit="1" customWidth="1"/>
    <col min="2311" max="2311" width="1.7109375" style="30" customWidth="1"/>
    <col min="2312" max="2317" width="15.7109375" style="30" customWidth="1"/>
    <col min="2318" max="2318" width="13.7109375" style="30" customWidth="1"/>
    <col min="2319" max="2319" width="40.7109375" style="30" customWidth="1"/>
    <col min="2320" max="2562" width="9.140625" style="30"/>
    <col min="2563" max="2563" width="2.85546875" style="30" customWidth="1"/>
    <col min="2564" max="2564" width="5" style="30" customWidth="1"/>
    <col min="2565" max="2565" width="62" style="30" customWidth="1"/>
    <col min="2566" max="2566" width="12.7109375" style="30" bestFit="1" customWidth="1"/>
    <col min="2567" max="2567" width="1.7109375" style="30" customWidth="1"/>
    <col min="2568" max="2573" width="15.7109375" style="30" customWidth="1"/>
    <col min="2574" max="2574" width="13.7109375" style="30" customWidth="1"/>
    <col min="2575" max="2575" width="40.7109375" style="30" customWidth="1"/>
    <col min="2576" max="2818" width="9.140625" style="30"/>
    <col min="2819" max="2819" width="2.85546875" style="30" customWidth="1"/>
    <col min="2820" max="2820" width="5" style="30" customWidth="1"/>
    <col min="2821" max="2821" width="62" style="30" customWidth="1"/>
    <col min="2822" max="2822" width="12.7109375" style="30" bestFit="1" customWidth="1"/>
    <col min="2823" max="2823" width="1.7109375" style="30" customWidth="1"/>
    <col min="2824" max="2829" width="15.7109375" style="30" customWidth="1"/>
    <col min="2830" max="2830" width="13.7109375" style="30" customWidth="1"/>
    <col min="2831" max="2831" width="40.7109375" style="30" customWidth="1"/>
    <col min="2832" max="3074" width="9.140625" style="30"/>
    <col min="3075" max="3075" width="2.85546875" style="30" customWidth="1"/>
    <col min="3076" max="3076" width="5" style="30" customWidth="1"/>
    <col min="3077" max="3077" width="62" style="30" customWidth="1"/>
    <col min="3078" max="3078" width="12.7109375" style="30" bestFit="1" customWidth="1"/>
    <col min="3079" max="3079" width="1.7109375" style="30" customWidth="1"/>
    <col min="3080" max="3085" width="15.7109375" style="30" customWidth="1"/>
    <col min="3086" max="3086" width="13.7109375" style="30" customWidth="1"/>
    <col min="3087" max="3087" width="40.7109375" style="30" customWidth="1"/>
    <col min="3088" max="3330" width="9.140625" style="30"/>
    <col min="3331" max="3331" width="2.85546875" style="30" customWidth="1"/>
    <col min="3332" max="3332" width="5" style="30" customWidth="1"/>
    <col min="3333" max="3333" width="62" style="30" customWidth="1"/>
    <col min="3334" max="3334" width="12.7109375" style="30" bestFit="1" customWidth="1"/>
    <col min="3335" max="3335" width="1.7109375" style="30" customWidth="1"/>
    <col min="3336" max="3341" width="15.7109375" style="30" customWidth="1"/>
    <col min="3342" max="3342" width="13.7109375" style="30" customWidth="1"/>
    <col min="3343" max="3343" width="40.7109375" style="30" customWidth="1"/>
    <col min="3344" max="3586" width="9.140625" style="30"/>
    <col min="3587" max="3587" width="2.85546875" style="30" customWidth="1"/>
    <col min="3588" max="3588" width="5" style="30" customWidth="1"/>
    <col min="3589" max="3589" width="62" style="30" customWidth="1"/>
    <col min="3590" max="3590" width="12.7109375" style="30" bestFit="1" customWidth="1"/>
    <col min="3591" max="3591" width="1.7109375" style="30" customWidth="1"/>
    <col min="3592" max="3597" width="15.7109375" style="30" customWidth="1"/>
    <col min="3598" max="3598" width="13.7109375" style="30" customWidth="1"/>
    <col min="3599" max="3599" width="40.7109375" style="30" customWidth="1"/>
    <col min="3600" max="3842" width="9.140625" style="30"/>
    <col min="3843" max="3843" width="2.85546875" style="30" customWidth="1"/>
    <col min="3844" max="3844" width="5" style="30" customWidth="1"/>
    <col min="3845" max="3845" width="62" style="30" customWidth="1"/>
    <col min="3846" max="3846" width="12.7109375" style="30" bestFit="1" customWidth="1"/>
    <col min="3847" max="3847" width="1.7109375" style="30" customWidth="1"/>
    <col min="3848" max="3853" width="15.7109375" style="30" customWidth="1"/>
    <col min="3854" max="3854" width="13.7109375" style="30" customWidth="1"/>
    <col min="3855" max="3855" width="40.7109375" style="30" customWidth="1"/>
    <col min="3856" max="4098" width="9.140625" style="30"/>
    <col min="4099" max="4099" width="2.85546875" style="30" customWidth="1"/>
    <col min="4100" max="4100" width="5" style="30" customWidth="1"/>
    <col min="4101" max="4101" width="62" style="30" customWidth="1"/>
    <col min="4102" max="4102" width="12.7109375" style="30" bestFit="1" customWidth="1"/>
    <col min="4103" max="4103" width="1.7109375" style="30" customWidth="1"/>
    <col min="4104" max="4109" width="15.7109375" style="30" customWidth="1"/>
    <col min="4110" max="4110" width="13.7109375" style="30" customWidth="1"/>
    <col min="4111" max="4111" width="40.7109375" style="30" customWidth="1"/>
    <col min="4112" max="4354" width="9.140625" style="30"/>
    <col min="4355" max="4355" width="2.85546875" style="30" customWidth="1"/>
    <col min="4356" max="4356" width="5" style="30" customWidth="1"/>
    <col min="4357" max="4357" width="62" style="30" customWidth="1"/>
    <col min="4358" max="4358" width="12.7109375" style="30" bestFit="1" customWidth="1"/>
    <col min="4359" max="4359" width="1.7109375" style="30" customWidth="1"/>
    <col min="4360" max="4365" width="15.7109375" style="30" customWidth="1"/>
    <col min="4366" max="4366" width="13.7109375" style="30" customWidth="1"/>
    <col min="4367" max="4367" width="40.7109375" style="30" customWidth="1"/>
    <col min="4368" max="4610" width="9.140625" style="30"/>
    <col min="4611" max="4611" width="2.85546875" style="30" customWidth="1"/>
    <col min="4612" max="4612" width="5" style="30" customWidth="1"/>
    <col min="4613" max="4613" width="62" style="30" customWidth="1"/>
    <col min="4614" max="4614" width="12.7109375" style="30" bestFit="1" customWidth="1"/>
    <col min="4615" max="4615" width="1.7109375" style="30" customWidth="1"/>
    <col min="4616" max="4621" width="15.7109375" style="30" customWidth="1"/>
    <col min="4622" max="4622" width="13.7109375" style="30" customWidth="1"/>
    <col min="4623" max="4623" width="40.7109375" style="30" customWidth="1"/>
    <col min="4624" max="4866" width="9.140625" style="30"/>
    <col min="4867" max="4867" width="2.85546875" style="30" customWidth="1"/>
    <col min="4868" max="4868" width="5" style="30" customWidth="1"/>
    <col min="4869" max="4869" width="62" style="30" customWidth="1"/>
    <col min="4870" max="4870" width="12.7109375" style="30" bestFit="1" customWidth="1"/>
    <col min="4871" max="4871" width="1.7109375" style="30" customWidth="1"/>
    <col min="4872" max="4877" width="15.7109375" style="30" customWidth="1"/>
    <col min="4878" max="4878" width="13.7109375" style="30" customWidth="1"/>
    <col min="4879" max="4879" width="40.7109375" style="30" customWidth="1"/>
    <col min="4880" max="5122" width="9.140625" style="30"/>
    <col min="5123" max="5123" width="2.85546875" style="30" customWidth="1"/>
    <col min="5124" max="5124" width="5" style="30" customWidth="1"/>
    <col min="5125" max="5125" width="62" style="30" customWidth="1"/>
    <col min="5126" max="5126" width="12.7109375" style="30" bestFit="1" customWidth="1"/>
    <col min="5127" max="5127" width="1.7109375" style="30" customWidth="1"/>
    <col min="5128" max="5133" width="15.7109375" style="30" customWidth="1"/>
    <col min="5134" max="5134" width="13.7109375" style="30" customWidth="1"/>
    <col min="5135" max="5135" width="40.7109375" style="30" customWidth="1"/>
    <col min="5136" max="5378" width="9.140625" style="30"/>
    <col min="5379" max="5379" width="2.85546875" style="30" customWidth="1"/>
    <col min="5380" max="5380" width="5" style="30" customWidth="1"/>
    <col min="5381" max="5381" width="62" style="30" customWidth="1"/>
    <col min="5382" max="5382" width="12.7109375" style="30" bestFit="1" customWidth="1"/>
    <col min="5383" max="5383" width="1.7109375" style="30" customWidth="1"/>
    <col min="5384" max="5389" width="15.7109375" style="30" customWidth="1"/>
    <col min="5390" max="5390" width="13.7109375" style="30" customWidth="1"/>
    <col min="5391" max="5391" width="40.7109375" style="30" customWidth="1"/>
    <col min="5392" max="5634" width="9.140625" style="30"/>
    <col min="5635" max="5635" width="2.85546875" style="30" customWidth="1"/>
    <col min="5636" max="5636" width="5" style="30" customWidth="1"/>
    <col min="5637" max="5637" width="62" style="30" customWidth="1"/>
    <col min="5638" max="5638" width="12.7109375" style="30" bestFit="1" customWidth="1"/>
    <col min="5639" max="5639" width="1.7109375" style="30" customWidth="1"/>
    <col min="5640" max="5645" width="15.7109375" style="30" customWidth="1"/>
    <col min="5646" max="5646" width="13.7109375" style="30" customWidth="1"/>
    <col min="5647" max="5647" width="40.7109375" style="30" customWidth="1"/>
    <col min="5648" max="5890" width="9.140625" style="30"/>
    <col min="5891" max="5891" width="2.85546875" style="30" customWidth="1"/>
    <col min="5892" max="5892" width="5" style="30" customWidth="1"/>
    <col min="5893" max="5893" width="62" style="30" customWidth="1"/>
    <col min="5894" max="5894" width="12.7109375" style="30" bestFit="1" customWidth="1"/>
    <col min="5895" max="5895" width="1.7109375" style="30" customWidth="1"/>
    <col min="5896" max="5901" width="15.7109375" style="30" customWidth="1"/>
    <col min="5902" max="5902" width="13.7109375" style="30" customWidth="1"/>
    <col min="5903" max="5903" width="40.7109375" style="30" customWidth="1"/>
    <col min="5904" max="6146" width="9.140625" style="30"/>
    <col min="6147" max="6147" width="2.85546875" style="30" customWidth="1"/>
    <col min="6148" max="6148" width="5" style="30" customWidth="1"/>
    <col min="6149" max="6149" width="62" style="30" customWidth="1"/>
    <col min="6150" max="6150" width="12.7109375" style="30" bestFit="1" customWidth="1"/>
    <col min="6151" max="6151" width="1.7109375" style="30" customWidth="1"/>
    <col min="6152" max="6157" width="15.7109375" style="30" customWidth="1"/>
    <col min="6158" max="6158" width="13.7109375" style="30" customWidth="1"/>
    <col min="6159" max="6159" width="40.7109375" style="30" customWidth="1"/>
    <col min="6160" max="6402" width="9.140625" style="30"/>
    <col min="6403" max="6403" width="2.85546875" style="30" customWidth="1"/>
    <col min="6404" max="6404" width="5" style="30" customWidth="1"/>
    <col min="6405" max="6405" width="62" style="30" customWidth="1"/>
    <col min="6406" max="6406" width="12.7109375" style="30" bestFit="1" customWidth="1"/>
    <col min="6407" max="6407" width="1.7109375" style="30" customWidth="1"/>
    <col min="6408" max="6413" width="15.7109375" style="30" customWidth="1"/>
    <col min="6414" max="6414" width="13.7109375" style="30" customWidth="1"/>
    <col min="6415" max="6415" width="40.7109375" style="30" customWidth="1"/>
    <col min="6416" max="6658" width="9.140625" style="30"/>
    <col min="6659" max="6659" width="2.85546875" style="30" customWidth="1"/>
    <col min="6660" max="6660" width="5" style="30" customWidth="1"/>
    <col min="6661" max="6661" width="62" style="30" customWidth="1"/>
    <col min="6662" max="6662" width="12.7109375" style="30" bestFit="1" customWidth="1"/>
    <col min="6663" max="6663" width="1.7109375" style="30" customWidth="1"/>
    <col min="6664" max="6669" width="15.7109375" style="30" customWidth="1"/>
    <col min="6670" max="6670" width="13.7109375" style="30" customWidth="1"/>
    <col min="6671" max="6671" width="40.7109375" style="30" customWidth="1"/>
    <col min="6672" max="6914" width="9.140625" style="30"/>
    <col min="6915" max="6915" width="2.85546875" style="30" customWidth="1"/>
    <col min="6916" max="6916" width="5" style="30" customWidth="1"/>
    <col min="6917" max="6917" width="62" style="30" customWidth="1"/>
    <col min="6918" max="6918" width="12.7109375" style="30" bestFit="1" customWidth="1"/>
    <col min="6919" max="6919" width="1.7109375" style="30" customWidth="1"/>
    <col min="6920" max="6925" width="15.7109375" style="30" customWidth="1"/>
    <col min="6926" max="6926" width="13.7109375" style="30" customWidth="1"/>
    <col min="6927" max="6927" width="40.7109375" style="30" customWidth="1"/>
    <col min="6928" max="7170" width="9.140625" style="30"/>
    <col min="7171" max="7171" width="2.85546875" style="30" customWidth="1"/>
    <col min="7172" max="7172" width="5" style="30" customWidth="1"/>
    <col min="7173" max="7173" width="62" style="30" customWidth="1"/>
    <col min="7174" max="7174" width="12.7109375" style="30" bestFit="1" customWidth="1"/>
    <col min="7175" max="7175" width="1.7109375" style="30" customWidth="1"/>
    <col min="7176" max="7181" width="15.7109375" style="30" customWidth="1"/>
    <col min="7182" max="7182" width="13.7109375" style="30" customWidth="1"/>
    <col min="7183" max="7183" width="40.7109375" style="30" customWidth="1"/>
    <col min="7184" max="7426" width="9.140625" style="30"/>
    <col min="7427" max="7427" width="2.85546875" style="30" customWidth="1"/>
    <col min="7428" max="7428" width="5" style="30" customWidth="1"/>
    <col min="7429" max="7429" width="62" style="30" customWidth="1"/>
    <col min="7430" max="7430" width="12.7109375" style="30" bestFit="1" customWidth="1"/>
    <col min="7431" max="7431" width="1.7109375" style="30" customWidth="1"/>
    <col min="7432" max="7437" width="15.7109375" style="30" customWidth="1"/>
    <col min="7438" max="7438" width="13.7109375" style="30" customWidth="1"/>
    <col min="7439" max="7439" width="40.7109375" style="30" customWidth="1"/>
    <col min="7440" max="7682" width="9.140625" style="30"/>
    <col min="7683" max="7683" width="2.85546875" style="30" customWidth="1"/>
    <col min="7684" max="7684" width="5" style="30" customWidth="1"/>
    <col min="7685" max="7685" width="62" style="30" customWidth="1"/>
    <col min="7686" max="7686" width="12.7109375" style="30" bestFit="1" customWidth="1"/>
    <col min="7687" max="7687" width="1.7109375" style="30" customWidth="1"/>
    <col min="7688" max="7693" width="15.7109375" style="30" customWidth="1"/>
    <col min="7694" max="7694" width="13.7109375" style="30" customWidth="1"/>
    <col min="7695" max="7695" width="40.7109375" style="30" customWidth="1"/>
    <col min="7696" max="7938" width="9.140625" style="30"/>
    <col min="7939" max="7939" width="2.85546875" style="30" customWidth="1"/>
    <col min="7940" max="7940" width="5" style="30" customWidth="1"/>
    <col min="7941" max="7941" width="62" style="30" customWidth="1"/>
    <col min="7942" max="7942" width="12.7109375" style="30" bestFit="1" customWidth="1"/>
    <col min="7943" max="7943" width="1.7109375" style="30" customWidth="1"/>
    <col min="7944" max="7949" width="15.7109375" style="30" customWidth="1"/>
    <col min="7950" max="7950" width="13.7109375" style="30" customWidth="1"/>
    <col min="7951" max="7951" width="40.7109375" style="30" customWidth="1"/>
    <col min="7952" max="8194" width="9.140625" style="30"/>
    <col min="8195" max="8195" width="2.85546875" style="30" customWidth="1"/>
    <col min="8196" max="8196" width="5" style="30" customWidth="1"/>
    <col min="8197" max="8197" width="62" style="30" customWidth="1"/>
    <col min="8198" max="8198" width="12.7109375" style="30" bestFit="1" customWidth="1"/>
    <col min="8199" max="8199" width="1.7109375" style="30" customWidth="1"/>
    <col min="8200" max="8205" width="15.7109375" style="30" customWidth="1"/>
    <col min="8206" max="8206" width="13.7109375" style="30" customWidth="1"/>
    <col min="8207" max="8207" width="40.7109375" style="30" customWidth="1"/>
    <col min="8208" max="8450" width="9.140625" style="30"/>
    <col min="8451" max="8451" width="2.85546875" style="30" customWidth="1"/>
    <col min="8452" max="8452" width="5" style="30" customWidth="1"/>
    <col min="8453" max="8453" width="62" style="30" customWidth="1"/>
    <col min="8454" max="8454" width="12.7109375" style="30" bestFit="1" customWidth="1"/>
    <col min="8455" max="8455" width="1.7109375" style="30" customWidth="1"/>
    <col min="8456" max="8461" width="15.7109375" style="30" customWidth="1"/>
    <col min="8462" max="8462" width="13.7109375" style="30" customWidth="1"/>
    <col min="8463" max="8463" width="40.7109375" style="30" customWidth="1"/>
    <col min="8464" max="8706" width="9.140625" style="30"/>
    <col min="8707" max="8707" width="2.85546875" style="30" customWidth="1"/>
    <col min="8708" max="8708" width="5" style="30" customWidth="1"/>
    <col min="8709" max="8709" width="62" style="30" customWidth="1"/>
    <col min="8710" max="8710" width="12.7109375" style="30" bestFit="1" customWidth="1"/>
    <col min="8711" max="8711" width="1.7109375" style="30" customWidth="1"/>
    <col min="8712" max="8717" width="15.7109375" style="30" customWidth="1"/>
    <col min="8718" max="8718" width="13.7109375" style="30" customWidth="1"/>
    <col min="8719" max="8719" width="40.7109375" style="30" customWidth="1"/>
    <col min="8720" max="8962" width="9.140625" style="30"/>
    <col min="8963" max="8963" width="2.85546875" style="30" customWidth="1"/>
    <col min="8964" max="8964" width="5" style="30" customWidth="1"/>
    <col min="8965" max="8965" width="62" style="30" customWidth="1"/>
    <col min="8966" max="8966" width="12.7109375" style="30" bestFit="1" customWidth="1"/>
    <col min="8967" max="8967" width="1.7109375" style="30" customWidth="1"/>
    <col min="8968" max="8973" width="15.7109375" style="30" customWidth="1"/>
    <col min="8974" max="8974" width="13.7109375" style="30" customWidth="1"/>
    <col min="8975" max="8975" width="40.7109375" style="30" customWidth="1"/>
    <col min="8976" max="9218" width="9.140625" style="30"/>
    <col min="9219" max="9219" width="2.85546875" style="30" customWidth="1"/>
    <col min="9220" max="9220" width="5" style="30" customWidth="1"/>
    <col min="9221" max="9221" width="62" style="30" customWidth="1"/>
    <col min="9222" max="9222" width="12.7109375" style="30" bestFit="1" customWidth="1"/>
    <col min="9223" max="9223" width="1.7109375" style="30" customWidth="1"/>
    <col min="9224" max="9229" width="15.7109375" style="30" customWidth="1"/>
    <col min="9230" max="9230" width="13.7109375" style="30" customWidth="1"/>
    <col min="9231" max="9231" width="40.7109375" style="30" customWidth="1"/>
    <col min="9232" max="9474" width="9.140625" style="30"/>
    <col min="9475" max="9475" width="2.85546875" style="30" customWidth="1"/>
    <col min="9476" max="9476" width="5" style="30" customWidth="1"/>
    <col min="9477" max="9477" width="62" style="30" customWidth="1"/>
    <col min="9478" max="9478" width="12.7109375" style="30" bestFit="1" customWidth="1"/>
    <col min="9479" max="9479" width="1.7109375" style="30" customWidth="1"/>
    <col min="9480" max="9485" width="15.7109375" style="30" customWidth="1"/>
    <col min="9486" max="9486" width="13.7109375" style="30" customWidth="1"/>
    <col min="9487" max="9487" width="40.7109375" style="30" customWidth="1"/>
    <col min="9488" max="9730" width="9.140625" style="30"/>
    <col min="9731" max="9731" width="2.85546875" style="30" customWidth="1"/>
    <col min="9732" max="9732" width="5" style="30" customWidth="1"/>
    <col min="9733" max="9733" width="62" style="30" customWidth="1"/>
    <col min="9734" max="9734" width="12.7109375" style="30" bestFit="1" customWidth="1"/>
    <col min="9735" max="9735" width="1.7109375" style="30" customWidth="1"/>
    <col min="9736" max="9741" width="15.7109375" style="30" customWidth="1"/>
    <col min="9742" max="9742" width="13.7109375" style="30" customWidth="1"/>
    <col min="9743" max="9743" width="40.7109375" style="30" customWidth="1"/>
    <col min="9744" max="9986" width="9.140625" style="30"/>
    <col min="9987" max="9987" width="2.85546875" style="30" customWidth="1"/>
    <col min="9988" max="9988" width="5" style="30" customWidth="1"/>
    <col min="9989" max="9989" width="62" style="30" customWidth="1"/>
    <col min="9990" max="9990" width="12.7109375" style="30" bestFit="1" customWidth="1"/>
    <col min="9991" max="9991" width="1.7109375" style="30" customWidth="1"/>
    <col min="9992" max="9997" width="15.7109375" style="30" customWidth="1"/>
    <col min="9998" max="9998" width="13.7109375" style="30" customWidth="1"/>
    <col min="9999" max="9999" width="40.7109375" style="30" customWidth="1"/>
    <col min="10000" max="10242" width="9.140625" style="30"/>
    <col min="10243" max="10243" width="2.85546875" style="30" customWidth="1"/>
    <col min="10244" max="10244" width="5" style="30" customWidth="1"/>
    <col min="10245" max="10245" width="62" style="30" customWidth="1"/>
    <col min="10246" max="10246" width="12.7109375" style="30" bestFit="1" customWidth="1"/>
    <col min="10247" max="10247" width="1.7109375" style="30" customWidth="1"/>
    <col min="10248" max="10253" width="15.7109375" style="30" customWidth="1"/>
    <col min="10254" max="10254" width="13.7109375" style="30" customWidth="1"/>
    <col min="10255" max="10255" width="40.7109375" style="30" customWidth="1"/>
    <col min="10256" max="10498" width="9.140625" style="30"/>
    <col min="10499" max="10499" width="2.85546875" style="30" customWidth="1"/>
    <col min="10500" max="10500" width="5" style="30" customWidth="1"/>
    <col min="10501" max="10501" width="62" style="30" customWidth="1"/>
    <col min="10502" max="10502" width="12.7109375" style="30" bestFit="1" customWidth="1"/>
    <col min="10503" max="10503" width="1.7109375" style="30" customWidth="1"/>
    <col min="10504" max="10509" width="15.7109375" style="30" customWidth="1"/>
    <col min="10510" max="10510" width="13.7109375" style="30" customWidth="1"/>
    <col min="10511" max="10511" width="40.7109375" style="30" customWidth="1"/>
    <col min="10512" max="10754" width="9.140625" style="30"/>
    <col min="10755" max="10755" width="2.85546875" style="30" customWidth="1"/>
    <col min="10756" max="10756" width="5" style="30" customWidth="1"/>
    <col min="10757" max="10757" width="62" style="30" customWidth="1"/>
    <col min="10758" max="10758" width="12.7109375" style="30" bestFit="1" customWidth="1"/>
    <col min="10759" max="10759" width="1.7109375" style="30" customWidth="1"/>
    <col min="10760" max="10765" width="15.7109375" style="30" customWidth="1"/>
    <col min="10766" max="10766" width="13.7109375" style="30" customWidth="1"/>
    <col min="10767" max="10767" width="40.7109375" style="30" customWidth="1"/>
    <col min="10768" max="11010" width="9.140625" style="30"/>
    <col min="11011" max="11011" width="2.85546875" style="30" customWidth="1"/>
    <col min="11012" max="11012" width="5" style="30" customWidth="1"/>
    <col min="11013" max="11013" width="62" style="30" customWidth="1"/>
    <col min="11014" max="11014" width="12.7109375" style="30" bestFit="1" customWidth="1"/>
    <col min="11015" max="11015" width="1.7109375" style="30" customWidth="1"/>
    <col min="11016" max="11021" width="15.7109375" style="30" customWidth="1"/>
    <col min="11022" max="11022" width="13.7109375" style="30" customWidth="1"/>
    <col min="11023" max="11023" width="40.7109375" style="30" customWidth="1"/>
    <col min="11024" max="11266" width="9.140625" style="30"/>
    <col min="11267" max="11267" width="2.85546875" style="30" customWidth="1"/>
    <col min="11268" max="11268" width="5" style="30" customWidth="1"/>
    <col min="11269" max="11269" width="62" style="30" customWidth="1"/>
    <col min="11270" max="11270" width="12.7109375" style="30" bestFit="1" customWidth="1"/>
    <col min="11271" max="11271" width="1.7109375" style="30" customWidth="1"/>
    <col min="11272" max="11277" width="15.7109375" style="30" customWidth="1"/>
    <col min="11278" max="11278" width="13.7109375" style="30" customWidth="1"/>
    <col min="11279" max="11279" width="40.7109375" style="30" customWidth="1"/>
    <col min="11280" max="11522" width="9.140625" style="30"/>
    <col min="11523" max="11523" width="2.85546875" style="30" customWidth="1"/>
    <col min="11524" max="11524" width="5" style="30" customWidth="1"/>
    <col min="11525" max="11525" width="62" style="30" customWidth="1"/>
    <col min="11526" max="11526" width="12.7109375" style="30" bestFit="1" customWidth="1"/>
    <col min="11527" max="11527" width="1.7109375" style="30" customWidth="1"/>
    <col min="11528" max="11533" width="15.7109375" style="30" customWidth="1"/>
    <col min="11534" max="11534" width="13.7109375" style="30" customWidth="1"/>
    <col min="11535" max="11535" width="40.7109375" style="30" customWidth="1"/>
    <col min="11536" max="11778" width="9.140625" style="30"/>
    <col min="11779" max="11779" width="2.85546875" style="30" customWidth="1"/>
    <col min="11780" max="11780" width="5" style="30" customWidth="1"/>
    <col min="11781" max="11781" width="62" style="30" customWidth="1"/>
    <col min="11782" max="11782" width="12.7109375" style="30" bestFit="1" customWidth="1"/>
    <col min="11783" max="11783" width="1.7109375" style="30" customWidth="1"/>
    <col min="11784" max="11789" width="15.7109375" style="30" customWidth="1"/>
    <col min="11790" max="11790" width="13.7109375" style="30" customWidth="1"/>
    <col min="11791" max="11791" width="40.7109375" style="30" customWidth="1"/>
    <col min="11792" max="12034" width="9.140625" style="30"/>
    <col min="12035" max="12035" width="2.85546875" style="30" customWidth="1"/>
    <col min="12036" max="12036" width="5" style="30" customWidth="1"/>
    <col min="12037" max="12037" width="62" style="30" customWidth="1"/>
    <col min="12038" max="12038" width="12.7109375" style="30" bestFit="1" customWidth="1"/>
    <col min="12039" max="12039" width="1.7109375" style="30" customWidth="1"/>
    <col min="12040" max="12045" width="15.7109375" style="30" customWidth="1"/>
    <col min="12046" max="12046" width="13.7109375" style="30" customWidth="1"/>
    <col min="12047" max="12047" width="40.7109375" style="30" customWidth="1"/>
    <col min="12048" max="12290" width="9.140625" style="30"/>
    <col min="12291" max="12291" width="2.85546875" style="30" customWidth="1"/>
    <col min="12292" max="12292" width="5" style="30" customWidth="1"/>
    <col min="12293" max="12293" width="62" style="30" customWidth="1"/>
    <col min="12294" max="12294" width="12.7109375" style="30" bestFit="1" customWidth="1"/>
    <col min="12295" max="12295" width="1.7109375" style="30" customWidth="1"/>
    <col min="12296" max="12301" width="15.7109375" style="30" customWidth="1"/>
    <col min="12302" max="12302" width="13.7109375" style="30" customWidth="1"/>
    <col min="12303" max="12303" width="40.7109375" style="30" customWidth="1"/>
    <col min="12304" max="12546" width="9.140625" style="30"/>
    <col min="12547" max="12547" width="2.85546875" style="30" customWidth="1"/>
    <col min="12548" max="12548" width="5" style="30" customWidth="1"/>
    <col min="12549" max="12549" width="62" style="30" customWidth="1"/>
    <col min="12550" max="12550" width="12.7109375" style="30" bestFit="1" customWidth="1"/>
    <col min="12551" max="12551" width="1.7109375" style="30" customWidth="1"/>
    <col min="12552" max="12557" width="15.7109375" style="30" customWidth="1"/>
    <col min="12558" max="12558" width="13.7109375" style="30" customWidth="1"/>
    <col min="12559" max="12559" width="40.7109375" style="30" customWidth="1"/>
    <col min="12560" max="12802" width="9.140625" style="30"/>
    <col min="12803" max="12803" width="2.85546875" style="30" customWidth="1"/>
    <col min="12804" max="12804" width="5" style="30" customWidth="1"/>
    <col min="12805" max="12805" width="62" style="30" customWidth="1"/>
    <col min="12806" max="12806" width="12.7109375" style="30" bestFit="1" customWidth="1"/>
    <col min="12807" max="12807" width="1.7109375" style="30" customWidth="1"/>
    <col min="12808" max="12813" width="15.7109375" style="30" customWidth="1"/>
    <col min="12814" max="12814" width="13.7109375" style="30" customWidth="1"/>
    <col min="12815" max="12815" width="40.7109375" style="30" customWidth="1"/>
    <col min="12816" max="13058" width="9.140625" style="30"/>
    <col min="13059" max="13059" width="2.85546875" style="30" customWidth="1"/>
    <col min="13060" max="13060" width="5" style="30" customWidth="1"/>
    <col min="13061" max="13061" width="62" style="30" customWidth="1"/>
    <col min="13062" max="13062" width="12.7109375" style="30" bestFit="1" customWidth="1"/>
    <col min="13063" max="13063" width="1.7109375" style="30" customWidth="1"/>
    <col min="13064" max="13069" width="15.7109375" style="30" customWidth="1"/>
    <col min="13070" max="13070" width="13.7109375" style="30" customWidth="1"/>
    <col min="13071" max="13071" width="40.7109375" style="30" customWidth="1"/>
    <col min="13072" max="13314" width="9.140625" style="30"/>
    <col min="13315" max="13315" width="2.85546875" style="30" customWidth="1"/>
    <col min="13316" max="13316" width="5" style="30" customWidth="1"/>
    <col min="13317" max="13317" width="62" style="30" customWidth="1"/>
    <col min="13318" max="13318" width="12.7109375" style="30" bestFit="1" customWidth="1"/>
    <col min="13319" max="13319" width="1.7109375" style="30" customWidth="1"/>
    <col min="13320" max="13325" width="15.7109375" style="30" customWidth="1"/>
    <col min="13326" max="13326" width="13.7109375" style="30" customWidth="1"/>
    <col min="13327" max="13327" width="40.7109375" style="30" customWidth="1"/>
    <col min="13328" max="13570" width="9.140625" style="30"/>
    <col min="13571" max="13571" width="2.85546875" style="30" customWidth="1"/>
    <col min="13572" max="13572" width="5" style="30" customWidth="1"/>
    <col min="13573" max="13573" width="62" style="30" customWidth="1"/>
    <col min="13574" max="13574" width="12.7109375" style="30" bestFit="1" customWidth="1"/>
    <col min="13575" max="13575" width="1.7109375" style="30" customWidth="1"/>
    <col min="13576" max="13581" width="15.7109375" style="30" customWidth="1"/>
    <col min="13582" max="13582" width="13.7109375" style="30" customWidth="1"/>
    <col min="13583" max="13583" width="40.7109375" style="30" customWidth="1"/>
    <col min="13584" max="13826" width="9.140625" style="30"/>
    <col min="13827" max="13827" width="2.85546875" style="30" customWidth="1"/>
    <col min="13828" max="13828" width="5" style="30" customWidth="1"/>
    <col min="13829" max="13829" width="62" style="30" customWidth="1"/>
    <col min="13830" max="13830" width="12.7109375" style="30" bestFit="1" customWidth="1"/>
    <col min="13831" max="13831" width="1.7109375" style="30" customWidth="1"/>
    <col min="13832" max="13837" width="15.7109375" style="30" customWidth="1"/>
    <col min="13838" max="13838" width="13.7109375" style="30" customWidth="1"/>
    <col min="13839" max="13839" width="40.7109375" style="30" customWidth="1"/>
    <col min="13840" max="14082" width="9.140625" style="30"/>
    <col min="14083" max="14083" width="2.85546875" style="30" customWidth="1"/>
    <col min="14084" max="14084" width="5" style="30" customWidth="1"/>
    <col min="14085" max="14085" width="62" style="30" customWidth="1"/>
    <col min="14086" max="14086" width="12.7109375" style="30" bestFit="1" customWidth="1"/>
    <col min="14087" max="14087" width="1.7109375" style="30" customWidth="1"/>
    <col min="14088" max="14093" width="15.7109375" style="30" customWidth="1"/>
    <col min="14094" max="14094" width="13.7109375" style="30" customWidth="1"/>
    <col min="14095" max="14095" width="40.7109375" style="30" customWidth="1"/>
    <col min="14096" max="14338" width="9.140625" style="30"/>
    <col min="14339" max="14339" width="2.85546875" style="30" customWidth="1"/>
    <col min="14340" max="14340" width="5" style="30" customWidth="1"/>
    <col min="14341" max="14341" width="62" style="30" customWidth="1"/>
    <col min="14342" max="14342" width="12.7109375" style="30" bestFit="1" customWidth="1"/>
    <col min="14343" max="14343" width="1.7109375" style="30" customWidth="1"/>
    <col min="14344" max="14349" width="15.7109375" style="30" customWidth="1"/>
    <col min="14350" max="14350" width="13.7109375" style="30" customWidth="1"/>
    <col min="14351" max="14351" width="40.7109375" style="30" customWidth="1"/>
    <col min="14352" max="14594" width="9.140625" style="30"/>
    <col min="14595" max="14595" width="2.85546875" style="30" customWidth="1"/>
    <col min="14596" max="14596" width="5" style="30" customWidth="1"/>
    <col min="14597" max="14597" width="62" style="30" customWidth="1"/>
    <col min="14598" max="14598" width="12.7109375" style="30" bestFit="1" customWidth="1"/>
    <col min="14599" max="14599" width="1.7109375" style="30" customWidth="1"/>
    <col min="14600" max="14605" width="15.7109375" style="30" customWidth="1"/>
    <col min="14606" max="14606" width="13.7109375" style="30" customWidth="1"/>
    <col min="14607" max="14607" width="40.7109375" style="30" customWidth="1"/>
    <col min="14608" max="14850" width="9.140625" style="30"/>
    <col min="14851" max="14851" width="2.85546875" style="30" customWidth="1"/>
    <col min="14852" max="14852" width="5" style="30" customWidth="1"/>
    <col min="14853" max="14853" width="62" style="30" customWidth="1"/>
    <col min="14854" max="14854" width="12.7109375" style="30" bestFit="1" customWidth="1"/>
    <col min="14855" max="14855" width="1.7109375" style="30" customWidth="1"/>
    <col min="14856" max="14861" width="15.7109375" style="30" customWidth="1"/>
    <col min="14862" max="14862" width="13.7109375" style="30" customWidth="1"/>
    <col min="14863" max="14863" width="40.7109375" style="30" customWidth="1"/>
    <col min="14864" max="15106" width="9.140625" style="30"/>
    <col min="15107" max="15107" width="2.85546875" style="30" customWidth="1"/>
    <col min="15108" max="15108" width="5" style="30" customWidth="1"/>
    <col min="15109" max="15109" width="62" style="30" customWidth="1"/>
    <col min="15110" max="15110" width="12.7109375" style="30" bestFit="1" customWidth="1"/>
    <col min="15111" max="15111" width="1.7109375" style="30" customWidth="1"/>
    <col min="15112" max="15117" width="15.7109375" style="30" customWidth="1"/>
    <col min="15118" max="15118" width="13.7109375" style="30" customWidth="1"/>
    <col min="15119" max="15119" width="40.7109375" style="30" customWidth="1"/>
    <col min="15120" max="15362" width="9.140625" style="30"/>
    <col min="15363" max="15363" width="2.85546875" style="30" customWidth="1"/>
    <col min="15364" max="15364" width="5" style="30" customWidth="1"/>
    <col min="15365" max="15365" width="62" style="30" customWidth="1"/>
    <col min="15366" max="15366" width="12.7109375" style="30" bestFit="1" customWidth="1"/>
    <col min="15367" max="15367" width="1.7109375" style="30" customWidth="1"/>
    <col min="15368" max="15373" width="15.7109375" style="30" customWidth="1"/>
    <col min="15374" max="15374" width="13.7109375" style="30" customWidth="1"/>
    <col min="15375" max="15375" width="40.7109375" style="30" customWidth="1"/>
    <col min="15376" max="15618" width="9.140625" style="30"/>
    <col min="15619" max="15619" width="2.85546875" style="30" customWidth="1"/>
    <col min="15620" max="15620" width="5" style="30" customWidth="1"/>
    <col min="15621" max="15621" width="62" style="30" customWidth="1"/>
    <col min="15622" max="15622" width="12.7109375" style="30" bestFit="1" customWidth="1"/>
    <col min="15623" max="15623" width="1.7109375" style="30" customWidth="1"/>
    <col min="15624" max="15629" width="15.7109375" style="30" customWidth="1"/>
    <col min="15630" max="15630" width="13.7109375" style="30" customWidth="1"/>
    <col min="15631" max="15631" width="40.7109375" style="30" customWidth="1"/>
    <col min="15632" max="15874" width="9.140625" style="30"/>
    <col min="15875" max="15875" width="2.85546875" style="30" customWidth="1"/>
    <col min="15876" max="15876" width="5" style="30" customWidth="1"/>
    <col min="15877" max="15877" width="62" style="30" customWidth="1"/>
    <col min="15878" max="15878" width="12.7109375" style="30" bestFit="1" customWidth="1"/>
    <col min="15879" max="15879" width="1.7109375" style="30" customWidth="1"/>
    <col min="15880" max="15885" width="15.7109375" style="30" customWidth="1"/>
    <col min="15886" max="15886" width="13.7109375" style="30" customWidth="1"/>
    <col min="15887" max="15887" width="40.7109375" style="30" customWidth="1"/>
    <col min="15888" max="16130" width="9.140625" style="30"/>
    <col min="16131" max="16131" width="2.85546875" style="30" customWidth="1"/>
    <col min="16132" max="16132" width="5" style="30" customWidth="1"/>
    <col min="16133" max="16133" width="62" style="30" customWidth="1"/>
    <col min="16134" max="16134" width="12.7109375" style="30" bestFit="1" customWidth="1"/>
    <col min="16135" max="16135" width="1.7109375" style="30" customWidth="1"/>
    <col min="16136" max="16141" width="15.7109375" style="30" customWidth="1"/>
    <col min="16142" max="16142" width="13.7109375" style="30" customWidth="1"/>
    <col min="16143" max="16143" width="40.7109375" style="30" customWidth="1"/>
    <col min="16144" max="16384" width="9.140625" style="30"/>
  </cols>
  <sheetData>
    <row r="1" spans="1:15">
      <c r="J1" s="31" t="s">
        <v>131</v>
      </c>
      <c r="K1" s="32" t="s">
        <v>20</v>
      </c>
      <c r="L1" s="32"/>
      <c r="M1" s="32"/>
      <c r="N1" s="32"/>
    </row>
    <row r="2" spans="1:15">
      <c r="J2" s="31" t="s">
        <v>132</v>
      </c>
      <c r="K2" s="33"/>
      <c r="L2" s="865"/>
      <c r="M2" s="865"/>
      <c r="N2" s="865"/>
    </row>
    <row r="3" spans="1:15">
      <c r="J3" s="31" t="s">
        <v>133</v>
      </c>
      <c r="K3" s="33"/>
      <c r="L3" s="865"/>
      <c r="M3" s="865"/>
      <c r="N3" s="865"/>
    </row>
    <row r="4" spans="1:15">
      <c r="J4" s="31" t="s">
        <v>134</v>
      </c>
      <c r="K4" s="33"/>
      <c r="L4" s="865"/>
      <c r="M4" s="865"/>
      <c r="N4" s="865"/>
    </row>
    <row r="5" spans="1:15">
      <c r="J5" s="31" t="s">
        <v>439</v>
      </c>
      <c r="K5" s="34"/>
      <c r="L5" s="866"/>
      <c r="M5" s="866"/>
      <c r="N5" s="866"/>
    </row>
    <row r="6" spans="1:15">
      <c r="J6" s="31"/>
      <c r="K6" s="32"/>
      <c r="L6" s="866"/>
      <c r="M6" s="866"/>
      <c r="N6" s="866"/>
    </row>
    <row r="7" spans="1:15">
      <c r="J7" s="31" t="s">
        <v>136</v>
      </c>
      <c r="K7" s="34" t="s">
        <v>1171</v>
      </c>
      <c r="L7" s="866"/>
      <c r="M7" s="866"/>
      <c r="N7" s="866"/>
    </row>
    <row r="8" spans="1:15">
      <c r="L8" s="61"/>
      <c r="M8" s="61"/>
      <c r="N8" s="61"/>
    </row>
    <row r="9" spans="1:15" ht="18">
      <c r="A9" s="1144" t="s">
        <v>1042</v>
      </c>
      <c r="B9" s="1448"/>
      <c r="C9" s="1448"/>
      <c r="D9" s="1448"/>
      <c r="E9" s="1448"/>
      <c r="F9" s="1448"/>
      <c r="G9" s="1448"/>
      <c r="H9" s="1448"/>
      <c r="I9" s="1448"/>
      <c r="J9" s="1448"/>
      <c r="K9" s="1448"/>
      <c r="L9" s="1448"/>
      <c r="M9" s="1448"/>
      <c r="N9" s="1448"/>
      <c r="O9" s="1448"/>
    </row>
    <row r="10" spans="1:15" ht="18">
      <c r="A10" s="1144" t="s">
        <v>1043</v>
      </c>
      <c r="B10" s="1449"/>
      <c r="C10" s="1449"/>
      <c r="D10" s="1449"/>
      <c r="E10" s="1449"/>
      <c r="F10" s="1449"/>
      <c r="G10" s="1449"/>
      <c r="H10" s="1449"/>
      <c r="I10" s="1449"/>
      <c r="J10" s="1449"/>
      <c r="K10" s="1449"/>
      <c r="L10" s="1449"/>
      <c r="M10" s="1449"/>
      <c r="N10" s="1449"/>
      <c r="O10" s="1449"/>
    </row>
    <row r="12" spans="1:15" ht="27" customHeight="1">
      <c r="A12" s="1150" t="s">
        <v>1044</v>
      </c>
      <c r="B12" s="1150"/>
      <c r="C12" s="1150"/>
      <c r="D12" s="1150"/>
      <c r="E12" s="1150"/>
      <c r="F12" s="1449"/>
      <c r="G12" s="1449"/>
      <c r="H12" s="1449"/>
      <c r="I12" s="1449"/>
      <c r="J12" s="1449"/>
      <c r="K12" s="1449"/>
      <c r="L12" s="1449"/>
      <c r="M12" s="1449"/>
      <c r="N12" s="1449"/>
      <c r="O12" s="1449"/>
    </row>
    <row r="13" spans="1:15" ht="13.5" thickBot="1"/>
    <row r="14" spans="1:15" ht="14.25">
      <c r="A14" s="1450" t="s">
        <v>1045</v>
      </c>
      <c r="B14" s="1451"/>
      <c r="C14" s="1451"/>
      <c r="D14" s="240"/>
      <c r="E14" s="241" t="s">
        <v>1046</v>
      </c>
      <c r="F14" s="241" t="s">
        <v>1046</v>
      </c>
      <c r="G14" s="241" t="s">
        <v>1046</v>
      </c>
      <c r="H14" s="241" t="s">
        <v>1047</v>
      </c>
      <c r="I14" s="242" t="s">
        <v>1048</v>
      </c>
      <c r="J14" s="241" t="s">
        <v>1049</v>
      </c>
      <c r="K14" s="242" t="s">
        <v>342</v>
      </c>
      <c r="L14" s="241" t="s">
        <v>1050</v>
      </c>
      <c r="M14" s="867" t="s">
        <v>1051</v>
      </c>
      <c r="N14" s="867" t="s">
        <v>267</v>
      </c>
      <c r="O14" s="1454" t="s">
        <v>1052</v>
      </c>
    </row>
    <row r="15" spans="1:15">
      <c r="A15" s="1452"/>
      <c r="B15" s="1453"/>
      <c r="C15" s="1453"/>
      <c r="D15" s="243"/>
      <c r="E15" s="244" t="s">
        <v>1053</v>
      </c>
      <c r="F15" s="244" t="s">
        <v>1053</v>
      </c>
      <c r="G15" s="244" t="s">
        <v>1053</v>
      </c>
      <c r="H15" s="244" t="s">
        <v>1054</v>
      </c>
      <c r="I15" s="245" t="s">
        <v>1055</v>
      </c>
      <c r="J15" s="244" t="s">
        <v>1056</v>
      </c>
      <c r="K15" s="245"/>
      <c r="L15" s="244" t="s">
        <v>1053</v>
      </c>
      <c r="M15" s="868" t="s">
        <v>1057</v>
      </c>
      <c r="N15" s="868" t="s">
        <v>1058</v>
      </c>
      <c r="O15" s="1455"/>
    </row>
    <row r="16" spans="1:15" ht="16.5" customHeight="1">
      <c r="A16" s="1452"/>
      <c r="B16" s="1453"/>
      <c r="C16" s="1453"/>
      <c r="D16" s="243"/>
      <c r="E16" s="246">
        <v>2009</v>
      </c>
      <c r="F16" s="246">
        <v>2010</v>
      </c>
      <c r="G16" s="246">
        <v>2011</v>
      </c>
      <c r="H16" s="246" t="s">
        <v>1059</v>
      </c>
      <c r="I16" s="869" t="s">
        <v>1059</v>
      </c>
      <c r="J16" s="870" t="s">
        <v>1060</v>
      </c>
      <c r="K16" s="869"/>
      <c r="L16" s="246" t="s">
        <v>1061</v>
      </c>
      <c r="M16" s="871" t="s">
        <v>1062</v>
      </c>
      <c r="N16" s="871" t="s">
        <v>1063</v>
      </c>
      <c r="O16" s="1456"/>
    </row>
    <row r="17" spans="1:15">
      <c r="A17" s="1457" t="s">
        <v>1064</v>
      </c>
      <c r="B17" s="1458"/>
      <c r="C17" s="1459"/>
      <c r="D17" s="872"/>
      <c r="E17" s="248"/>
      <c r="F17" s="249">
        <f>25000+13717</f>
        <v>38717</v>
      </c>
      <c r="G17" s="249">
        <f>12241+15000+10000</f>
        <v>37241</v>
      </c>
      <c r="H17" s="249">
        <v>819.6</v>
      </c>
      <c r="I17" s="250">
        <f t="shared" ref="I17:I29" si="0">SUM(E17:H17)</f>
        <v>76777.600000000006</v>
      </c>
      <c r="J17" s="873"/>
      <c r="K17" s="873"/>
      <c r="L17" s="249">
        <f>27000+8000</f>
        <v>35000</v>
      </c>
      <c r="M17" s="249">
        <f>1287+19</f>
        <v>1306</v>
      </c>
      <c r="N17" s="249">
        <f>I17+L17+M17</f>
        <v>113083.6</v>
      </c>
      <c r="O17" s="249" t="s">
        <v>1065</v>
      </c>
    </row>
    <row r="18" spans="1:15">
      <c r="A18" s="1460" t="s">
        <v>1066</v>
      </c>
      <c r="B18" s="1461"/>
      <c r="C18" s="1462"/>
      <c r="D18" s="872"/>
      <c r="E18" s="249"/>
      <c r="F18" s="249"/>
      <c r="G18" s="249"/>
      <c r="H18" s="249"/>
      <c r="I18" s="250">
        <f t="shared" si="0"/>
        <v>0</v>
      </c>
      <c r="J18" s="874"/>
      <c r="K18" s="874"/>
      <c r="L18" s="249"/>
      <c r="M18" s="249"/>
      <c r="N18" s="249"/>
      <c r="O18" s="249"/>
    </row>
    <row r="19" spans="1:15">
      <c r="A19" s="1457" t="s">
        <v>1067</v>
      </c>
      <c r="B19" s="1458"/>
      <c r="C19" s="1459"/>
      <c r="D19" s="872"/>
      <c r="E19" s="249"/>
      <c r="F19" s="249"/>
      <c r="G19" s="249"/>
      <c r="H19" s="249"/>
      <c r="I19" s="250">
        <f t="shared" si="0"/>
        <v>0</v>
      </c>
      <c r="J19" s="874"/>
      <c r="K19" s="874"/>
      <c r="L19" s="249">
        <f>13750+2664.22</f>
        <v>16414.22</v>
      </c>
      <c r="M19" s="249">
        <v>781</v>
      </c>
      <c r="N19" s="249">
        <f>I19+L19+M19</f>
        <v>17195.22</v>
      </c>
      <c r="O19" s="249" t="s">
        <v>1068</v>
      </c>
    </row>
    <row r="20" spans="1:15">
      <c r="A20" s="1463" t="s">
        <v>1069</v>
      </c>
      <c r="B20" s="1464"/>
      <c r="C20" s="1465"/>
      <c r="D20" s="872"/>
      <c r="E20" s="249">
        <v>474.9</v>
      </c>
      <c r="F20" s="249">
        <f>117.74+223.03+4139</f>
        <v>4479.7700000000004</v>
      </c>
      <c r="G20" s="249">
        <v>1072.45</v>
      </c>
      <c r="H20" s="249">
        <f>4+57</f>
        <v>61</v>
      </c>
      <c r="I20" s="250">
        <f t="shared" si="0"/>
        <v>6088.12</v>
      </c>
      <c r="J20" s="874"/>
      <c r="K20" s="874"/>
      <c r="L20" s="249">
        <f>520</f>
        <v>520</v>
      </c>
      <c r="M20" s="249">
        <v>42</v>
      </c>
      <c r="N20" s="249">
        <f>I20+L20+M20</f>
        <v>6650.12</v>
      </c>
      <c r="O20" s="249" t="s">
        <v>1070</v>
      </c>
    </row>
    <row r="21" spans="1:15" ht="24" customHeight="1">
      <c r="A21" s="1460" t="s">
        <v>1071</v>
      </c>
      <c r="B21" s="1461"/>
      <c r="C21" s="1462"/>
      <c r="D21" s="872"/>
      <c r="E21" s="249"/>
      <c r="F21" s="249"/>
      <c r="G21" s="249"/>
      <c r="H21" s="249"/>
      <c r="I21" s="250">
        <f t="shared" si="0"/>
        <v>0</v>
      </c>
      <c r="J21" s="874"/>
      <c r="K21" s="874"/>
      <c r="L21" s="249"/>
      <c r="M21" s="249"/>
      <c r="N21" s="249"/>
      <c r="O21" s="249"/>
    </row>
    <row r="22" spans="1:15">
      <c r="A22" s="1169"/>
      <c r="B22" s="1170"/>
      <c r="C22" s="1466"/>
      <c r="D22" s="872"/>
      <c r="E22" s="249"/>
      <c r="F22" s="249"/>
      <c r="G22" s="249"/>
      <c r="H22" s="249"/>
      <c r="I22" s="250">
        <f t="shared" si="0"/>
        <v>0</v>
      </c>
      <c r="J22" s="874"/>
      <c r="K22" s="874"/>
      <c r="L22" s="249"/>
      <c r="M22" s="249"/>
      <c r="N22" s="249"/>
      <c r="O22" s="249"/>
    </row>
    <row r="23" spans="1:15" ht="24.95" customHeight="1">
      <c r="A23" s="1181"/>
      <c r="B23" s="1182"/>
      <c r="C23" s="1447"/>
      <c r="D23" s="872"/>
      <c r="E23" s="249"/>
      <c r="F23" s="249"/>
      <c r="G23" s="249"/>
      <c r="H23" s="249"/>
      <c r="I23" s="250">
        <f t="shared" si="0"/>
        <v>0</v>
      </c>
      <c r="J23" s="874"/>
      <c r="K23" s="874"/>
      <c r="L23" s="249"/>
      <c r="M23" s="249"/>
      <c r="N23" s="249"/>
      <c r="O23" s="249"/>
    </row>
    <row r="24" spans="1:15" ht="24.95" customHeight="1">
      <c r="A24" s="1181"/>
      <c r="B24" s="1182"/>
      <c r="C24" s="1447"/>
      <c r="D24" s="872"/>
      <c r="E24" s="249"/>
      <c r="F24" s="249"/>
      <c r="G24" s="249"/>
      <c r="H24" s="249"/>
      <c r="I24" s="250">
        <f t="shared" si="0"/>
        <v>0</v>
      </c>
      <c r="J24" s="874"/>
      <c r="K24" s="874"/>
      <c r="L24" s="249"/>
      <c r="M24" s="249"/>
      <c r="N24" s="249"/>
      <c r="O24" s="249"/>
    </row>
    <row r="25" spans="1:15">
      <c r="A25" s="1178"/>
      <c r="B25" s="1179"/>
      <c r="C25" s="1468"/>
      <c r="D25" s="872"/>
      <c r="E25" s="249"/>
      <c r="F25" s="249"/>
      <c r="G25" s="249"/>
      <c r="H25" s="249"/>
      <c r="I25" s="250">
        <f t="shared" si="0"/>
        <v>0</v>
      </c>
      <c r="J25" s="874"/>
      <c r="K25" s="874"/>
      <c r="L25" s="249"/>
      <c r="M25" s="249"/>
      <c r="N25" s="249"/>
      <c r="O25" s="249"/>
    </row>
    <row r="26" spans="1:15" ht="13.5" customHeight="1">
      <c r="A26" s="1169"/>
      <c r="B26" s="1170"/>
      <c r="C26" s="1466"/>
      <c r="D26" s="872"/>
      <c r="E26" s="249"/>
      <c r="F26" s="249"/>
      <c r="G26" s="249"/>
      <c r="H26" s="249"/>
      <c r="I26" s="250">
        <f t="shared" si="0"/>
        <v>0</v>
      </c>
      <c r="J26" s="874"/>
      <c r="K26" s="874"/>
      <c r="L26" s="249"/>
      <c r="M26" s="249"/>
      <c r="N26" s="249"/>
      <c r="O26" s="249"/>
    </row>
    <row r="27" spans="1:15" ht="13.5" customHeight="1">
      <c r="A27" s="1178"/>
      <c r="B27" s="1179"/>
      <c r="C27" s="1468"/>
      <c r="D27" s="872"/>
      <c r="E27" s="249"/>
      <c r="F27" s="249"/>
      <c r="G27" s="249"/>
      <c r="H27" s="249"/>
      <c r="I27" s="250">
        <f t="shared" si="0"/>
        <v>0</v>
      </c>
      <c r="J27" s="874"/>
      <c r="K27" s="874"/>
      <c r="L27" s="249"/>
      <c r="M27" s="249"/>
      <c r="N27" s="249"/>
      <c r="O27" s="249"/>
    </row>
    <row r="28" spans="1:15" ht="27" customHeight="1">
      <c r="A28" s="1178"/>
      <c r="B28" s="1179"/>
      <c r="C28" s="1468"/>
      <c r="D28" s="872"/>
      <c r="E28" s="249"/>
      <c r="F28" s="249"/>
      <c r="G28" s="249"/>
      <c r="H28" s="249"/>
      <c r="I28" s="250">
        <f t="shared" si="0"/>
        <v>0</v>
      </c>
      <c r="J28" s="874"/>
      <c r="K28" s="874"/>
      <c r="L28" s="249"/>
      <c r="M28" s="249"/>
      <c r="N28" s="249"/>
      <c r="O28" s="249"/>
    </row>
    <row r="29" spans="1:15" ht="13.5" thickBot="1">
      <c r="A29" s="1203" t="s">
        <v>431</v>
      </c>
      <c r="B29" s="1204"/>
      <c r="C29" s="1469"/>
      <c r="D29" s="872"/>
      <c r="E29" s="256"/>
      <c r="F29" s="256"/>
      <c r="G29" s="256"/>
      <c r="H29" s="256"/>
      <c r="I29" s="250">
        <f t="shared" si="0"/>
        <v>0</v>
      </c>
      <c r="J29" s="874"/>
      <c r="K29" s="874"/>
      <c r="L29" s="256"/>
      <c r="M29" s="256"/>
      <c r="N29" s="256"/>
      <c r="O29" s="256"/>
    </row>
    <row r="30" spans="1:15" ht="14.25" thickTop="1" thickBot="1">
      <c r="A30" s="1206" t="s">
        <v>267</v>
      </c>
      <c r="B30" s="1207"/>
      <c r="C30" s="1470"/>
      <c r="D30" s="779"/>
      <c r="E30" s="260">
        <f>SUM(E17:E29)</f>
        <v>474.9</v>
      </c>
      <c r="F30" s="260">
        <f>SUM(F17:F29)</f>
        <v>43196.770000000004</v>
      </c>
      <c r="G30" s="260">
        <f>SUM(G17:G29)</f>
        <v>38313.449999999997</v>
      </c>
      <c r="H30" s="260">
        <f>SUM(H17:H29)</f>
        <v>880.6</v>
      </c>
      <c r="I30" s="260">
        <f>SUM(I17:I29)</f>
        <v>82865.72</v>
      </c>
      <c r="J30" s="875">
        <v>82866</v>
      </c>
      <c r="K30" s="876">
        <f>+I30-J30</f>
        <v>-0.27999999999883585</v>
      </c>
      <c r="L30" s="260">
        <f>SUM(L17:L29)</f>
        <v>51934.22</v>
      </c>
      <c r="M30" s="260">
        <f>SUM(M17:M29)</f>
        <v>2129</v>
      </c>
      <c r="N30" s="260">
        <f>SUM(N17:N29)</f>
        <v>136928.94</v>
      </c>
      <c r="O30" s="877"/>
    </row>
    <row r="32" spans="1:15">
      <c r="A32" s="31"/>
      <c r="B32" s="31"/>
      <c r="C32" s="31"/>
      <c r="D32" s="74"/>
      <c r="E32" s="74"/>
    </row>
    <row r="33" spans="1:15">
      <c r="A33" s="31" t="s">
        <v>617</v>
      </c>
      <c r="B33" s="74"/>
      <c r="C33" s="74"/>
      <c r="D33" s="74"/>
      <c r="E33" s="74"/>
    </row>
    <row r="34" spans="1:15" ht="36" customHeight="1">
      <c r="A34" s="1471">
        <v>1</v>
      </c>
      <c r="B34" s="1212" t="s">
        <v>1072</v>
      </c>
      <c r="C34" s="1213"/>
      <c r="D34" s="1213"/>
      <c r="E34" s="1213"/>
      <c r="F34" s="1150"/>
      <c r="G34" s="1150"/>
      <c r="H34" s="1150"/>
      <c r="I34" s="1150"/>
      <c r="J34" s="1150"/>
      <c r="K34" s="1150"/>
      <c r="L34" s="1150"/>
      <c r="M34" s="1150"/>
      <c r="N34" s="1150"/>
      <c r="O34" s="1150"/>
    </row>
    <row r="35" spans="1:15" ht="4.5" customHeight="1">
      <c r="A35" s="1471"/>
      <c r="B35" s="1213"/>
      <c r="C35" s="1213"/>
      <c r="D35" s="1213"/>
      <c r="E35" s="1213"/>
      <c r="F35" s="1150"/>
      <c r="G35" s="1150"/>
      <c r="H35" s="1150"/>
      <c r="I35" s="1150"/>
      <c r="J35" s="1150"/>
      <c r="K35" s="1150"/>
      <c r="L35" s="1150"/>
      <c r="M35" s="1150"/>
      <c r="N35" s="1150"/>
      <c r="O35" s="1150"/>
    </row>
    <row r="36" spans="1:15">
      <c r="A36" s="878">
        <v>2</v>
      </c>
      <c r="B36" s="74" t="s">
        <v>1073</v>
      </c>
      <c r="C36" s="74"/>
      <c r="D36" s="74"/>
      <c r="E36" s="74"/>
    </row>
    <row r="37" spans="1:15" ht="17.25" customHeight="1">
      <c r="A37" s="1202">
        <v>3</v>
      </c>
      <c r="B37" s="1212" t="s">
        <v>1074</v>
      </c>
      <c r="C37" s="1213"/>
      <c r="D37" s="1213"/>
      <c r="E37" s="1213"/>
      <c r="F37" s="1150"/>
      <c r="G37" s="1150"/>
      <c r="H37" s="1150"/>
      <c r="I37" s="1150"/>
      <c r="J37" s="1150"/>
      <c r="K37" s="1150"/>
      <c r="L37" s="1150"/>
      <c r="M37" s="1150"/>
      <c r="N37" s="1150"/>
      <c r="O37" s="1150"/>
    </row>
    <row r="38" spans="1:15">
      <c r="A38" s="1202"/>
      <c r="C38" s="74"/>
      <c r="D38" s="74"/>
      <c r="E38" s="74"/>
    </row>
    <row r="39" spans="1:15" ht="12.75" customHeight="1">
      <c r="A39" s="1202"/>
      <c r="B39" s="1467"/>
      <c r="C39" s="1467"/>
      <c r="D39" s="1467"/>
      <c r="E39" s="1467"/>
      <c r="F39" s="233"/>
    </row>
    <row r="40" spans="1:15">
      <c r="A40" s="1202"/>
      <c r="B40" s="1467"/>
      <c r="C40" s="1467"/>
      <c r="D40" s="1467"/>
      <c r="E40" s="1467"/>
      <c r="F40" s="233"/>
    </row>
    <row r="41" spans="1:15">
      <c r="A41" s="239"/>
      <c r="B41" s="74"/>
      <c r="C41" s="74"/>
      <c r="D41" s="74"/>
      <c r="E41" s="74"/>
    </row>
    <row r="42" spans="1:15" ht="12.75" customHeight="1">
      <c r="A42" s="1202"/>
      <c r="B42" s="1467"/>
      <c r="C42" s="1467"/>
      <c r="D42" s="1467"/>
      <c r="E42" s="1467"/>
      <c r="F42" s="233"/>
      <c r="G42" s="233"/>
      <c r="H42" s="233"/>
      <c r="I42" s="233"/>
      <c r="J42" s="233"/>
    </row>
    <row r="43" spans="1:15">
      <c r="A43" s="1202"/>
      <c r="B43" s="1213"/>
      <c r="C43" s="1213"/>
      <c r="D43" s="1213"/>
      <c r="E43" s="1213"/>
      <c r="F43" s="233"/>
      <c r="G43" s="233"/>
      <c r="H43" s="233"/>
      <c r="I43" s="233"/>
      <c r="J43" s="233"/>
    </row>
    <row r="44" spans="1:15" ht="12.75" customHeight="1">
      <c r="A44" s="239"/>
      <c r="B44" s="235"/>
      <c r="C44" s="235"/>
      <c r="D44" s="235"/>
      <c r="E44" s="235"/>
      <c r="F44" s="233"/>
      <c r="G44" s="233"/>
      <c r="H44" s="233"/>
      <c r="I44" s="233"/>
      <c r="J44" s="233"/>
    </row>
    <row r="45" spans="1:15">
      <c r="A45" s="1214"/>
      <c r="B45" s="1467"/>
      <c r="C45" s="1467"/>
      <c r="D45" s="1467"/>
      <c r="E45" s="1467"/>
      <c r="F45" s="233"/>
      <c r="G45" s="233"/>
      <c r="H45" s="233"/>
      <c r="I45" s="233"/>
      <c r="J45" s="233"/>
    </row>
    <row r="46" spans="1:15">
      <c r="A46" s="1214"/>
      <c r="B46" s="1467"/>
      <c r="C46" s="1467"/>
      <c r="D46" s="1467"/>
      <c r="E46" s="1467"/>
      <c r="F46" s="233"/>
      <c r="G46" s="233"/>
      <c r="H46" s="233"/>
      <c r="I46" s="233"/>
      <c r="J46" s="233"/>
    </row>
    <row r="47" spans="1:15">
      <c r="A47" s="1214"/>
      <c r="B47" s="1213"/>
      <c r="C47" s="1213"/>
      <c r="D47" s="1213"/>
      <c r="E47" s="1213"/>
      <c r="F47" s="233"/>
      <c r="G47" s="233"/>
      <c r="H47" s="233"/>
      <c r="I47" s="233"/>
      <c r="J47" s="233"/>
    </row>
    <row r="48" spans="1:15">
      <c r="A48" s="1214"/>
      <c r="B48" s="1213"/>
      <c r="C48" s="1213"/>
      <c r="D48" s="1213"/>
      <c r="E48" s="1213"/>
      <c r="F48" s="233"/>
      <c r="G48" s="233"/>
      <c r="H48" s="233"/>
      <c r="I48" s="233"/>
      <c r="J48" s="233"/>
    </row>
    <row r="49" spans="1:10">
      <c r="A49" s="239"/>
      <c r="B49" s="74"/>
      <c r="C49" s="74"/>
      <c r="D49" s="74"/>
      <c r="E49" s="74"/>
    </row>
    <row r="50" spans="1:10" ht="12.75" customHeight="1">
      <c r="A50" s="1202"/>
      <c r="B50" s="1467"/>
      <c r="C50" s="1467"/>
      <c r="D50" s="1467"/>
      <c r="E50" s="1467"/>
      <c r="F50" s="233"/>
      <c r="G50" s="233"/>
      <c r="H50" s="233"/>
      <c r="I50" s="233"/>
      <c r="J50" s="233"/>
    </row>
    <row r="51" spans="1:10">
      <c r="A51" s="1202"/>
      <c r="B51" s="1467"/>
      <c r="C51" s="1467"/>
      <c r="D51" s="1467"/>
      <c r="E51" s="1467"/>
      <c r="F51" s="233"/>
      <c r="G51" s="233"/>
      <c r="H51" s="233"/>
      <c r="I51" s="233"/>
      <c r="J51" s="233"/>
    </row>
    <row r="53" spans="1:10" ht="12.75" customHeight="1"/>
  </sheetData>
  <mergeCells count="31">
    <mergeCell ref="A42:A43"/>
    <mergeCell ref="B42:E43"/>
    <mergeCell ref="A45:A48"/>
    <mergeCell ref="B45:E48"/>
    <mergeCell ref="A50:A51"/>
    <mergeCell ref="B50:E51"/>
    <mergeCell ref="A39:A40"/>
    <mergeCell ref="B39:E40"/>
    <mergeCell ref="A24:C24"/>
    <mergeCell ref="A25:C25"/>
    <mergeCell ref="A26:C26"/>
    <mergeCell ref="A27:C27"/>
    <mergeCell ref="A28:C28"/>
    <mergeCell ref="A29:C29"/>
    <mergeCell ref="A30:C30"/>
    <mergeCell ref="A34:A35"/>
    <mergeCell ref="B34:O35"/>
    <mergeCell ref="A37:A38"/>
    <mergeCell ref="B37:O37"/>
    <mergeCell ref="A23:C23"/>
    <mergeCell ref="A9:O9"/>
    <mergeCell ref="A10:O10"/>
    <mergeCell ref="A12:O12"/>
    <mergeCell ref="A14:C16"/>
    <mergeCell ref="O14:O16"/>
    <mergeCell ref="A17:C17"/>
    <mergeCell ref="A18:C18"/>
    <mergeCell ref="A19:C19"/>
    <mergeCell ref="A20:C20"/>
    <mergeCell ref="A21:C21"/>
    <mergeCell ref="A22:C22"/>
  </mergeCells>
  <dataValidations count="1">
    <dataValidation allowBlank="1" showInputMessage="1" showErrorMessage="1" promptTitle="Date Format" prompt="E.g:  &quot;August 1, 2011&quot;" sqref="WVP983047 WLT983047 WBX983047 VSB983047 VIF983047 UYJ983047 UON983047 UER983047 TUV983047 TKZ983047 TBD983047 SRH983047 SHL983047 RXP983047 RNT983047 RDX983047 QUB983047 QKF983047 QAJ983047 PQN983047 PGR983047 OWV983047 OMZ983047 ODD983047 NTH983047 NJL983047 MZP983047 MPT983047 MFX983047 LWB983047 LMF983047 LCJ983047 KSN983047 KIR983047 JYV983047 JOZ983047 JFD983047 IVH983047 ILL983047 IBP983047 HRT983047 HHX983047 GYB983047 GOF983047 GEJ983047 FUN983047 FKR983047 FAV983047 EQZ983047 EHD983047 DXH983047 DNL983047 DDP983047 CTT983047 CJX983047 CAB983047 BQF983047 BGJ983047 AWN983047 AMR983047 ACV983047 SZ983047 JD983047 WVP917511 WLT917511 WBX917511 VSB917511 VIF917511 UYJ917511 UON917511 UER917511 TUV917511 TKZ917511 TBD917511 SRH917511 SHL917511 RXP917511 RNT917511 RDX917511 QUB917511 QKF917511 QAJ917511 PQN917511 PGR917511 OWV917511 OMZ917511 ODD917511 NTH917511 NJL917511 MZP917511 MPT917511 MFX917511 LWB917511 LMF917511 LCJ917511 KSN917511 KIR917511 JYV917511 JOZ917511 JFD917511 IVH917511 ILL917511 IBP917511 HRT917511 HHX917511 GYB917511 GOF917511 GEJ917511 FUN917511 FKR917511 FAV917511 EQZ917511 EHD917511 DXH917511 DNL917511 DDP917511 CTT917511 CJX917511 CAB917511 BQF917511 BGJ917511 AWN917511 AMR917511 ACV917511 SZ917511 JD917511 WVP851975 WLT851975 WBX851975 VSB851975 VIF851975 UYJ851975 UON851975 UER851975 TUV851975 TKZ851975 TBD851975 SRH851975 SHL851975 RXP851975 RNT851975 RDX851975 QUB851975 QKF851975 QAJ851975 PQN851975 PGR851975 OWV851975 OMZ851975 ODD851975 NTH851975 NJL851975 MZP851975 MPT851975 MFX851975 LWB851975 LMF851975 LCJ851975 KSN851975 KIR851975 JYV851975 JOZ851975 JFD851975 IVH851975 ILL851975 IBP851975 HRT851975 HHX851975 GYB851975 GOF851975 GEJ851975 FUN851975 FKR851975 FAV851975 EQZ851975 EHD851975 DXH851975 DNL851975 DDP851975 CTT851975 CJX851975 CAB851975 BQF851975 BGJ851975 AWN851975 AMR851975 ACV851975 SZ851975 JD851975 WVP786439 WLT786439 WBX786439 VSB786439 VIF786439 UYJ786439 UON786439 UER786439 TUV786439 TKZ786439 TBD786439 SRH786439 SHL786439 RXP786439 RNT786439 RDX786439 QUB786439 QKF786439 QAJ786439 PQN786439 PGR786439 OWV786439 OMZ786439 ODD786439 NTH786439 NJL786439 MZP786439 MPT786439 MFX786439 LWB786439 LMF786439 LCJ786439 KSN786439 KIR786439 JYV786439 JOZ786439 JFD786439 IVH786439 ILL786439 IBP786439 HRT786439 HHX786439 GYB786439 GOF786439 GEJ786439 FUN786439 FKR786439 FAV786439 EQZ786439 EHD786439 DXH786439 DNL786439 DDP786439 CTT786439 CJX786439 CAB786439 BQF786439 BGJ786439 AWN786439 AMR786439 ACV786439 SZ786439 JD786439 WVP720903 WLT720903 WBX720903 VSB720903 VIF720903 UYJ720903 UON720903 UER720903 TUV720903 TKZ720903 TBD720903 SRH720903 SHL720903 RXP720903 RNT720903 RDX720903 QUB720903 QKF720903 QAJ720903 PQN720903 PGR720903 OWV720903 OMZ720903 ODD720903 NTH720903 NJL720903 MZP720903 MPT720903 MFX720903 LWB720903 LMF720903 LCJ720903 KSN720903 KIR720903 JYV720903 JOZ720903 JFD720903 IVH720903 ILL720903 IBP720903 HRT720903 HHX720903 GYB720903 GOF720903 GEJ720903 FUN720903 FKR720903 FAV720903 EQZ720903 EHD720903 DXH720903 DNL720903 DDP720903 CTT720903 CJX720903 CAB720903 BQF720903 BGJ720903 AWN720903 AMR720903 ACV720903 SZ720903 JD720903 WVP655367 WLT655367 WBX655367 VSB655367 VIF655367 UYJ655367 UON655367 UER655367 TUV655367 TKZ655367 TBD655367 SRH655367 SHL655367 RXP655367 RNT655367 RDX655367 QUB655367 QKF655367 QAJ655367 PQN655367 PGR655367 OWV655367 OMZ655367 ODD655367 NTH655367 NJL655367 MZP655367 MPT655367 MFX655367 LWB655367 LMF655367 LCJ655367 KSN655367 KIR655367 JYV655367 JOZ655367 JFD655367 IVH655367 ILL655367 IBP655367 HRT655367 HHX655367 GYB655367 GOF655367 GEJ655367 FUN655367 FKR655367 FAV655367 EQZ655367 EHD655367 DXH655367 DNL655367 DDP655367 CTT655367 CJX655367 CAB655367 BQF655367 BGJ655367 AWN655367 AMR655367 ACV655367 SZ655367 JD655367 WVP589831 WLT589831 WBX589831 VSB589831 VIF589831 UYJ589831 UON589831 UER589831 TUV589831 TKZ589831 TBD589831 SRH589831 SHL589831 RXP589831 RNT589831 RDX589831 QUB589831 QKF589831 QAJ589831 PQN589831 PGR589831 OWV589831 OMZ589831 ODD589831 NTH589831 NJL589831 MZP589831 MPT589831 MFX589831 LWB589831 LMF589831 LCJ589831 KSN589831 KIR589831 JYV589831 JOZ589831 JFD589831 IVH589831 ILL589831 IBP589831 HRT589831 HHX589831 GYB589831 GOF589831 GEJ589831 FUN589831 FKR589831 FAV589831 EQZ589831 EHD589831 DXH589831 DNL589831 DDP589831 CTT589831 CJX589831 CAB589831 BQF589831 BGJ589831 AWN589831 AMR589831 ACV589831 SZ589831 JD589831 WVP524295 WLT524295 WBX524295 VSB524295 VIF524295 UYJ524295 UON524295 UER524295 TUV524295 TKZ524295 TBD524295 SRH524295 SHL524295 RXP524295 RNT524295 RDX524295 QUB524295 QKF524295 QAJ524295 PQN524295 PGR524295 OWV524295 OMZ524295 ODD524295 NTH524295 NJL524295 MZP524295 MPT524295 MFX524295 LWB524295 LMF524295 LCJ524295 KSN524295 KIR524295 JYV524295 JOZ524295 JFD524295 IVH524295 ILL524295 IBP524295 HRT524295 HHX524295 GYB524295 GOF524295 GEJ524295 FUN524295 FKR524295 FAV524295 EQZ524295 EHD524295 DXH524295 DNL524295 DDP524295 CTT524295 CJX524295 CAB524295 BQF524295 BGJ524295 AWN524295 AMR524295 ACV524295 SZ524295 JD524295 WVP458759 WLT458759 WBX458759 VSB458759 VIF458759 UYJ458759 UON458759 UER458759 TUV458759 TKZ458759 TBD458759 SRH458759 SHL458759 RXP458759 RNT458759 RDX458759 QUB458759 QKF458759 QAJ458759 PQN458759 PGR458759 OWV458759 OMZ458759 ODD458759 NTH458759 NJL458759 MZP458759 MPT458759 MFX458759 LWB458759 LMF458759 LCJ458759 KSN458759 KIR458759 JYV458759 JOZ458759 JFD458759 IVH458759 ILL458759 IBP458759 HRT458759 HHX458759 GYB458759 GOF458759 GEJ458759 FUN458759 FKR458759 FAV458759 EQZ458759 EHD458759 DXH458759 DNL458759 DDP458759 CTT458759 CJX458759 CAB458759 BQF458759 BGJ458759 AWN458759 AMR458759 ACV458759 SZ458759 JD458759 WVP393223 WLT393223 WBX393223 VSB393223 VIF393223 UYJ393223 UON393223 UER393223 TUV393223 TKZ393223 TBD393223 SRH393223 SHL393223 RXP393223 RNT393223 RDX393223 QUB393223 QKF393223 QAJ393223 PQN393223 PGR393223 OWV393223 OMZ393223 ODD393223 NTH393223 NJL393223 MZP393223 MPT393223 MFX393223 LWB393223 LMF393223 LCJ393223 KSN393223 KIR393223 JYV393223 JOZ393223 JFD393223 IVH393223 ILL393223 IBP393223 HRT393223 HHX393223 GYB393223 GOF393223 GEJ393223 FUN393223 FKR393223 FAV393223 EQZ393223 EHD393223 DXH393223 DNL393223 DDP393223 CTT393223 CJX393223 CAB393223 BQF393223 BGJ393223 AWN393223 AMR393223 ACV393223 SZ393223 JD393223 WVP327687 WLT327687 WBX327687 VSB327687 VIF327687 UYJ327687 UON327687 UER327687 TUV327687 TKZ327687 TBD327687 SRH327687 SHL327687 RXP327687 RNT327687 RDX327687 QUB327687 QKF327687 QAJ327687 PQN327687 PGR327687 OWV327687 OMZ327687 ODD327687 NTH327687 NJL327687 MZP327687 MPT327687 MFX327687 LWB327687 LMF327687 LCJ327687 KSN327687 KIR327687 JYV327687 JOZ327687 JFD327687 IVH327687 ILL327687 IBP327687 HRT327687 HHX327687 GYB327687 GOF327687 GEJ327687 FUN327687 FKR327687 FAV327687 EQZ327687 EHD327687 DXH327687 DNL327687 DDP327687 CTT327687 CJX327687 CAB327687 BQF327687 BGJ327687 AWN327687 AMR327687 ACV327687 SZ327687 JD327687 WVP262151 WLT262151 WBX262151 VSB262151 VIF262151 UYJ262151 UON262151 UER262151 TUV262151 TKZ262151 TBD262151 SRH262151 SHL262151 RXP262151 RNT262151 RDX262151 QUB262151 QKF262151 QAJ262151 PQN262151 PGR262151 OWV262151 OMZ262151 ODD262151 NTH262151 NJL262151 MZP262151 MPT262151 MFX262151 LWB262151 LMF262151 LCJ262151 KSN262151 KIR262151 JYV262151 JOZ262151 JFD262151 IVH262151 ILL262151 IBP262151 HRT262151 HHX262151 GYB262151 GOF262151 GEJ262151 FUN262151 FKR262151 FAV262151 EQZ262151 EHD262151 DXH262151 DNL262151 DDP262151 CTT262151 CJX262151 CAB262151 BQF262151 BGJ262151 AWN262151 AMR262151 ACV262151 SZ262151 JD262151 WVP196615 WLT196615 WBX196615 VSB196615 VIF196615 UYJ196615 UON196615 UER196615 TUV196615 TKZ196615 TBD196615 SRH196615 SHL196615 RXP196615 RNT196615 RDX196615 QUB196615 QKF196615 QAJ196615 PQN196615 PGR196615 OWV196615 OMZ196615 ODD196615 NTH196615 NJL196615 MZP196615 MPT196615 MFX196615 LWB196615 LMF196615 LCJ196615 KSN196615 KIR196615 JYV196615 JOZ196615 JFD196615 IVH196615 ILL196615 IBP196615 HRT196615 HHX196615 GYB196615 GOF196615 GEJ196615 FUN196615 FKR196615 FAV196615 EQZ196615 EHD196615 DXH196615 DNL196615 DDP196615 CTT196615 CJX196615 CAB196615 BQF196615 BGJ196615 AWN196615 AMR196615 ACV196615 SZ196615 JD196615 WVP131079 WLT131079 WBX131079 VSB131079 VIF131079 UYJ131079 UON131079 UER131079 TUV131079 TKZ131079 TBD131079 SRH131079 SHL131079 RXP131079 RNT131079 RDX131079 QUB131079 QKF131079 QAJ131079 PQN131079 PGR131079 OWV131079 OMZ131079 ODD131079 NTH131079 NJL131079 MZP131079 MPT131079 MFX131079 LWB131079 LMF131079 LCJ131079 KSN131079 KIR131079 JYV131079 JOZ131079 JFD131079 IVH131079 ILL131079 IBP131079 HRT131079 HHX131079 GYB131079 GOF131079 GEJ131079 FUN131079 FKR131079 FAV131079 EQZ131079 EHD131079 DXH131079 DNL131079 DDP131079 CTT131079 CJX131079 CAB131079 BQF131079 BGJ131079 AWN131079 AMR131079 ACV131079 SZ131079 JD131079 WVP65543 WLT65543 WBX65543 VSB65543 VIF65543 UYJ65543 UON65543 UER65543 TUV65543 TKZ65543 TBD65543 SRH65543 SHL65543 RXP65543 RNT65543 RDX65543 QUB65543 QKF65543 QAJ65543 PQN65543 PGR65543 OWV65543 OMZ65543 ODD65543 NTH65543 NJL65543 MZP65543 MPT65543 MFX65543 LWB65543 LMF65543 LCJ65543 KSN65543 KIR65543 JYV65543 JOZ65543 JFD65543 IVH65543 ILL65543 IBP65543 HRT65543 HHX65543 GYB65543 GOF65543 GEJ65543 FUN65543 FKR65543 FAV65543 EQZ65543 EHD65543 DXH65543 DNL65543 DDP65543 CTT65543 CJX65543 CAB65543 BQF65543 BGJ65543 AWN65543 AMR65543 ACV65543 SZ65543 JD65543 WVP7 WLT7 WBX7 VSB7 VIF7 UYJ7 UON7 UER7 TUV7 TKZ7 TBD7 SRH7 SHL7 RXP7 RNT7 RDX7 QUB7 QKF7 QAJ7 PQN7 PGR7 OWV7 OMZ7 ODD7 NTH7 NJL7 MZP7 MPT7 MFX7 LWB7 LMF7 LCJ7 KSN7 KIR7 JYV7 JOZ7 JFD7 IVH7 ILL7 IBP7 HRT7 HHX7 GYB7 GOF7 GEJ7 FUN7 FKR7 FAV7 EQZ7 EHD7 DXH7 DNL7 DDP7 CTT7 CJX7 CAB7 BQF7 BGJ7 AWN7 AMR7 ACV7 SZ7 JD7 E983047 E917511 E851975 E786439 E720903 E655367 E589831 E524295 E458759 E393223 E327687 E262151 E196615 E131079 E65543"/>
  </dataValidations>
  <pageMargins left="0.75" right="0.75" top="1" bottom="1" header="0.5" footer="0.5"/>
  <pageSetup scale="46" orientation="landscape" r:id="rId1"/>
  <headerFooter alignWithMargins="0"/>
</worksheet>
</file>

<file path=xl/worksheets/sheet31.xml><?xml version="1.0" encoding="utf-8"?>
<worksheet xmlns="http://schemas.openxmlformats.org/spreadsheetml/2006/main" xmlns:r="http://schemas.openxmlformats.org/officeDocument/2006/relationships">
  <sheetPr>
    <pageSetUpPr fitToPage="1"/>
  </sheetPr>
  <dimension ref="A1:P35"/>
  <sheetViews>
    <sheetView showGridLines="0" zoomScaleNormal="100" workbookViewId="0">
      <selection activeCell="J24" sqref="J24"/>
    </sheetView>
  </sheetViews>
  <sheetFormatPr defaultRowHeight="12.75"/>
  <cols>
    <col min="1" max="1" width="23.85546875" style="30" customWidth="1"/>
    <col min="2" max="2" width="12.7109375" style="30" customWidth="1"/>
    <col min="3" max="4" width="11.7109375" style="30" customWidth="1"/>
    <col min="5" max="5" width="13.7109375" style="30" customWidth="1"/>
    <col min="6" max="7" width="12.7109375" style="30" customWidth="1"/>
    <col min="8" max="10" width="10.7109375" style="30" customWidth="1"/>
    <col min="11" max="11" width="15.5703125" style="30" customWidth="1"/>
    <col min="12" max="12" width="0.85546875" style="30" customWidth="1"/>
    <col min="13" max="16" width="13.5703125" style="30" customWidth="1"/>
    <col min="17" max="16384" width="9.140625" style="30"/>
  </cols>
  <sheetData>
    <row r="1" spans="1:16" s="1026" customFormat="1">
      <c r="O1" s="1027" t="s">
        <v>131</v>
      </c>
      <c r="P1" s="1028" t="s">
        <v>20</v>
      </c>
    </row>
    <row r="2" spans="1:16" s="1026" customFormat="1">
      <c r="O2" s="1027" t="s">
        <v>132</v>
      </c>
      <c r="P2" s="1029"/>
    </row>
    <row r="3" spans="1:16" s="1026" customFormat="1">
      <c r="O3" s="1027" t="s">
        <v>133</v>
      </c>
      <c r="P3" s="1029"/>
    </row>
    <row r="4" spans="1:16" s="1026" customFormat="1">
      <c r="O4" s="1027" t="s">
        <v>134</v>
      </c>
      <c r="P4" s="1029"/>
    </row>
    <row r="5" spans="1:16" s="1026" customFormat="1">
      <c r="O5" s="1027" t="s">
        <v>135</v>
      </c>
      <c r="P5" s="1030"/>
    </row>
    <row r="6" spans="1:16" s="1026" customFormat="1">
      <c r="O6" s="1027"/>
      <c r="P6" s="1028"/>
    </row>
    <row r="7" spans="1:16" s="1026" customFormat="1">
      <c r="O7" s="1027" t="s">
        <v>136</v>
      </c>
      <c r="P7" s="1030" t="s">
        <v>1171</v>
      </c>
    </row>
    <row r="8" spans="1:16" s="1026" customFormat="1"/>
    <row r="9" spans="1:16" s="1026" customFormat="1" ht="18">
      <c r="A9" s="1394" t="s">
        <v>1075</v>
      </c>
      <c r="B9" s="1394"/>
      <c r="C9" s="1394"/>
      <c r="D9" s="1394"/>
      <c r="E9" s="1394"/>
      <c r="F9" s="1394"/>
      <c r="G9" s="1394"/>
      <c r="H9" s="1394"/>
      <c r="I9" s="1394"/>
      <c r="J9" s="1394"/>
      <c r="K9" s="1394"/>
      <c r="L9" s="1394"/>
      <c r="M9" s="1394"/>
      <c r="N9" s="1394"/>
      <c r="O9" s="1394"/>
      <c r="P9" s="1394"/>
    </row>
    <row r="10" spans="1:16" s="1026" customFormat="1" ht="18">
      <c r="A10" s="1394" t="s">
        <v>1076</v>
      </c>
      <c r="B10" s="1394"/>
      <c r="C10" s="1394"/>
      <c r="D10" s="1394"/>
      <c r="E10" s="1394"/>
      <c r="F10" s="1394"/>
      <c r="G10" s="1394"/>
      <c r="H10" s="1394"/>
      <c r="I10" s="1394"/>
      <c r="J10" s="1394"/>
      <c r="K10" s="1394"/>
      <c r="L10" s="1394"/>
      <c r="M10" s="1394"/>
      <c r="N10" s="1394"/>
      <c r="O10" s="1394"/>
      <c r="P10" s="1394"/>
    </row>
    <row r="11" spans="1:16" ht="13.5" thickBot="1"/>
    <row r="12" spans="1:16" ht="13.5" customHeight="1" thickBot="1">
      <c r="A12" s="1031" t="s">
        <v>1077</v>
      </c>
      <c r="B12" s="1476" t="s">
        <v>1078</v>
      </c>
      <c r="C12" s="1478" t="s">
        <v>1079</v>
      </c>
      <c r="D12" s="1479"/>
      <c r="E12" s="1480"/>
      <c r="F12" s="1481" t="s">
        <v>1080</v>
      </c>
      <c r="G12" s="1482"/>
      <c r="H12" s="1483" t="s">
        <v>1081</v>
      </c>
      <c r="I12" s="1481"/>
      <c r="J12" s="1482"/>
      <c r="K12" s="1476" t="s">
        <v>1082</v>
      </c>
      <c r="L12" s="1032"/>
      <c r="M12" s="1476" t="s">
        <v>1083</v>
      </c>
      <c r="N12" s="1476" t="s">
        <v>1084</v>
      </c>
      <c r="O12" s="1476" t="s">
        <v>267</v>
      </c>
      <c r="P12" s="1472" t="s">
        <v>269</v>
      </c>
    </row>
    <row r="13" spans="1:16" ht="39" thickBot="1">
      <c r="A13" s="1033"/>
      <c r="B13" s="1477"/>
      <c r="C13" s="1034" t="s">
        <v>1085</v>
      </c>
      <c r="D13" s="1034" t="s">
        <v>1086</v>
      </c>
      <c r="E13" s="1035" t="s">
        <v>329</v>
      </c>
      <c r="F13" s="1035" t="s">
        <v>1087</v>
      </c>
      <c r="G13" s="1036" t="s">
        <v>1088</v>
      </c>
      <c r="H13" s="1034" t="s">
        <v>1089</v>
      </c>
      <c r="I13" s="1474" t="s">
        <v>1090</v>
      </c>
      <c r="J13" s="1475"/>
      <c r="K13" s="1477"/>
      <c r="L13" s="1037"/>
      <c r="M13" s="1477"/>
      <c r="N13" s="1477"/>
      <c r="O13" s="1477"/>
      <c r="P13" s="1473"/>
    </row>
    <row r="14" spans="1:16">
      <c r="A14" s="1038"/>
      <c r="B14" s="1038"/>
      <c r="C14" s="1038"/>
      <c r="D14" s="1038"/>
      <c r="E14" s="1038"/>
      <c r="F14" s="1038"/>
      <c r="G14" s="1039"/>
      <c r="H14" s="1038"/>
      <c r="I14" s="1040" t="s">
        <v>1087</v>
      </c>
      <c r="J14" s="1040" t="s">
        <v>1088</v>
      </c>
      <c r="K14" s="1041"/>
      <c r="L14" s="1042"/>
      <c r="M14" s="1041"/>
      <c r="N14" s="1041"/>
      <c r="O14" s="1041"/>
      <c r="P14" s="1039"/>
    </row>
    <row r="15" spans="1:16">
      <c r="A15" s="1038"/>
      <c r="B15" s="1038"/>
      <c r="C15" s="1038"/>
      <c r="D15" s="1038"/>
      <c r="E15" s="1038"/>
      <c r="F15" s="1038"/>
      <c r="G15" s="1039"/>
      <c r="H15" s="1038"/>
      <c r="I15" s="1038"/>
      <c r="J15" s="1038"/>
      <c r="K15" s="1038"/>
      <c r="L15" s="1042"/>
      <c r="M15" s="1038"/>
      <c r="N15" s="1038"/>
      <c r="O15" s="1038"/>
      <c r="P15" s="1039"/>
    </row>
    <row r="16" spans="1:16">
      <c r="A16" s="1043" t="s">
        <v>478</v>
      </c>
      <c r="B16" s="1044" t="s">
        <v>1091</v>
      </c>
      <c r="C16" s="879"/>
      <c r="D16" s="879">
        <v>42512</v>
      </c>
      <c r="E16" s="880">
        <f t="shared" ref="E16:E28" si="0">IF(SUM(C16:D16)=0,0,AVERAGE(C16:D16))</f>
        <v>42512</v>
      </c>
      <c r="F16" s="881">
        <v>402126214</v>
      </c>
      <c r="G16" s="882"/>
      <c r="H16" s="883">
        <v>15.793622063598789</v>
      </c>
      <c r="I16" s="884">
        <v>1.2133885600286557E-2</v>
      </c>
      <c r="J16" s="884"/>
      <c r="K16" s="885">
        <f t="shared" ref="K16:K28" si="1">H16*E16*12+I16*F16+J16*G16</f>
        <v>12936375.011564892</v>
      </c>
      <c r="L16" s="1042"/>
      <c r="M16" s="886">
        <v>12936375.011564892</v>
      </c>
      <c r="N16" s="886"/>
      <c r="O16" s="887">
        <f t="shared" ref="O16:O28" si="2">SUM(M16:N16)</f>
        <v>12936375.011564892</v>
      </c>
      <c r="P16" s="888">
        <f t="shared" ref="P16:P28" si="3">O16-K16</f>
        <v>0</v>
      </c>
    </row>
    <row r="17" spans="1:16">
      <c r="A17" s="1043" t="s">
        <v>878</v>
      </c>
      <c r="B17" s="1044" t="s">
        <v>1091</v>
      </c>
      <c r="C17" s="879"/>
      <c r="D17" s="879">
        <v>4061</v>
      </c>
      <c r="E17" s="880">
        <f t="shared" si="0"/>
        <v>4061</v>
      </c>
      <c r="F17" s="881">
        <v>142890815</v>
      </c>
      <c r="G17" s="882"/>
      <c r="H17" s="883">
        <v>21.087518926304458</v>
      </c>
      <c r="I17" s="884">
        <v>1.8200828400429837E-2</v>
      </c>
      <c r="J17" s="884"/>
      <c r="K17" s="885">
        <f t="shared" si="1"/>
        <v>3628368.1761292345</v>
      </c>
      <c r="L17" s="1042"/>
      <c r="M17" s="886">
        <v>3628368.1761292345</v>
      </c>
      <c r="N17" s="886"/>
      <c r="O17" s="887">
        <f t="shared" si="2"/>
        <v>3628368.1761292345</v>
      </c>
      <c r="P17" s="888">
        <f t="shared" si="3"/>
        <v>0</v>
      </c>
    </row>
    <row r="18" spans="1:16">
      <c r="A18" s="1043" t="s">
        <v>1092</v>
      </c>
      <c r="B18" s="1044" t="s">
        <v>1091</v>
      </c>
      <c r="C18" s="879"/>
      <c r="D18" s="879">
        <v>531</v>
      </c>
      <c r="E18" s="880">
        <f t="shared" si="0"/>
        <v>531</v>
      </c>
      <c r="F18" s="881">
        <v>388576753</v>
      </c>
      <c r="G18" s="882">
        <v>969035</v>
      </c>
      <c r="H18" s="883">
        <v>160.95990664444642</v>
      </c>
      <c r="I18" s="884"/>
      <c r="J18" s="884">
        <v>4.1821263924693231</v>
      </c>
      <c r="K18" s="885">
        <f t="shared" si="1"/>
        <v>5078263.3738649227</v>
      </c>
      <c r="L18" s="1042"/>
      <c r="M18" s="886">
        <v>4948063.3738649227</v>
      </c>
      <c r="N18" s="886">
        <v>130200</v>
      </c>
      <c r="O18" s="887">
        <f t="shared" si="2"/>
        <v>5078263.3738649227</v>
      </c>
      <c r="P18" s="888">
        <f t="shared" si="3"/>
        <v>0</v>
      </c>
    </row>
    <row r="19" spans="1:16">
      <c r="A19" s="1043" t="s">
        <v>1093</v>
      </c>
      <c r="B19" s="1044"/>
      <c r="C19" s="879"/>
      <c r="D19" s="879"/>
      <c r="E19" s="880">
        <f t="shared" si="0"/>
        <v>0</v>
      </c>
      <c r="F19" s="881"/>
      <c r="G19" s="882"/>
      <c r="H19" s="883"/>
      <c r="I19" s="884"/>
      <c r="J19" s="884"/>
      <c r="K19" s="885">
        <f t="shared" si="1"/>
        <v>0</v>
      </c>
      <c r="L19" s="1042"/>
      <c r="M19" s="886"/>
      <c r="N19" s="886"/>
      <c r="O19" s="887">
        <f t="shared" si="2"/>
        <v>0</v>
      </c>
      <c r="P19" s="888">
        <f t="shared" si="3"/>
        <v>0</v>
      </c>
    </row>
    <row r="20" spans="1:16">
      <c r="A20" s="1043" t="s">
        <v>1094</v>
      </c>
      <c r="B20" s="1044" t="s">
        <v>1095</v>
      </c>
      <c r="C20" s="879"/>
      <c r="D20" s="879">
        <v>9578</v>
      </c>
      <c r="E20" s="880">
        <f t="shared" si="0"/>
        <v>9578</v>
      </c>
      <c r="F20" s="881">
        <v>8016815</v>
      </c>
      <c r="G20" s="882">
        <v>22580</v>
      </c>
      <c r="H20" s="883">
        <v>5.25</v>
      </c>
      <c r="I20" s="884"/>
      <c r="J20" s="884">
        <v>2.5766364493704277</v>
      </c>
      <c r="K20" s="885">
        <f t="shared" si="1"/>
        <v>661594.45102678426</v>
      </c>
      <c r="L20" s="1042"/>
      <c r="M20" s="886">
        <v>661594.45102678426</v>
      </c>
      <c r="N20" s="886"/>
      <c r="O20" s="887">
        <f t="shared" si="2"/>
        <v>661594.45102678426</v>
      </c>
      <c r="P20" s="888">
        <f t="shared" si="3"/>
        <v>0</v>
      </c>
    </row>
    <row r="21" spans="1:16">
      <c r="A21" s="1043" t="s">
        <v>482</v>
      </c>
      <c r="B21" s="1044" t="s">
        <v>1095</v>
      </c>
      <c r="C21" s="879"/>
      <c r="D21" s="879">
        <v>436</v>
      </c>
      <c r="E21" s="880">
        <f t="shared" si="0"/>
        <v>436</v>
      </c>
      <c r="F21" s="881">
        <v>462466</v>
      </c>
      <c r="G21" s="882">
        <v>1285</v>
      </c>
      <c r="H21" s="883">
        <v>3.8444427141808535</v>
      </c>
      <c r="I21" s="884">
        <v>0</v>
      </c>
      <c r="J21" s="884">
        <v>12.300765952279042</v>
      </c>
      <c r="K21" s="885">
        <f t="shared" si="1"/>
        <v>35920.608529272795</v>
      </c>
      <c r="L21" s="1042"/>
      <c r="M21" s="886">
        <v>35920.608529272795</v>
      </c>
      <c r="N21" s="886"/>
      <c r="O21" s="887">
        <f t="shared" si="2"/>
        <v>35920.608529272795</v>
      </c>
      <c r="P21" s="888">
        <f t="shared" si="3"/>
        <v>0</v>
      </c>
    </row>
    <row r="22" spans="1:16">
      <c r="A22" s="1043" t="s">
        <v>481</v>
      </c>
      <c r="B22" s="1044" t="s">
        <v>1095</v>
      </c>
      <c r="C22" s="879"/>
      <c r="D22" s="879">
        <v>345</v>
      </c>
      <c r="E22" s="880">
        <f t="shared" si="0"/>
        <v>345</v>
      </c>
      <c r="F22" s="881">
        <v>1443337</v>
      </c>
      <c r="G22" s="882"/>
      <c r="H22" s="883">
        <v>6.9001214093171486</v>
      </c>
      <c r="I22" s="884">
        <v>1.0543042650260992E-2</v>
      </c>
      <c r="J22" s="884"/>
      <c r="K22" s="885">
        <f t="shared" si="1"/>
        <v>43783.666184272741</v>
      </c>
      <c r="L22" s="1042"/>
      <c r="M22" s="886">
        <v>43783.666184272741</v>
      </c>
      <c r="N22" s="886"/>
      <c r="O22" s="887">
        <f t="shared" si="2"/>
        <v>43783.666184272741</v>
      </c>
      <c r="P22" s="888">
        <f t="shared" si="3"/>
        <v>0</v>
      </c>
    </row>
    <row r="23" spans="1:16">
      <c r="A23" s="1043" t="s">
        <v>1096</v>
      </c>
      <c r="B23" s="1044"/>
      <c r="C23" s="879"/>
      <c r="D23" s="879"/>
      <c r="E23" s="880">
        <f t="shared" si="0"/>
        <v>0</v>
      </c>
      <c r="F23" s="881"/>
      <c r="G23" s="882"/>
      <c r="H23" s="883"/>
      <c r="I23" s="884"/>
      <c r="J23" s="884"/>
      <c r="K23" s="885">
        <f t="shared" si="1"/>
        <v>0</v>
      </c>
      <c r="L23" s="1042"/>
      <c r="M23" s="886"/>
      <c r="N23" s="886"/>
      <c r="O23" s="887">
        <f t="shared" si="2"/>
        <v>0</v>
      </c>
      <c r="P23" s="888">
        <f t="shared" si="3"/>
        <v>0</v>
      </c>
    </row>
    <row r="24" spans="1:16">
      <c r="A24" s="1043" t="s">
        <v>1097</v>
      </c>
      <c r="B24" s="1044"/>
      <c r="C24" s="879"/>
      <c r="D24" s="879"/>
      <c r="E24" s="880">
        <f t="shared" si="0"/>
        <v>0</v>
      </c>
      <c r="F24" s="881"/>
      <c r="G24" s="882"/>
      <c r="H24" s="883"/>
      <c r="I24" s="884"/>
      <c r="J24" s="884"/>
      <c r="K24" s="885">
        <f t="shared" si="1"/>
        <v>0</v>
      </c>
      <c r="L24" s="1042"/>
      <c r="M24" s="886"/>
      <c r="N24" s="886"/>
      <c r="O24" s="887">
        <f t="shared" si="2"/>
        <v>0</v>
      </c>
      <c r="P24" s="888">
        <f t="shared" si="3"/>
        <v>0</v>
      </c>
    </row>
    <row r="25" spans="1:16">
      <c r="A25" s="1043" t="s">
        <v>391</v>
      </c>
      <c r="B25" s="1044"/>
      <c r="C25" s="879"/>
      <c r="D25" s="879"/>
      <c r="E25" s="880">
        <f t="shared" si="0"/>
        <v>0</v>
      </c>
      <c r="F25" s="881"/>
      <c r="G25" s="882"/>
      <c r="H25" s="883"/>
      <c r="I25" s="884"/>
      <c r="J25" s="884"/>
      <c r="K25" s="885">
        <f t="shared" si="1"/>
        <v>0</v>
      </c>
      <c r="L25" s="1042"/>
      <c r="M25" s="886"/>
      <c r="N25" s="886"/>
      <c r="O25" s="887">
        <f t="shared" si="2"/>
        <v>0</v>
      </c>
      <c r="P25" s="888">
        <f t="shared" si="3"/>
        <v>0</v>
      </c>
    </row>
    <row r="26" spans="1:16">
      <c r="A26" s="1043"/>
      <c r="B26" s="1044"/>
      <c r="C26" s="879"/>
      <c r="D26" s="879"/>
      <c r="E26" s="880">
        <f t="shared" si="0"/>
        <v>0</v>
      </c>
      <c r="F26" s="881"/>
      <c r="G26" s="882"/>
      <c r="H26" s="883"/>
      <c r="I26" s="884"/>
      <c r="J26" s="884"/>
      <c r="K26" s="885">
        <f t="shared" si="1"/>
        <v>0</v>
      </c>
      <c r="L26" s="1042"/>
      <c r="M26" s="886"/>
      <c r="N26" s="886"/>
      <c r="O26" s="887">
        <f t="shared" si="2"/>
        <v>0</v>
      </c>
      <c r="P26" s="888">
        <f t="shared" si="3"/>
        <v>0</v>
      </c>
    </row>
    <row r="27" spans="1:16">
      <c r="A27" s="1043"/>
      <c r="B27" s="1044"/>
      <c r="C27" s="879"/>
      <c r="D27" s="879"/>
      <c r="E27" s="880">
        <f t="shared" si="0"/>
        <v>0</v>
      </c>
      <c r="F27" s="881"/>
      <c r="G27" s="882"/>
      <c r="H27" s="883"/>
      <c r="I27" s="884"/>
      <c r="J27" s="884"/>
      <c r="K27" s="885">
        <f t="shared" si="1"/>
        <v>0</v>
      </c>
      <c r="L27" s="1042"/>
      <c r="M27" s="886"/>
      <c r="N27" s="886"/>
      <c r="O27" s="887">
        <f t="shared" si="2"/>
        <v>0</v>
      </c>
      <c r="P27" s="888">
        <f t="shared" si="3"/>
        <v>0</v>
      </c>
    </row>
    <row r="28" spans="1:16" ht="13.5" thickBot="1">
      <c r="A28" s="1043"/>
      <c r="B28" s="1044"/>
      <c r="C28" s="879"/>
      <c r="D28" s="879"/>
      <c r="E28" s="880">
        <f t="shared" si="0"/>
        <v>0</v>
      </c>
      <c r="F28" s="881"/>
      <c r="G28" s="882"/>
      <c r="H28" s="883"/>
      <c r="I28" s="884"/>
      <c r="J28" s="884"/>
      <c r="K28" s="889">
        <f t="shared" si="1"/>
        <v>0</v>
      </c>
      <c r="L28" s="1042"/>
      <c r="M28" s="886"/>
      <c r="N28" s="886"/>
      <c r="O28" s="890">
        <f t="shared" si="2"/>
        <v>0</v>
      </c>
      <c r="P28" s="890">
        <f t="shared" si="3"/>
        <v>0</v>
      </c>
    </row>
    <row r="29" spans="1:16" ht="13.5" thickTop="1">
      <c r="A29" s="1038"/>
      <c r="B29" s="1038"/>
      <c r="C29" s="1038"/>
      <c r="D29" s="1038"/>
      <c r="E29" s="1038"/>
      <c r="F29" s="1038"/>
      <c r="G29" s="1039"/>
      <c r="H29" s="1038"/>
      <c r="I29" s="1038"/>
      <c r="J29" s="1038"/>
      <c r="K29" s="1045"/>
      <c r="L29" s="1042"/>
      <c r="M29" s="1046"/>
      <c r="N29" s="1046"/>
      <c r="O29" s="1038"/>
      <c r="P29" s="1039"/>
    </row>
    <row r="30" spans="1:16" ht="13.5" thickBot="1">
      <c r="A30" s="1047" t="s">
        <v>267</v>
      </c>
      <c r="B30" s="1048"/>
      <c r="C30" s="1048"/>
      <c r="D30" s="1048"/>
      <c r="E30" s="1048"/>
      <c r="F30" s="1048"/>
      <c r="G30" s="1049"/>
      <c r="H30" s="1048"/>
      <c r="I30" s="1048"/>
      <c r="J30" s="1048"/>
      <c r="K30" s="1050">
        <f>SUM(K16:K28)</f>
        <v>22384305.28729938</v>
      </c>
      <c r="L30" s="1051"/>
      <c r="M30" s="1052">
        <f>SUM(M16:M28)</f>
        <v>22254105.28729938</v>
      </c>
      <c r="N30" s="1052">
        <f>SUM(N16:N28)</f>
        <v>130200</v>
      </c>
      <c r="O30" s="1052">
        <f>M30+N30</f>
        <v>22384305.28729938</v>
      </c>
      <c r="P30" s="1053">
        <f>O30-K30</f>
        <v>0</v>
      </c>
    </row>
    <row r="32" spans="1:16">
      <c r="A32" s="1054" t="s">
        <v>918</v>
      </c>
      <c r="B32" s="1055"/>
      <c r="C32" s="1055"/>
      <c r="D32" s="1055"/>
      <c r="E32" s="1055"/>
      <c r="F32" s="1055"/>
      <c r="G32" s="1055"/>
      <c r="H32" s="1055"/>
      <c r="I32" s="1055"/>
      <c r="J32" s="1055"/>
      <c r="K32" s="1055"/>
    </row>
    <row r="33" spans="1:14">
      <c r="A33" s="1055"/>
      <c r="B33" s="1055"/>
      <c r="C33" s="1055"/>
      <c r="D33" s="1055"/>
      <c r="E33" s="1055"/>
      <c r="F33" s="1055"/>
      <c r="G33" s="1055"/>
      <c r="H33" s="1055"/>
      <c r="I33" s="1055"/>
      <c r="J33" s="1055"/>
      <c r="K33" s="1055"/>
    </row>
    <row r="34" spans="1:14">
      <c r="A34" s="1142" t="s">
        <v>1098</v>
      </c>
      <c r="B34" s="1142"/>
      <c r="C34" s="1142"/>
      <c r="D34" s="1142"/>
      <c r="E34" s="1142"/>
      <c r="F34" s="1142"/>
      <c r="G34" s="1142"/>
      <c r="H34" s="1142"/>
      <c r="I34" s="1142"/>
      <c r="J34" s="1142"/>
      <c r="K34" s="1142"/>
      <c r="L34" s="1142"/>
      <c r="M34" s="1142"/>
      <c r="N34" s="1142"/>
    </row>
    <row r="35" spans="1:14">
      <c r="A35" s="1142"/>
      <c r="B35" s="1142"/>
      <c r="C35" s="1142"/>
      <c r="D35" s="1142"/>
      <c r="E35" s="1142"/>
      <c r="F35" s="1142"/>
      <c r="G35" s="1142"/>
      <c r="H35" s="1142"/>
      <c r="I35" s="1142"/>
      <c r="J35" s="1142"/>
      <c r="K35" s="1142"/>
      <c r="L35" s="1142"/>
      <c r="M35" s="1142"/>
      <c r="N35" s="1142"/>
    </row>
  </sheetData>
  <mergeCells count="13">
    <mergeCell ref="P12:P13"/>
    <mergeCell ref="I13:J13"/>
    <mergeCell ref="A34:N35"/>
    <mergeCell ref="A9:P9"/>
    <mergeCell ref="A10:P10"/>
    <mergeCell ref="B12:B13"/>
    <mergeCell ref="C12:E12"/>
    <mergeCell ref="F12:G12"/>
    <mergeCell ref="H12:J12"/>
    <mergeCell ref="K12:K13"/>
    <mergeCell ref="M12:M13"/>
    <mergeCell ref="N12:N13"/>
    <mergeCell ref="O12:O13"/>
  </mergeCells>
  <dataValidations count="1">
    <dataValidation type="list" allowBlank="1" showInputMessage="1" showErrorMessage="1" sqref="B16:B28">
      <formula1>"Customers, Connections"</formula1>
    </dataValidation>
  </dataValidations>
  <pageMargins left="0.75" right="0.75" top="1" bottom="1" header="0.5" footer="0.5"/>
  <pageSetup scale="61" orientation="landscape" r:id="rId1"/>
  <headerFooter alignWithMargins="0"/>
</worksheet>
</file>

<file path=xl/worksheets/sheet32.xml><?xml version="1.0" encoding="utf-8"?>
<worksheet xmlns="http://schemas.openxmlformats.org/spreadsheetml/2006/main" xmlns:r="http://schemas.openxmlformats.org/officeDocument/2006/relationships">
  <dimension ref="A1:P598"/>
  <sheetViews>
    <sheetView zoomScaleNormal="100" workbookViewId="0">
      <selection activeCell="J24" sqref="J24"/>
    </sheetView>
  </sheetViews>
  <sheetFormatPr defaultRowHeight="12.75"/>
  <cols>
    <col min="1" max="1" width="1.28515625" style="30" customWidth="1"/>
    <col min="2" max="2" width="54.140625" style="30" bestFit="1" customWidth="1"/>
    <col min="3" max="3" width="1.28515625" style="30" customWidth="1"/>
    <col min="4" max="4" width="11.28515625" style="30" customWidth="1"/>
    <col min="5" max="5" width="1.28515625" style="30" customWidth="1"/>
    <col min="6" max="6" width="12.28515625" style="30" customWidth="1"/>
    <col min="7" max="7" width="8.5703125" style="30" customWidth="1"/>
    <col min="8" max="8" width="11.5703125" style="30" customWidth="1"/>
    <col min="9" max="9" width="2.85546875" style="30" customWidth="1"/>
    <col min="10" max="10" width="12.140625" style="30" customWidth="1"/>
    <col min="11" max="11" width="8.5703125" style="30" customWidth="1"/>
    <col min="12" max="12" width="11.5703125" style="30" customWidth="1"/>
    <col min="13" max="13" width="2.85546875" style="30" customWidth="1"/>
    <col min="14" max="14" width="12.7109375" style="30" customWidth="1"/>
    <col min="15" max="15" width="10.85546875" style="30" customWidth="1"/>
    <col min="16" max="16" width="3.85546875" style="30" customWidth="1"/>
    <col min="17" max="16384" width="9.140625" style="30"/>
  </cols>
  <sheetData>
    <row r="1" spans="1:16" ht="21.75">
      <c r="A1" s="891"/>
      <c r="B1" s="892"/>
      <c r="C1" s="892"/>
      <c r="D1" s="892"/>
      <c r="E1" s="892"/>
      <c r="F1" s="892"/>
      <c r="G1" s="892"/>
      <c r="H1" s="892"/>
      <c r="I1" s="892"/>
      <c r="J1" s="892"/>
      <c r="K1" s="892"/>
      <c r="L1" s="893"/>
      <c r="M1" s="893"/>
      <c r="N1" s="31" t="s">
        <v>131</v>
      </c>
      <c r="O1" s="32" t="s">
        <v>20</v>
      </c>
    </row>
    <row r="2" spans="1:16" ht="18">
      <c r="A2" s="894"/>
      <c r="B2" s="894"/>
      <c r="C2" s="894"/>
      <c r="D2" s="894"/>
      <c r="E2" s="894"/>
      <c r="F2" s="894"/>
      <c r="G2" s="894"/>
      <c r="H2" s="894"/>
      <c r="I2" s="894"/>
      <c r="J2" s="894"/>
      <c r="K2" s="894"/>
      <c r="L2" s="893"/>
      <c r="M2" s="893"/>
      <c r="N2" s="31" t="s">
        <v>132</v>
      </c>
      <c r="O2" s="33"/>
    </row>
    <row r="3" spans="1:16" ht="18">
      <c r="A3" s="1492"/>
      <c r="B3" s="1492"/>
      <c r="C3" s="1492"/>
      <c r="D3" s="1492"/>
      <c r="E3" s="1492"/>
      <c r="F3" s="1492"/>
      <c r="G3" s="1492"/>
      <c r="H3" s="1492"/>
      <c r="I3" s="1492"/>
      <c r="J3" s="1492"/>
      <c r="K3" s="1492"/>
      <c r="L3" s="893"/>
      <c r="M3" s="893"/>
      <c r="N3" s="31" t="s">
        <v>133</v>
      </c>
      <c r="O3" s="33"/>
    </row>
    <row r="4" spans="1:16" ht="18">
      <c r="A4" s="894"/>
      <c r="B4" s="894"/>
      <c r="C4" s="894"/>
      <c r="D4" s="894"/>
      <c r="E4" s="894"/>
      <c r="F4" s="894"/>
      <c r="G4" s="894"/>
      <c r="H4" s="894"/>
      <c r="I4" s="895"/>
      <c r="J4" s="895"/>
      <c r="K4" s="895"/>
      <c r="L4" s="893"/>
      <c r="M4" s="893"/>
      <c r="N4" s="31" t="s">
        <v>134</v>
      </c>
      <c r="O4" s="33"/>
    </row>
    <row r="5" spans="1:16" ht="15.75">
      <c r="A5" s="893"/>
      <c r="B5" s="893"/>
      <c r="C5" s="896"/>
      <c r="D5" s="896"/>
      <c r="E5" s="896"/>
      <c r="F5" s="893"/>
      <c r="G5" s="893"/>
      <c r="H5" s="893"/>
      <c r="I5" s="893"/>
      <c r="J5" s="893"/>
      <c r="K5" s="893"/>
      <c r="L5" s="893"/>
      <c r="M5" s="893"/>
      <c r="N5" s="31" t="s">
        <v>439</v>
      </c>
      <c r="O5" s="34" t="s">
        <v>1099</v>
      </c>
    </row>
    <row r="6" spans="1:16">
      <c r="A6" s="893"/>
      <c r="B6" s="893"/>
      <c r="C6" s="893"/>
      <c r="D6" s="893"/>
      <c r="E6" s="893"/>
      <c r="F6" s="893"/>
      <c r="G6" s="893"/>
      <c r="H6" s="893"/>
      <c r="I6" s="893"/>
      <c r="J6" s="893"/>
      <c r="K6" s="893"/>
      <c r="L6" s="893"/>
      <c r="M6" s="893"/>
      <c r="N6" s="31"/>
      <c r="O6" s="32"/>
    </row>
    <row r="7" spans="1:16">
      <c r="A7" s="893"/>
      <c r="B7" s="893"/>
      <c r="C7" s="893"/>
      <c r="D7" s="893"/>
      <c r="E7" s="893"/>
      <c r="F7" s="893"/>
      <c r="G7" s="893"/>
      <c r="H7" s="893"/>
      <c r="I7" s="893"/>
      <c r="J7" s="893"/>
      <c r="K7" s="893"/>
      <c r="L7" s="893"/>
      <c r="M7" s="893"/>
      <c r="N7" s="31" t="s">
        <v>136</v>
      </c>
      <c r="O7" s="35" t="s">
        <v>1171</v>
      </c>
    </row>
    <row r="8" spans="1:16">
      <c r="A8" s="893"/>
      <c r="B8" s="893"/>
      <c r="C8" s="893"/>
      <c r="D8" s="893"/>
      <c r="E8" s="893"/>
      <c r="F8" s="893"/>
      <c r="G8" s="893"/>
      <c r="H8" s="893"/>
      <c r="I8" s="893"/>
      <c r="J8" s="893"/>
      <c r="K8" s="893"/>
      <c r="L8" s="893"/>
      <c r="M8" s="893"/>
      <c r="N8" s="706"/>
    </row>
    <row r="9" spans="1:16">
      <c r="A9" s="706"/>
      <c r="B9" s="706"/>
      <c r="C9" s="706"/>
      <c r="D9" s="706"/>
      <c r="E9" s="706"/>
      <c r="F9" s="706"/>
      <c r="G9" s="706"/>
      <c r="H9" s="706"/>
      <c r="I9" s="706"/>
      <c r="J9" s="706"/>
      <c r="K9" s="706"/>
    </row>
    <row r="10" spans="1:16" ht="18">
      <c r="A10" s="706"/>
      <c r="B10" s="1493" t="s">
        <v>1100</v>
      </c>
      <c r="C10" s="1493"/>
      <c r="D10" s="1493"/>
      <c r="E10" s="1493"/>
      <c r="F10" s="1493"/>
      <c r="G10" s="1493"/>
      <c r="H10" s="1493"/>
      <c r="I10" s="1493"/>
      <c r="J10" s="1493"/>
      <c r="K10" s="1493"/>
      <c r="L10" s="1493"/>
      <c r="M10" s="1493"/>
      <c r="N10" s="1493"/>
      <c r="O10" s="1493"/>
    </row>
    <row r="11" spans="1:16" ht="18">
      <c r="A11" s="706"/>
      <c r="B11" s="1493" t="s">
        <v>1101</v>
      </c>
      <c r="C11" s="1493"/>
      <c r="D11" s="1493"/>
      <c r="E11" s="1493"/>
      <c r="F11" s="1493"/>
      <c r="G11" s="1493"/>
      <c r="H11" s="1493"/>
      <c r="I11" s="1493"/>
      <c r="J11" s="1493"/>
      <c r="K11" s="1493"/>
      <c r="L11" s="1493"/>
      <c r="M11" s="1493"/>
      <c r="N11" s="1493"/>
      <c r="O11" s="1493"/>
    </row>
    <row r="12" spans="1:16">
      <c r="A12" s="706"/>
      <c r="B12" s="706"/>
      <c r="C12" s="706"/>
      <c r="D12" s="706"/>
      <c r="E12" s="706"/>
      <c r="F12" s="706"/>
      <c r="G12" s="706"/>
      <c r="H12" s="706"/>
      <c r="I12" s="706"/>
      <c r="J12" s="706"/>
      <c r="K12" s="706"/>
    </row>
    <row r="13" spans="1:16">
      <c r="A13" s="706"/>
      <c r="B13" s="706"/>
      <c r="C13" s="706"/>
      <c r="D13" s="706"/>
      <c r="E13" s="706"/>
      <c r="F13" s="706"/>
      <c r="G13" s="706"/>
      <c r="H13" s="706"/>
      <c r="I13" s="706"/>
      <c r="J13" s="706"/>
      <c r="K13" s="706"/>
    </row>
    <row r="14" spans="1:16" ht="15.75">
      <c r="A14" s="706"/>
      <c r="B14" s="897" t="s">
        <v>1102</v>
      </c>
      <c r="C14" s="706"/>
      <c r="D14" s="1494" t="s">
        <v>478</v>
      </c>
      <c r="E14" s="1494"/>
      <c r="F14" s="1494"/>
      <c r="G14" s="1494"/>
      <c r="H14" s="1494"/>
      <c r="I14" s="1494"/>
      <c r="J14" s="1494"/>
      <c r="K14" s="1494"/>
      <c r="L14" s="1494"/>
      <c r="M14" s="1494"/>
      <c r="N14" s="1494"/>
      <c r="O14" s="1494"/>
      <c r="P14" s="706"/>
    </row>
    <row r="15" spans="1:16" ht="15.75">
      <c r="A15" s="706"/>
      <c r="B15" s="898"/>
      <c r="C15" s="706"/>
      <c r="D15" s="899"/>
      <c r="E15" s="899"/>
      <c r="F15" s="899"/>
      <c r="G15" s="899"/>
      <c r="H15" s="899"/>
      <c r="I15" s="899"/>
      <c r="J15" s="899"/>
      <c r="K15" s="899"/>
      <c r="L15" s="899"/>
      <c r="M15" s="899"/>
      <c r="N15" s="899"/>
      <c r="O15" s="899"/>
      <c r="P15" s="706"/>
    </row>
    <row r="16" spans="1:16">
      <c r="A16" s="706"/>
      <c r="B16" s="900"/>
      <c r="C16" s="706"/>
      <c r="D16" s="711" t="s">
        <v>1103</v>
      </c>
      <c r="E16" s="711"/>
      <c r="F16" s="901">
        <v>500</v>
      </c>
      <c r="G16" s="711" t="s">
        <v>1104</v>
      </c>
      <c r="H16" s="706"/>
      <c r="I16" s="706"/>
      <c r="J16" s="706"/>
      <c r="K16" s="706"/>
      <c r="L16" s="706"/>
      <c r="M16" s="706"/>
      <c r="N16" s="706"/>
      <c r="O16" s="706"/>
      <c r="P16" s="706"/>
    </row>
    <row r="17" spans="1:16">
      <c r="A17" s="706"/>
      <c r="B17" s="900"/>
      <c r="C17" s="706"/>
      <c r="D17" s="706"/>
      <c r="E17" s="706"/>
      <c r="F17" s="706"/>
      <c r="G17" s="706"/>
      <c r="H17" s="706"/>
      <c r="I17" s="706"/>
      <c r="J17" s="706"/>
      <c r="K17" s="706"/>
      <c r="L17" s="706"/>
      <c r="M17" s="706"/>
      <c r="N17" s="706"/>
      <c r="O17" s="706"/>
      <c r="P17" s="706"/>
    </row>
    <row r="18" spans="1:16">
      <c r="A18" s="706"/>
      <c r="B18" s="900"/>
      <c r="C18" s="706"/>
      <c r="D18" s="902"/>
      <c r="E18" s="902"/>
      <c r="F18" s="1495" t="s">
        <v>1105</v>
      </c>
      <c r="G18" s="1496"/>
      <c r="H18" s="1497"/>
      <c r="I18" s="706"/>
      <c r="J18" s="1495" t="s">
        <v>1106</v>
      </c>
      <c r="K18" s="1496"/>
      <c r="L18" s="1497"/>
      <c r="M18" s="706"/>
      <c r="N18" s="1495" t="s">
        <v>1107</v>
      </c>
      <c r="O18" s="1497"/>
      <c r="P18" s="706"/>
    </row>
    <row r="19" spans="1:16" ht="12.75" customHeight="1">
      <c r="A19" s="706"/>
      <c r="B19" s="900"/>
      <c r="C19" s="706"/>
      <c r="D19" s="1485" t="s">
        <v>1108</v>
      </c>
      <c r="E19" s="903"/>
      <c r="F19" s="904" t="s">
        <v>1109</v>
      </c>
      <c r="G19" s="904" t="s">
        <v>1110</v>
      </c>
      <c r="H19" s="905" t="s">
        <v>1111</v>
      </c>
      <c r="I19" s="706"/>
      <c r="J19" s="904" t="s">
        <v>1109</v>
      </c>
      <c r="K19" s="906" t="s">
        <v>1110</v>
      </c>
      <c r="L19" s="905" t="s">
        <v>1111</v>
      </c>
      <c r="M19" s="706"/>
      <c r="N19" s="1487" t="s">
        <v>1112</v>
      </c>
      <c r="O19" s="1489" t="s">
        <v>1113</v>
      </c>
      <c r="P19" s="706"/>
    </row>
    <row r="20" spans="1:16">
      <c r="A20" s="706"/>
      <c r="B20" s="900"/>
      <c r="C20" s="706"/>
      <c r="D20" s="1486"/>
      <c r="E20" s="903"/>
      <c r="F20" s="907" t="s">
        <v>831</v>
      </c>
      <c r="G20" s="907"/>
      <c r="H20" s="908" t="s">
        <v>831</v>
      </c>
      <c r="I20" s="706"/>
      <c r="J20" s="907" t="s">
        <v>831</v>
      </c>
      <c r="K20" s="908"/>
      <c r="L20" s="908" t="s">
        <v>831</v>
      </c>
      <c r="M20" s="706"/>
      <c r="N20" s="1488"/>
      <c r="O20" s="1490"/>
      <c r="P20" s="706"/>
    </row>
    <row r="21" spans="1:16">
      <c r="A21" s="706"/>
      <c r="B21" s="909" t="s">
        <v>1089</v>
      </c>
      <c r="C21" s="909"/>
      <c r="D21" s="910" t="s">
        <v>1114</v>
      </c>
      <c r="E21" s="911"/>
      <c r="F21" s="912">
        <v>16.14</v>
      </c>
      <c r="G21" s="913">
        <v>1</v>
      </c>
      <c r="H21" s="914">
        <f>G21*F21</f>
        <v>16.14</v>
      </c>
      <c r="I21" s="915"/>
      <c r="J21" s="916">
        <v>15.79</v>
      </c>
      <c r="K21" s="917">
        <v>1</v>
      </c>
      <c r="L21" s="914">
        <f>K21*J21</f>
        <v>15.79</v>
      </c>
      <c r="M21" s="915"/>
      <c r="N21" s="918">
        <f>L21-H21</f>
        <v>-0.35000000000000142</v>
      </c>
      <c r="O21" s="919">
        <f>IF((H21)=0,"",(N21/H21))</f>
        <v>-2.1685254027261548E-2</v>
      </c>
      <c r="P21" s="706"/>
    </row>
    <row r="22" spans="1:16">
      <c r="A22" s="706"/>
      <c r="B22" s="909" t="s">
        <v>1169</v>
      </c>
      <c r="C22" s="909"/>
      <c r="D22" s="910" t="s">
        <v>1114</v>
      </c>
      <c r="E22" s="911"/>
      <c r="F22" s="912">
        <v>0.78800000000000003</v>
      </c>
      <c r="G22" s="913">
        <v>1</v>
      </c>
      <c r="H22" s="914">
        <f t="shared" ref="H22:H28" si="0">G22*F22</f>
        <v>0.78800000000000003</v>
      </c>
      <c r="I22" s="915"/>
      <c r="J22" s="916">
        <v>0.78800000000000003</v>
      </c>
      <c r="K22" s="917">
        <v>1</v>
      </c>
      <c r="L22" s="914">
        <f>K22*J22</f>
        <v>0.78800000000000003</v>
      </c>
      <c r="M22" s="915"/>
      <c r="N22" s="918">
        <f>L22-H22</f>
        <v>0</v>
      </c>
      <c r="O22" s="919">
        <f>IF((H22)=0,"",(N22/H22))</f>
        <v>0</v>
      </c>
      <c r="P22" s="706"/>
    </row>
    <row r="23" spans="1:16">
      <c r="A23" s="706"/>
      <c r="B23" s="920" t="s">
        <v>1116</v>
      </c>
      <c r="C23" s="909"/>
      <c r="D23" s="910" t="s">
        <v>1114</v>
      </c>
      <c r="E23" s="911"/>
      <c r="F23" s="912">
        <v>0</v>
      </c>
      <c r="G23" s="913">
        <v>1</v>
      </c>
      <c r="H23" s="914">
        <f t="shared" si="0"/>
        <v>0</v>
      </c>
      <c r="I23" s="915"/>
      <c r="J23" s="916">
        <v>0</v>
      </c>
      <c r="K23" s="917">
        <v>1</v>
      </c>
      <c r="L23" s="914">
        <f t="shared" ref="L23:L28" si="1">K23*J23</f>
        <v>0</v>
      </c>
      <c r="M23" s="915"/>
      <c r="N23" s="918">
        <f t="shared" ref="N23:N45" si="2">L23-H23</f>
        <v>0</v>
      </c>
      <c r="O23" s="919" t="str">
        <f t="shared" ref="O23:O29" si="3">IF((H23)=0,"",(N23/H23))</f>
        <v/>
      </c>
      <c r="P23" s="706"/>
    </row>
    <row r="24" spans="1:16">
      <c r="A24" s="706"/>
      <c r="B24" s="909" t="s">
        <v>1117</v>
      </c>
      <c r="C24" s="909"/>
      <c r="D24" s="910" t="s">
        <v>1087</v>
      </c>
      <c r="E24" s="911"/>
      <c r="F24" s="912">
        <v>1.24E-2</v>
      </c>
      <c r="G24" s="913">
        <f>F16</f>
        <v>500</v>
      </c>
      <c r="H24" s="914">
        <f t="shared" si="0"/>
        <v>6.2</v>
      </c>
      <c r="I24" s="915"/>
      <c r="J24" s="916">
        <v>1.21E-2</v>
      </c>
      <c r="K24" s="913">
        <f>F16</f>
        <v>500</v>
      </c>
      <c r="L24" s="914">
        <f t="shared" si="1"/>
        <v>6.05</v>
      </c>
      <c r="M24" s="915"/>
      <c r="N24" s="918">
        <f t="shared" si="2"/>
        <v>-0.15000000000000036</v>
      </c>
      <c r="O24" s="919">
        <f t="shared" si="3"/>
        <v>-2.4193548387096833E-2</v>
      </c>
      <c r="P24" s="706"/>
    </row>
    <row r="25" spans="1:16">
      <c r="A25" s="706"/>
      <c r="B25" s="909" t="s">
        <v>1118</v>
      </c>
      <c r="C25" s="909"/>
      <c r="D25" s="910" t="s">
        <v>1114</v>
      </c>
      <c r="E25" s="911"/>
      <c r="F25" s="912">
        <v>0</v>
      </c>
      <c r="G25" s="913">
        <v>1</v>
      </c>
      <c r="H25" s="914">
        <f t="shared" si="0"/>
        <v>0</v>
      </c>
      <c r="I25" s="915"/>
      <c r="J25" s="916">
        <v>0.28999999999999998</v>
      </c>
      <c r="K25" s="913">
        <v>1</v>
      </c>
      <c r="L25" s="914">
        <f t="shared" si="1"/>
        <v>0.28999999999999998</v>
      </c>
      <c r="M25" s="915"/>
      <c r="N25" s="918">
        <f t="shared" si="2"/>
        <v>0.28999999999999998</v>
      </c>
      <c r="O25" s="919" t="str">
        <f t="shared" si="3"/>
        <v/>
      </c>
      <c r="P25" s="706"/>
    </row>
    <row r="26" spans="1:16">
      <c r="A26" s="706"/>
      <c r="B26" s="909" t="s">
        <v>1119</v>
      </c>
      <c r="C26" s="909"/>
      <c r="D26" s="910" t="s">
        <v>1088</v>
      </c>
      <c r="E26" s="911"/>
      <c r="F26" s="912">
        <v>2.0000000000000001E-4</v>
      </c>
      <c r="G26" s="913">
        <f>F16</f>
        <v>500</v>
      </c>
      <c r="H26" s="914">
        <f t="shared" si="0"/>
        <v>0.1</v>
      </c>
      <c r="I26" s="915"/>
      <c r="J26" s="916">
        <v>0</v>
      </c>
      <c r="K26" s="913">
        <f>F16</f>
        <v>500</v>
      </c>
      <c r="L26" s="914">
        <f t="shared" si="1"/>
        <v>0</v>
      </c>
      <c r="M26" s="915"/>
      <c r="N26" s="918">
        <f t="shared" si="2"/>
        <v>-0.1</v>
      </c>
      <c r="O26" s="919">
        <f t="shared" si="3"/>
        <v>-1</v>
      </c>
      <c r="P26" s="706"/>
    </row>
    <row r="27" spans="1:16">
      <c r="A27" s="706"/>
      <c r="B27" s="921" t="s">
        <v>1120</v>
      </c>
      <c r="C27" s="909"/>
      <c r="D27" s="910" t="s">
        <v>1088</v>
      </c>
      <c r="E27" s="911"/>
      <c r="F27" s="912">
        <v>-5.0000000000000001E-4</v>
      </c>
      <c r="G27" s="913">
        <f>F16</f>
        <v>500</v>
      </c>
      <c r="H27" s="914">
        <f t="shared" si="0"/>
        <v>-0.25</v>
      </c>
      <c r="I27" s="915"/>
      <c r="J27" s="916">
        <v>0</v>
      </c>
      <c r="K27" s="913">
        <f>F16</f>
        <v>500</v>
      </c>
      <c r="L27" s="914">
        <f t="shared" si="1"/>
        <v>0</v>
      </c>
      <c r="M27" s="915"/>
      <c r="N27" s="918">
        <f t="shared" si="2"/>
        <v>0.25</v>
      </c>
      <c r="O27" s="919">
        <f t="shared" si="3"/>
        <v>-1</v>
      </c>
      <c r="P27" s="706"/>
    </row>
    <row r="28" spans="1:16">
      <c r="A28" s="706"/>
      <c r="B28" s="921" t="s">
        <v>1121</v>
      </c>
      <c r="C28" s="909"/>
      <c r="D28" s="910" t="s">
        <v>1114</v>
      </c>
      <c r="E28" s="911"/>
      <c r="F28" s="912">
        <v>0</v>
      </c>
      <c r="G28" s="913">
        <v>1</v>
      </c>
      <c r="H28" s="914">
        <f t="shared" si="0"/>
        <v>0</v>
      </c>
      <c r="I28" s="915"/>
      <c r="J28" s="916">
        <v>0.41</v>
      </c>
      <c r="K28" s="913">
        <v>1</v>
      </c>
      <c r="L28" s="914">
        <f t="shared" si="1"/>
        <v>0.41</v>
      </c>
      <c r="M28" s="915"/>
      <c r="N28" s="918">
        <f t="shared" si="2"/>
        <v>0.41</v>
      </c>
      <c r="O28" s="919" t="str">
        <f t="shared" si="3"/>
        <v/>
      </c>
      <c r="P28" s="706"/>
    </row>
    <row r="29" spans="1:16">
      <c r="A29" s="755"/>
      <c r="B29" s="922" t="s">
        <v>1122</v>
      </c>
      <c r="C29" s="923"/>
      <c r="D29" s="924"/>
      <c r="E29" s="923"/>
      <c r="F29" s="925"/>
      <c r="G29" s="926"/>
      <c r="H29" s="927">
        <f>SUM(H21:H28)</f>
        <v>22.978000000000002</v>
      </c>
      <c r="I29" s="928"/>
      <c r="J29" s="929"/>
      <c r="K29" s="930"/>
      <c r="L29" s="927">
        <f>SUM(L21:L28)</f>
        <v>23.327999999999999</v>
      </c>
      <c r="M29" s="928"/>
      <c r="N29" s="931">
        <f t="shared" si="2"/>
        <v>0.34999999999999787</v>
      </c>
      <c r="O29" s="932">
        <f t="shared" si="3"/>
        <v>1.5231961006179731E-2</v>
      </c>
      <c r="P29" s="755"/>
    </row>
    <row r="30" spans="1:16">
      <c r="A30" s="706"/>
      <c r="B30" s="933" t="s">
        <v>1123</v>
      </c>
      <c r="C30" s="909"/>
      <c r="D30" s="910" t="s">
        <v>1088</v>
      </c>
      <c r="E30" s="911"/>
      <c r="F30" s="912">
        <v>-2.0000000000000001E-4</v>
      </c>
      <c r="G30" s="913">
        <f>F16</f>
        <v>500</v>
      </c>
      <c r="H30" s="914">
        <f>G30*F30</f>
        <v>-0.1</v>
      </c>
      <c r="I30" s="915"/>
      <c r="J30" s="916">
        <v>-1.4E-3</v>
      </c>
      <c r="K30" s="913">
        <f>F16</f>
        <v>500</v>
      </c>
      <c r="L30" s="914">
        <f t="shared" ref="L30:L32" si="4">K30*J30</f>
        <v>-0.7</v>
      </c>
      <c r="M30" s="915"/>
      <c r="N30" s="918">
        <f t="shared" si="2"/>
        <v>-0.6</v>
      </c>
      <c r="O30" s="919">
        <f>IF((H30)=0,"",(N30/H30))</f>
        <v>5.9999999999999991</v>
      </c>
      <c r="P30" s="706"/>
    </row>
    <row r="31" spans="1:16">
      <c r="A31" s="706"/>
      <c r="B31" s="934" t="s">
        <v>1124</v>
      </c>
      <c r="C31" s="909"/>
      <c r="D31" s="910" t="s">
        <v>1087</v>
      </c>
      <c r="E31" s="911"/>
      <c r="F31" s="912">
        <v>2.0000000000000001E-4</v>
      </c>
      <c r="G31" s="913">
        <f>F16</f>
        <v>500</v>
      </c>
      <c r="H31" s="914">
        <f>G31*F31</f>
        <v>0.1</v>
      </c>
      <c r="I31" s="915"/>
      <c r="J31" s="916">
        <v>2.0000000000000001E-4</v>
      </c>
      <c r="K31" s="913">
        <f>F16</f>
        <v>500</v>
      </c>
      <c r="L31" s="914">
        <f t="shared" si="4"/>
        <v>0.1</v>
      </c>
      <c r="M31" s="915"/>
      <c r="N31" s="918">
        <f t="shared" si="2"/>
        <v>0</v>
      </c>
      <c r="O31" s="919">
        <f>IF((H31)=0,"",(N31/H31))</f>
        <v>0</v>
      </c>
      <c r="P31" s="706"/>
    </row>
    <row r="32" spans="1:16">
      <c r="A32" s="706"/>
      <c r="B32" s="934" t="s">
        <v>1125</v>
      </c>
      <c r="C32" s="909"/>
      <c r="D32" s="910"/>
      <c r="E32" s="911"/>
      <c r="F32" s="935"/>
      <c r="G32" s="936"/>
      <c r="H32" s="937"/>
      <c r="I32" s="915"/>
      <c r="J32" s="916"/>
      <c r="K32" s="913">
        <f>F16</f>
        <v>500</v>
      </c>
      <c r="L32" s="914">
        <f t="shared" si="4"/>
        <v>0</v>
      </c>
      <c r="M32" s="915"/>
      <c r="N32" s="918">
        <f t="shared" si="2"/>
        <v>0</v>
      </c>
      <c r="O32" s="919"/>
      <c r="P32" s="706"/>
    </row>
    <row r="33" spans="1:16">
      <c r="A33" s="706"/>
      <c r="B33" s="938" t="s">
        <v>1126</v>
      </c>
      <c r="C33" s="939"/>
      <c r="D33" s="939"/>
      <c r="E33" s="939"/>
      <c r="F33" s="940"/>
      <c r="G33" s="941"/>
      <c r="H33" s="942">
        <f>SUM(H29:H32)</f>
        <v>22.978000000000002</v>
      </c>
      <c r="I33" s="928"/>
      <c r="J33" s="941"/>
      <c r="K33" s="943"/>
      <c r="L33" s="942">
        <f>SUM(L29:L32)</f>
        <v>22.728000000000002</v>
      </c>
      <c r="M33" s="928"/>
      <c r="N33" s="931">
        <f t="shared" si="2"/>
        <v>-0.25</v>
      </c>
      <c r="O33" s="932">
        <f t="shared" ref="O33:O45" si="5">IF((H33)=0,"",(N33/H33))</f>
        <v>-1.0879972147271303E-2</v>
      </c>
      <c r="P33" s="706"/>
    </row>
    <row r="34" spans="1:16">
      <c r="A34" s="706"/>
      <c r="B34" s="915" t="s">
        <v>1127</v>
      </c>
      <c r="C34" s="915"/>
      <c r="D34" s="944" t="s">
        <v>1087</v>
      </c>
      <c r="E34" s="945"/>
      <c r="F34" s="916">
        <v>5.8999999999999999E-3</v>
      </c>
      <c r="G34" s="946">
        <f>F16*(1+F60)</f>
        <v>526.35</v>
      </c>
      <c r="H34" s="914">
        <f>G34*F34</f>
        <v>3.1054650000000001</v>
      </c>
      <c r="I34" s="915"/>
      <c r="J34" s="916">
        <v>5.8999999999999999E-3</v>
      </c>
      <c r="K34" s="947">
        <f>F16*(1+J60)</f>
        <v>527</v>
      </c>
      <c r="L34" s="914">
        <f>K34*J34</f>
        <v>3.1092999999999997</v>
      </c>
      <c r="M34" s="915"/>
      <c r="N34" s="918">
        <f t="shared" si="2"/>
        <v>3.8349999999995887E-3</v>
      </c>
      <c r="O34" s="919">
        <f t="shared" si="5"/>
        <v>1.2349197302174034E-3</v>
      </c>
      <c r="P34" s="706"/>
    </row>
    <row r="35" spans="1:16">
      <c r="A35" s="706"/>
      <c r="B35" s="948" t="s">
        <v>1128</v>
      </c>
      <c r="C35" s="915"/>
      <c r="D35" s="944" t="s">
        <v>1087</v>
      </c>
      <c r="E35" s="945"/>
      <c r="F35" s="916">
        <v>3.7000000000000002E-3</v>
      </c>
      <c r="G35" s="946">
        <f>G34</f>
        <v>526.35</v>
      </c>
      <c r="H35" s="914">
        <f>G35*F35</f>
        <v>1.9474950000000002</v>
      </c>
      <c r="I35" s="915"/>
      <c r="J35" s="916">
        <v>3.5999999999999999E-3</v>
      </c>
      <c r="K35" s="947">
        <f>K34</f>
        <v>527</v>
      </c>
      <c r="L35" s="914">
        <f>K35*J35</f>
        <v>1.8972</v>
      </c>
      <c r="M35" s="915"/>
      <c r="N35" s="918">
        <f t="shared" si="2"/>
        <v>-5.0295000000000201E-2</v>
      </c>
      <c r="O35" s="919">
        <f t="shared" si="5"/>
        <v>-2.5825483505734388E-2</v>
      </c>
      <c r="P35" s="706"/>
    </row>
    <row r="36" spans="1:16">
      <c r="A36" s="706"/>
      <c r="B36" s="938" t="s">
        <v>1129</v>
      </c>
      <c r="C36" s="923"/>
      <c r="D36" s="923"/>
      <c r="E36" s="923"/>
      <c r="F36" s="949"/>
      <c r="G36" s="941"/>
      <c r="H36" s="942">
        <f>SUM(H33:H35)</f>
        <v>28.03096</v>
      </c>
      <c r="I36" s="950"/>
      <c r="J36" s="951"/>
      <c r="K36" s="952"/>
      <c r="L36" s="942">
        <f>SUM(L33:L35)</f>
        <v>27.734500000000004</v>
      </c>
      <c r="M36" s="950"/>
      <c r="N36" s="931">
        <f t="shared" si="2"/>
        <v>-0.29645999999999617</v>
      </c>
      <c r="O36" s="932">
        <f t="shared" si="5"/>
        <v>-1.0576162928419012E-2</v>
      </c>
      <c r="P36" s="706"/>
    </row>
    <row r="37" spans="1:16">
      <c r="A37" s="706"/>
      <c r="B37" s="953" t="s">
        <v>1130</v>
      </c>
      <c r="C37" s="909"/>
      <c r="D37" s="910" t="s">
        <v>1087</v>
      </c>
      <c r="E37" s="911"/>
      <c r="F37" s="954">
        <v>4.4000000000000003E-3</v>
      </c>
      <c r="G37" s="946">
        <f>F16*(1+F60)</f>
        <v>526.35</v>
      </c>
      <c r="H37" s="955">
        <f t="shared" ref="H37:H40" si="6">G37*F37</f>
        <v>2.3159400000000003</v>
      </c>
      <c r="I37" s="915"/>
      <c r="J37" s="956">
        <v>4.4000000000000003E-3</v>
      </c>
      <c r="K37" s="947">
        <f>F16*(1+J60)</f>
        <v>527</v>
      </c>
      <c r="L37" s="955">
        <f t="shared" ref="L37:L40" si="7">K37*J37</f>
        <v>2.3188</v>
      </c>
      <c r="M37" s="915"/>
      <c r="N37" s="918">
        <f t="shared" si="2"/>
        <v>2.8599999999996406E-3</v>
      </c>
      <c r="O37" s="957">
        <f t="shared" si="5"/>
        <v>1.2349197302173806E-3</v>
      </c>
      <c r="P37" s="706"/>
    </row>
    <row r="38" spans="1:16">
      <c r="A38" s="706"/>
      <c r="B38" s="953" t="s">
        <v>1131</v>
      </c>
      <c r="C38" s="909"/>
      <c r="D38" s="910" t="s">
        <v>1087</v>
      </c>
      <c r="E38" s="911"/>
      <c r="F38" s="954">
        <v>1.1999999999999999E-3</v>
      </c>
      <c r="G38" s="946">
        <f>F16*(1+F60)</f>
        <v>526.35</v>
      </c>
      <c r="H38" s="955">
        <f t="shared" si="6"/>
        <v>0.63161999999999996</v>
      </c>
      <c r="I38" s="915"/>
      <c r="J38" s="956">
        <v>1.1999999999999999E-3</v>
      </c>
      <c r="K38" s="947">
        <f>F16*(1+J60)</f>
        <v>527</v>
      </c>
      <c r="L38" s="955">
        <f t="shared" si="7"/>
        <v>0.63239999999999996</v>
      </c>
      <c r="M38" s="915"/>
      <c r="N38" s="918">
        <f t="shared" si="2"/>
        <v>7.8000000000000291E-4</v>
      </c>
      <c r="O38" s="957">
        <f t="shared" si="5"/>
        <v>1.2349197302175406E-3</v>
      </c>
      <c r="P38" s="706"/>
    </row>
    <row r="39" spans="1:16">
      <c r="A39" s="706"/>
      <c r="B39" s="909" t="s">
        <v>1132</v>
      </c>
      <c r="C39" s="909"/>
      <c r="D39" s="910"/>
      <c r="E39" s="911"/>
      <c r="F39" s="954">
        <v>0.25</v>
      </c>
      <c r="G39" s="913">
        <v>1</v>
      </c>
      <c r="H39" s="955">
        <f t="shared" si="6"/>
        <v>0.25</v>
      </c>
      <c r="I39" s="915"/>
      <c r="J39" s="956">
        <v>0.25</v>
      </c>
      <c r="K39" s="917">
        <v>1</v>
      </c>
      <c r="L39" s="955">
        <f t="shared" si="7"/>
        <v>0.25</v>
      </c>
      <c r="M39" s="915"/>
      <c r="N39" s="918">
        <f t="shared" si="2"/>
        <v>0</v>
      </c>
      <c r="O39" s="957">
        <f t="shared" si="5"/>
        <v>0</v>
      </c>
      <c r="P39" s="706"/>
    </row>
    <row r="40" spans="1:16">
      <c r="A40" s="706"/>
      <c r="B40" s="909" t="s">
        <v>1133</v>
      </c>
      <c r="C40" s="909"/>
      <c r="D40" s="910" t="s">
        <v>1087</v>
      </c>
      <c r="E40" s="911"/>
      <c r="F40" s="954">
        <v>7.0000000000000001E-3</v>
      </c>
      <c r="G40" s="946">
        <f>F16</f>
        <v>500</v>
      </c>
      <c r="H40" s="955">
        <f t="shared" si="6"/>
        <v>3.5</v>
      </c>
      <c r="I40" s="915"/>
      <c r="J40" s="956">
        <v>7.0000000000000001E-3</v>
      </c>
      <c r="K40" s="947">
        <f>F16</f>
        <v>500</v>
      </c>
      <c r="L40" s="955">
        <f t="shared" si="7"/>
        <v>3.5</v>
      </c>
      <c r="M40" s="915"/>
      <c r="N40" s="918">
        <f t="shared" si="2"/>
        <v>0</v>
      </c>
      <c r="O40" s="957">
        <f t="shared" si="5"/>
        <v>0</v>
      </c>
      <c r="P40" s="706"/>
    </row>
    <row r="41" spans="1:16">
      <c r="A41" s="706"/>
      <c r="B41" s="934" t="s">
        <v>1134</v>
      </c>
      <c r="C41" s="909"/>
      <c r="D41" s="910" t="s">
        <v>1087</v>
      </c>
      <c r="E41" s="911"/>
      <c r="F41" s="958">
        <v>7.3999999999999996E-2</v>
      </c>
      <c r="G41" s="946">
        <f>IF($F$16&gt;=600,600,$F$16*(1+F60))</f>
        <v>526.35</v>
      </c>
      <c r="H41" s="955">
        <f>G41*F41</f>
        <v>38.9499</v>
      </c>
      <c r="I41" s="915"/>
      <c r="J41" s="954">
        <v>7.3999999999999996E-2</v>
      </c>
      <c r="K41" s="946">
        <f>IF($F$16&gt;=600,600,$F$16*(1+J60))</f>
        <v>527</v>
      </c>
      <c r="L41" s="955">
        <f>K41*J41</f>
        <v>38.997999999999998</v>
      </c>
      <c r="M41" s="915"/>
      <c r="N41" s="918">
        <f t="shared" si="2"/>
        <v>4.8099999999998033E-2</v>
      </c>
      <c r="O41" s="957">
        <f t="shared" si="5"/>
        <v>1.2349197302174853E-3</v>
      </c>
      <c r="P41" s="706"/>
    </row>
    <row r="42" spans="1:16">
      <c r="A42" s="706"/>
      <c r="B42" s="934" t="s">
        <v>1135</v>
      </c>
      <c r="C42" s="909"/>
      <c r="D42" s="910" t="s">
        <v>1087</v>
      </c>
      <c r="E42" s="911"/>
      <c r="F42" s="958">
        <v>8.6999999999999994E-2</v>
      </c>
      <c r="G42" s="946">
        <f>IF($F$16&gt;=600,$F$16-600,0)</f>
        <v>0</v>
      </c>
      <c r="H42" s="955">
        <f>G42*F42</f>
        <v>0</v>
      </c>
      <c r="I42" s="915"/>
      <c r="J42" s="954">
        <v>8.6999999999999994E-2</v>
      </c>
      <c r="K42" s="946">
        <f>IF($F$16&gt;=600,$F$16-600,0)</f>
        <v>0</v>
      </c>
      <c r="L42" s="955">
        <f>K42*J42</f>
        <v>0</v>
      </c>
      <c r="M42" s="915"/>
      <c r="N42" s="918">
        <f t="shared" si="2"/>
        <v>0</v>
      </c>
      <c r="O42" s="957" t="str">
        <f t="shared" si="5"/>
        <v/>
      </c>
      <c r="P42" s="706"/>
    </row>
    <row r="43" spans="1:16">
      <c r="A43" s="706"/>
      <c r="B43" s="934" t="s">
        <v>1136</v>
      </c>
      <c r="C43" s="909"/>
      <c r="D43" s="910" t="s">
        <v>1087</v>
      </c>
      <c r="E43" s="911"/>
      <c r="F43" s="958">
        <v>6.3E-2</v>
      </c>
      <c r="G43" s="959">
        <f>0.64*$F$16*(1+F60)</f>
        <v>336.86399999999998</v>
      </c>
      <c r="H43" s="955">
        <f t="shared" ref="H43:H45" si="8">G43*F43</f>
        <v>21.222431999999998</v>
      </c>
      <c r="I43" s="915"/>
      <c r="J43" s="954">
        <v>6.3E-2</v>
      </c>
      <c r="K43" s="959">
        <f>0.64*$F$16*(1+J60)</f>
        <v>337.28000000000003</v>
      </c>
      <c r="L43" s="955">
        <f t="shared" ref="L43:L45" si="9">K43*J43</f>
        <v>21.248640000000002</v>
      </c>
      <c r="M43" s="915"/>
      <c r="N43" s="918">
        <f t="shared" si="2"/>
        <v>2.6208000000004006E-2</v>
      </c>
      <c r="O43" s="957">
        <f t="shared" si="5"/>
        <v>1.2349197302177247E-3</v>
      </c>
      <c r="P43" s="706"/>
    </row>
    <row r="44" spans="1:16">
      <c r="A44" s="706"/>
      <c r="B44" s="934" t="s">
        <v>1137</v>
      </c>
      <c r="C44" s="909"/>
      <c r="D44" s="910" t="s">
        <v>1087</v>
      </c>
      <c r="E44" s="911"/>
      <c r="F44" s="958">
        <v>9.9000000000000005E-2</v>
      </c>
      <c r="G44" s="959">
        <f>0.18*$F$16*(1+F60)</f>
        <v>94.742999999999995</v>
      </c>
      <c r="H44" s="955">
        <f t="shared" si="8"/>
        <v>9.3795570000000001</v>
      </c>
      <c r="I44" s="915"/>
      <c r="J44" s="954">
        <v>9.9000000000000005E-2</v>
      </c>
      <c r="K44" s="959">
        <f>0.18*$F$16*(1+J60)</f>
        <v>94.86</v>
      </c>
      <c r="L44" s="955">
        <f t="shared" si="9"/>
        <v>9.39114</v>
      </c>
      <c r="M44" s="915"/>
      <c r="N44" s="918">
        <f t="shared" si="2"/>
        <v>1.1582999999999899E-2</v>
      </c>
      <c r="O44" s="957">
        <f t="shared" si="5"/>
        <v>1.234919730217525E-3</v>
      </c>
      <c r="P44" s="706"/>
    </row>
    <row r="45" spans="1:16" ht="13.5" thickBot="1">
      <c r="A45" s="706"/>
      <c r="B45" s="900" t="s">
        <v>1138</v>
      </c>
      <c r="C45" s="909"/>
      <c r="D45" s="910" t="s">
        <v>1087</v>
      </c>
      <c r="E45" s="911"/>
      <c r="F45" s="958">
        <v>0.11799999999999999</v>
      </c>
      <c r="G45" s="959">
        <f>0.18*$F$16*(1+F60)</f>
        <v>94.742999999999995</v>
      </c>
      <c r="H45" s="955">
        <f t="shared" si="8"/>
        <v>11.179673999999999</v>
      </c>
      <c r="I45" s="915"/>
      <c r="J45" s="954">
        <v>0.11799999999999999</v>
      </c>
      <c r="K45" s="959">
        <f>0.18*$F$16*(1+J60)</f>
        <v>94.86</v>
      </c>
      <c r="L45" s="955">
        <f t="shared" si="9"/>
        <v>11.193479999999999</v>
      </c>
      <c r="M45" s="915"/>
      <c r="N45" s="918">
        <f t="shared" si="2"/>
        <v>1.3806000000000651E-2</v>
      </c>
      <c r="O45" s="957">
        <f t="shared" si="5"/>
        <v>1.2349197302175942E-3</v>
      </c>
      <c r="P45" s="706"/>
    </row>
    <row r="46" spans="1:16" ht="13.5" thickBot="1">
      <c r="A46" s="706"/>
      <c r="B46" s="960"/>
      <c r="C46" s="961"/>
      <c r="D46" s="962"/>
      <c r="E46" s="961"/>
      <c r="F46" s="963"/>
      <c r="G46" s="964"/>
      <c r="H46" s="965"/>
      <c r="I46" s="966"/>
      <c r="J46" s="963"/>
      <c r="K46" s="967"/>
      <c r="L46" s="965"/>
      <c r="M46" s="966"/>
      <c r="N46" s="968"/>
      <c r="O46" s="969"/>
      <c r="P46" s="706"/>
    </row>
    <row r="47" spans="1:16">
      <c r="A47" s="706"/>
      <c r="B47" s="970" t="s">
        <v>1139</v>
      </c>
      <c r="C47" s="909"/>
      <c r="D47" s="909"/>
      <c r="E47" s="909"/>
      <c r="F47" s="971"/>
      <c r="G47" s="972"/>
      <c r="H47" s="973">
        <f>SUM(H36:H42)</f>
        <v>73.678420000000003</v>
      </c>
      <c r="I47" s="974"/>
      <c r="J47" s="975"/>
      <c r="K47" s="975"/>
      <c r="L47" s="976">
        <f>SUM(L36:L42)</f>
        <v>73.433700000000002</v>
      </c>
      <c r="M47" s="977"/>
      <c r="N47" s="978">
        <f t="shared" ref="N47:N51" si="10">L47-H47</f>
        <v>-0.24472000000000094</v>
      </c>
      <c r="O47" s="979">
        <f t="shared" ref="O47:O51" si="11">IF((H47)=0,"",(N47/H47))</f>
        <v>-3.3214610193866932E-3</v>
      </c>
      <c r="P47" s="706"/>
    </row>
    <row r="48" spans="1:16">
      <c r="A48" s="706"/>
      <c r="B48" s="980" t="s">
        <v>1140</v>
      </c>
      <c r="C48" s="909"/>
      <c r="D48" s="909"/>
      <c r="E48" s="909"/>
      <c r="F48" s="981">
        <v>0.13</v>
      </c>
      <c r="G48" s="972"/>
      <c r="H48" s="982">
        <f>H47*F48</f>
        <v>9.5781946000000016</v>
      </c>
      <c r="I48" s="983"/>
      <c r="J48" s="984">
        <v>0.13</v>
      </c>
      <c r="K48" s="985"/>
      <c r="L48" s="986">
        <f>L47*J48</f>
        <v>9.5463810000000002</v>
      </c>
      <c r="M48" s="987"/>
      <c r="N48" s="988">
        <f t="shared" si="10"/>
        <v>-3.181360000000133E-2</v>
      </c>
      <c r="O48" s="989">
        <f t="shared" si="11"/>
        <v>-3.3214610193868189E-3</v>
      </c>
      <c r="P48" s="706"/>
    </row>
    <row r="49" spans="1:16">
      <c r="A49" s="706"/>
      <c r="B49" s="990" t="s">
        <v>1141</v>
      </c>
      <c r="C49" s="909"/>
      <c r="D49" s="909"/>
      <c r="E49" s="909"/>
      <c r="F49" s="991"/>
      <c r="G49" s="992"/>
      <c r="H49" s="982">
        <f>H47+H48</f>
        <v>83.256614600000006</v>
      </c>
      <c r="I49" s="983"/>
      <c r="J49" s="983"/>
      <c r="K49" s="983"/>
      <c r="L49" s="986">
        <f>L47+L48</f>
        <v>82.980080999999998</v>
      </c>
      <c r="M49" s="987"/>
      <c r="N49" s="988">
        <f t="shared" si="10"/>
        <v>-0.2765336000000076</v>
      </c>
      <c r="O49" s="989">
        <f t="shared" si="11"/>
        <v>-3.3214610193867716E-3</v>
      </c>
      <c r="P49" s="706"/>
    </row>
    <row r="50" spans="1:16" ht="12.75" customHeight="1">
      <c r="A50" s="706"/>
      <c r="B50" s="1491" t="s">
        <v>1142</v>
      </c>
      <c r="C50" s="1491"/>
      <c r="D50" s="1491"/>
      <c r="E50" s="909"/>
      <c r="F50" s="991"/>
      <c r="G50" s="992"/>
      <c r="H50" s="993">
        <f>ROUND(-H49*10%,2)</f>
        <v>-8.33</v>
      </c>
      <c r="I50" s="983"/>
      <c r="J50" s="983"/>
      <c r="K50" s="983"/>
      <c r="L50" s="994">
        <f>ROUND(-L49*10%,2)</f>
        <v>-8.3000000000000007</v>
      </c>
      <c r="M50" s="987"/>
      <c r="N50" s="995">
        <f t="shared" si="10"/>
        <v>2.9999999999999361E-2</v>
      </c>
      <c r="O50" s="996">
        <f t="shared" si="11"/>
        <v>-3.6014405762304154E-3</v>
      </c>
      <c r="P50" s="706"/>
    </row>
    <row r="51" spans="1:16" ht="13.5" customHeight="1" thickBot="1">
      <c r="A51" s="706"/>
      <c r="B51" s="1484" t="s">
        <v>1143</v>
      </c>
      <c r="C51" s="1484"/>
      <c r="D51" s="1484"/>
      <c r="E51" s="997"/>
      <c r="F51" s="998"/>
      <c r="G51" s="999"/>
      <c r="H51" s="1000">
        <f>SUM(H49:H50)</f>
        <v>74.926614600000008</v>
      </c>
      <c r="I51" s="1001"/>
      <c r="J51" s="1001"/>
      <c r="K51" s="1001"/>
      <c r="L51" s="1002">
        <f>SUM(L49:L50)</f>
        <v>74.680081000000001</v>
      </c>
      <c r="M51" s="1003"/>
      <c r="N51" s="1004">
        <f t="shared" si="10"/>
        <v>-0.24653360000000646</v>
      </c>
      <c r="O51" s="1005">
        <f t="shared" si="11"/>
        <v>-3.290334166519335E-3</v>
      </c>
      <c r="P51" s="706"/>
    </row>
    <row r="52" spans="1:16" ht="13.5" thickBot="1">
      <c r="A52" s="706"/>
      <c r="B52" s="960"/>
      <c r="C52" s="961"/>
      <c r="D52" s="962"/>
      <c r="E52" s="961"/>
      <c r="F52" s="1006"/>
      <c r="G52" s="1007"/>
      <c r="H52" s="1008"/>
      <c r="I52" s="1009"/>
      <c r="J52" s="1006"/>
      <c r="K52" s="964"/>
      <c r="L52" s="1010"/>
      <c r="M52" s="966"/>
      <c r="N52" s="1011"/>
      <c r="O52" s="969"/>
      <c r="P52" s="706"/>
    </row>
    <row r="53" spans="1:16">
      <c r="A53" s="706"/>
      <c r="B53" s="970" t="s">
        <v>1144</v>
      </c>
      <c r="C53" s="909"/>
      <c r="D53" s="909"/>
      <c r="E53" s="909"/>
      <c r="F53" s="971"/>
      <c r="G53" s="972"/>
      <c r="H53" s="973">
        <f>SUM(H36:H40,H43:H45)</f>
        <v>76.510183000000012</v>
      </c>
      <c r="I53" s="974"/>
      <c r="J53" s="975"/>
      <c r="K53" s="975"/>
      <c r="L53" s="1012">
        <f>SUM(L36:L40,L43:L45)</f>
        <v>76.268959999999993</v>
      </c>
      <c r="M53" s="977"/>
      <c r="N53" s="978">
        <f>L53-H53</f>
        <v>-0.24122300000001928</v>
      </c>
      <c r="O53" s="979">
        <f>IF((H53)=0,"",(N53/H53))</f>
        <v>-3.1528221544055023E-3</v>
      </c>
      <c r="P53" s="706"/>
    </row>
    <row r="54" spans="1:16">
      <c r="A54" s="706"/>
      <c r="B54" s="980" t="s">
        <v>1140</v>
      </c>
      <c r="C54" s="909"/>
      <c r="D54" s="909"/>
      <c r="E54" s="909"/>
      <c r="F54" s="981">
        <v>0.13</v>
      </c>
      <c r="G54" s="992"/>
      <c r="H54" s="982">
        <f>H53*F54</f>
        <v>9.9463237900000028</v>
      </c>
      <c r="I54" s="983"/>
      <c r="J54" s="1013">
        <v>0.13</v>
      </c>
      <c r="K54" s="983"/>
      <c r="L54" s="986">
        <f>L53*J54</f>
        <v>9.9149647999999999</v>
      </c>
      <c r="M54" s="987"/>
      <c r="N54" s="988">
        <f t="shared" ref="N54:N57" si="12">L54-H54</f>
        <v>-3.1358990000002862E-2</v>
      </c>
      <c r="O54" s="989">
        <f t="shared" ref="O54:O57" si="13">IF((H54)=0,"",(N54/H54))</f>
        <v>-3.1528221544055378E-3</v>
      </c>
      <c r="P54" s="706"/>
    </row>
    <row r="55" spans="1:16">
      <c r="A55" s="706"/>
      <c r="B55" s="990" t="s">
        <v>1141</v>
      </c>
      <c r="C55" s="909"/>
      <c r="D55" s="909"/>
      <c r="E55" s="909"/>
      <c r="F55" s="991"/>
      <c r="G55" s="992"/>
      <c r="H55" s="982">
        <f>H53+H54</f>
        <v>86.45650679000002</v>
      </c>
      <c r="I55" s="983"/>
      <c r="J55" s="983"/>
      <c r="K55" s="983"/>
      <c r="L55" s="986">
        <f>L53+L54</f>
        <v>86.1839248</v>
      </c>
      <c r="M55" s="987"/>
      <c r="N55" s="988">
        <f t="shared" si="12"/>
        <v>-0.27258199000002037</v>
      </c>
      <c r="O55" s="989">
        <f t="shared" si="13"/>
        <v>-3.1528221544054858E-3</v>
      </c>
      <c r="P55" s="706"/>
    </row>
    <row r="56" spans="1:16" ht="12.75" customHeight="1">
      <c r="A56" s="706"/>
      <c r="B56" s="1491" t="s">
        <v>1142</v>
      </c>
      <c r="C56" s="1491"/>
      <c r="D56" s="1491"/>
      <c r="E56" s="909"/>
      <c r="F56" s="991"/>
      <c r="G56" s="992"/>
      <c r="H56" s="993">
        <f>ROUND(-H55*10%,2)</f>
        <v>-8.65</v>
      </c>
      <c r="I56" s="983"/>
      <c r="J56" s="983"/>
      <c r="K56" s="983"/>
      <c r="L56" s="994">
        <f>ROUND(-L55*10%,2)</f>
        <v>-8.6199999999999992</v>
      </c>
      <c r="M56" s="987"/>
      <c r="N56" s="995">
        <f t="shared" si="12"/>
        <v>3.0000000000001137E-2</v>
      </c>
      <c r="O56" s="996">
        <f t="shared" si="13"/>
        <v>-3.4682080924856805E-3</v>
      </c>
      <c r="P56" s="706"/>
    </row>
    <row r="57" spans="1:16" ht="13.5" customHeight="1" thickBot="1">
      <c r="A57" s="706"/>
      <c r="B57" s="1484" t="s">
        <v>1145</v>
      </c>
      <c r="C57" s="1484"/>
      <c r="D57" s="1484"/>
      <c r="E57" s="997"/>
      <c r="F57" s="1014"/>
      <c r="G57" s="1015"/>
      <c r="H57" s="1016">
        <f>H55+H56</f>
        <v>77.806506790000014</v>
      </c>
      <c r="I57" s="1017"/>
      <c r="J57" s="1017"/>
      <c r="K57" s="1017"/>
      <c r="L57" s="1018">
        <f>L55+L56</f>
        <v>77.563924799999995</v>
      </c>
      <c r="M57" s="1019"/>
      <c r="N57" s="1020">
        <f t="shared" si="12"/>
        <v>-0.24258199000001923</v>
      </c>
      <c r="O57" s="1021">
        <f t="shared" si="13"/>
        <v>-3.1177596837080571E-3</v>
      </c>
      <c r="P57" s="706"/>
    </row>
    <row r="58" spans="1:16" ht="13.5" thickBot="1">
      <c r="A58" s="706"/>
      <c r="B58" s="960"/>
      <c r="C58" s="961"/>
      <c r="D58" s="962"/>
      <c r="E58" s="961"/>
      <c r="F58" s="1006"/>
      <c r="G58" s="1007"/>
      <c r="H58" s="1008"/>
      <c r="I58" s="1009"/>
      <c r="J58" s="1006"/>
      <c r="K58" s="964"/>
      <c r="L58" s="1010"/>
      <c r="M58" s="966"/>
      <c r="N58" s="1011"/>
      <c r="O58" s="969"/>
      <c r="P58" s="706"/>
    </row>
    <row r="59" spans="1:16">
      <c r="A59" s="706"/>
      <c r="B59" s="706"/>
      <c r="C59" s="706"/>
      <c r="D59" s="706"/>
      <c r="E59" s="706"/>
      <c r="F59" s="706"/>
      <c r="G59" s="706"/>
      <c r="H59" s="706"/>
      <c r="I59" s="706"/>
      <c r="J59" s="706"/>
      <c r="K59" s="706"/>
      <c r="L59" s="1022"/>
      <c r="M59" s="706"/>
      <c r="N59" s="706"/>
      <c r="O59" s="706"/>
      <c r="P59" s="706"/>
    </row>
    <row r="60" spans="1:16">
      <c r="A60" s="706"/>
      <c r="B60" s="711" t="s">
        <v>1146</v>
      </c>
      <c r="C60" s="706"/>
      <c r="D60" s="706"/>
      <c r="E60" s="706"/>
      <c r="F60" s="1023">
        <v>5.2699999999999969E-2</v>
      </c>
      <c r="G60" s="706"/>
      <c r="H60" s="706"/>
      <c r="I60" s="706"/>
      <c r="J60" s="1023">
        <v>5.3999999999999999E-2</v>
      </c>
      <c r="K60" s="706"/>
      <c r="L60" s="706"/>
      <c r="M60" s="706"/>
      <c r="N60" s="706"/>
      <c r="O60" s="706"/>
      <c r="P60" s="706"/>
    </row>
    <row r="61" spans="1:16">
      <c r="A61" s="706"/>
      <c r="B61" s="706"/>
      <c r="C61" s="706"/>
      <c r="D61" s="706"/>
      <c r="E61" s="706"/>
      <c r="F61" s="706"/>
      <c r="G61" s="706"/>
      <c r="H61" s="706"/>
      <c r="I61" s="706"/>
      <c r="J61" s="706"/>
      <c r="K61" s="706"/>
      <c r="L61" s="706"/>
      <c r="M61" s="706"/>
      <c r="N61" s="706"/>
      <c r="O61" s="706"/>
      <c r="P61" s="706"/>
    </row>
    <row r="62" spans="1:16" ht="14.25">
      <c r="A62" s="1024" t="s">
        <v>1147</v>
      </c>
      <c r="B62" s="706"/>
      <c r="C62" s="706"/>
      <c r="D62" s="706"/>
      <c r="E62" s="706"/>
      <c r="F62" s="706"/>
      <c r="G62" s="706"/>
      <c r="H62" s="706"/>
      <c r="I62" s="706"/>
      <c r="J62" s="706"/>
      <c r="K62" s="706"/>
      <c r="L62" s="706"/>
      <c r="M62" s="706"/>
      <c r="N62" s="706"/>
      <c r="O62" s="706"/>
      <c r="P62" s="706"/>
    </row>
    <row r="63" spans="1:16">
      <c r="A63" s="706"/>
      <c r="B63" s="706"/>
      <c r="C63" s="706"/>
      <c r="D63" s="706"/>
      <c r="E63" s="706"/>
      <c r="F63" s="706"/>
      <c r="G63" s="706"/>
      <c r="H63" s="706"/>
      <c r="I63" s="706"/>
      <c r="J63" s="706"/>
      <c r="K63" s="706"/>
      <c r="L63" s="706"/>
      <c r="M63" s="706"/>
      <c r="N63" s="706"/>
      <c r="O63" s="706"/>
      <c r="P63" s="706"/>
    </row>
    <row r="64" spans="1:16">
      <c r="A64" s="706" t="s">
        <v>1148</v>
      </c>
      <c r="B64" s="706"/>
      <c r="C64" s="706"/>
      <c r="D64" s="706"/>
      <c r="E64" s="706"/>
      <c r="F64" s="706"/>
      <c r="G64" s="706"/>
      <c r="H64" s="706"/>
      <c r="I64" s="706"/>
      <c r="J64" s="706"/>
      <c r="K64" s="706"/>
      <c r="L64" s="706"/>
      <c r="M64" s="706"/>
      <c r="N64" s="706"/>
      <c r="O64" s="706"/>
      <c r="P64" s="706"/>
    </row>
    <row r="65" spans="1:16">
      <c r="A65" s="706" t="s">
        <v>1149</v>
      </c>
      <c r="B65" s="706"/>
      <c r="C65" s="706"/>
      <c r="D65" s="706"/>
      <c r="E65" s="706"/>
      <c r="F65" s="706"/>
      <c r="G65" s="706"/>
      <c r="H65" s="706"/>
      <c r="I65" s="706"/>
      <c r="J65" s="706"/>
      <c r="K65" s="706"/>
      <c r="L65" s="706"/>
      <c r="M65" s="706"/>
      <c r="N65" s="706"/>
      <c r="O65" s="706"/>
      <c r="P65" s="706"/>
    </row>
    <row r="66" spans="1:16">
      <c r="A66" s="706"/>
      <c r="B66" s="706"/>
      <c r="C66" s="706"/>
      <c r="D66" s="706"/>
      <c r="E66" s="706"/>
      <c r="F66" s="706"/>
      <c r="G66" s="706"/>
      <c r="H66" s="706"/>
      <c r="I66" s="706"/>
      <c r="J66" s="706"/>
      <c r="K66" s="706"/>
      <c r="L66" s="706"/>
      <c r="M66" s="706"/>
      <c r="N66" s="706"/>
      <c r="O66" s="706"/>
      <c r="P66" s="706"/>
    </row>
    <row r="67" spans="1:16">
      <c r="A67" s="706" t="s">
        <v>1150</v>
      </c>
      <c r="B67" s="706"/>
      <c r="C67" s="706"/>
      <c r="D67" s="706"/>
      <c r="E67" s="706"/>
      <c r="F67" s="706"/>
      <c r="G67" s="706"/>
      <c r="H67" s="706"/>
      <c r="I67" s="706"/>
      <c r="J67" s="706"/>
      <c r="K67" s="706"/>
      <c r="L67" s="706"/>
      <c r="M67" s="706"/>
      <c r="N67" s="706"/>
      <c r="O67" s="706"/>
      <c r="P67" s="706"/>
    </row>
    <row r="68" spans="1:16">
      <c r="A68" s="706" t="s">
        <v>1151</v>
      </c>
      <c r="B68" s="706"/>
      <c r="C68" s="706"/>
      <c r="D68" s="706"/>
      <c r="E68" s="706"/>
      <c r="F68" s="706"/>
      <c r="G68" s="706"/>
      <c r="H68" s="706"/>
      <c r="I68" s="706"/>
      <c r="J68" s="706"/>
      <c r="K68" s="706"/>
      <c r="L68" s="706"/>
      <c r="M68" s="706"/>
      <c r="N68" s="706"/>
      <c r="O68" s="706"/>
      <c r="P68" s="706"/>
    </row>
    <row r="69" spans="1:16">
      <c r="A69" s="706"/>
      <c r="B69" s="706"/>
      <c r="C69" s="706"/>
      <c r="D69" s="706"/>
      <c r="E69" s="706"/>
      <c r="F69" s="706"/>
      <c r="G69" s="706"/>
      <c r="H69" s="706"/>
      <c r="I69" s="706"/>
      <c r="J69" s="706"/>
      <c r="K69" s="706"/>
      <c r="L69" s="706"/>
      <c r="M69" s="706"/>
      <c r="N69" s="706"/>
      <c r="O69" s="706"/>
      <c r="P69" s="706"/>
    </row>
    <row r="70" spans="1:16">
      <c r="A70" s="706" t="s">
        <v>1152</v>
      </c>
      <c r="B70" s="706"/>
      <c r="C70" s="706"/>
      <c r="D70" s="706"/>
      <c r="E70" s="706"/>
      <c r="F70" s="706"/>
      <c r="G70" s="706"/>
      <c r="H70" s="706"/>
      <c r="I70" s="706"/>
      <c r="J70" s="706"/>
      <c r="K70" s="706"/>
      <c r="L70" s="706"/>
      <c r="M70" s="706"/>
      <c r="N70" s="706"/>
      <c r="O70" s="706"/>
      <c r="P70" s="706"/>
    </row>
    <row r="71" spans="1:16">
      <c r="A71" s="706" t="s">
        <v>1153</v>
      </c>
      <c r="B71" s="706"/>
      <c r="C71" s="706"/>
      <c r="D71" s="706"/>
      <c r="E71" s="706"/>
      <c r="F71" s="706"/>
      <c r="G71" s="706"/>
      <c r="H71" s="706"/>
      <c r="I71" s="706"/>
      <c r="J71" s="706"/>
      <c r="K71" s="706"/>
      <c r="L71" s="706"/>
      <c r="M71" s="706"/>
      <c r="N71" s="706"/>
      <c r="O71" s="706"/>
      <c r="P71" s="706"/>
    </row>
    <row r="72" spans="1:16">
      <c r="A72" s="706" t="s">
        <v>1154</v>
      </c>
      <c r="B72" s="706"/>
      <c r="C72" s="706"/>
      <c r="D72" s="706"/>
      <c r="E72" s="706"/>
      <c r="F72" s="706"/>
      <c r="G72" s="706"/>
      <c r="H72" s="706"/>
      <c r="I72" s="706"/>
      <c r="J72" s="706"/>
      <c r="K72" s="706"/>
      <c r="L72" s="706"/>
      <c r="M72" s="706"/>
      <c r="N72" s="706"/>
      <c r="O72" s="706"/>
      <c r="P72" s="706"/>
    </row>
    <row r="73" spans="1:16">
      <c r="A73" s="706" t="s">
        <v>1155</v>
      </c>
      <c r="B73" s="706"/>
      <c r="C73" s="706"/>
      <c r="D73" s="706"/>
      <c r="E73" s="706"/>
      <c r="F73" s="706"/>
      <c r="G73" s="706"/>
      <c r="H73" s="706"/>
      <c r="I73" s="706"/>
      <c r="J73" s="706"/>
      <c r="K73" s="706"/>
      <c r="L73" s="706"/>
      <c r="M73" s="706"/>
      <c r="N73" s="706"/>
      <c r="O73" s="706"/>
      <c r="P73" s="706"/>
    </row>
    <row r="74" spans="1:16">
      <c r="A74" s="706" t="s">
        <v>1156</v>
      </c>
      <c r="B74" s="706"/>
      <c r="C74" s="706"/>
      <c r="D74" s="706"/>
      <c r="E74" s="706"/>
      <c r="F74" s="706"/>
      <c r="G74" s="706"/>
      <c r="H74" s="706"/>
      <c r="I74" s="706"/>
      <c r="J74" s="706"/>
      <c r="K74" s="706"/>
      <c r="L74" s="706"/>
      <c r="M74" s="706"/>
      <c r="N74" s="706"/>
      <c r="O74" s="706"/>
      <c r="P74" s="706"/>
    </row>
    <row r="76" spans="1:16" ht="21.75">
      <c r="A76" s="892"/>
      <c r="B76" s="892"/>
      <c r="C76" s="892"/>
      <c r="D76" s="892"/>
      <c r="E76" s="892"/>
      <c r="F76" s="892"/>
      <c r="G76" s="892"/>
      <c r="H76" s="892"/>
      <c r="I76" s="892"/>
      <c r="J76" s="892"/>
      <c r="K76" s="892"/>
      <c r="L76" s="893"/>
      <c r="M76" s="893"/>
      <c r="N76" s="31" t="s">
        <v>131</v>
      </c>
      <c r="O76" s="32" t="s">
        <v>20</v>
      </c>
    </row>
    <row r="77" spans="1:16" ht="18">
      <c r="A77" s="894"/>
      <c r="B77" s="894"/>
      <c r="C77" s="894"/>
      <c r="D77" s="894"/>
      <c r="E77" s="894"/>
      <c r="F77" s="894"/>
      <c r="G77" s="894"/>
      <c r="H77" s="894"/>
      <c r="I77" s="894"/>
      <c r="J77" s="894"/>
      <c r="K77" s="894"/>
      <c r="L77" s="893"/>
      <c r="M77" s="893"/>
      <c r="N77" s="31" t="s">
        <v>132</v>
      </c>
      <c r="O77" s="33"/>
    </row>
    <row r="78" spans="1:16" ht="18">
      <c r="A78" s="1492"/>
      <c r="B78" s="1492"/>
      <c r="C78" s="1492"/>
      <c r="D78" s="1492"/>
      <c r="E78" s="1492"/>
      <c r="F78" s="1492"/>
      <c r="G78" s="1492"/>
      <c r="H78" s="1492"/>
      <c r="I78" s="1492"/>
      <c r="J78" s="1492"/>
      <c r="K78" s="1492"/>
      <c r="L78" s="893"/>
      <c r="M78" s="893"/>
      <c r="N78" s="31" t="s">
        <v>133</v>
      </c>
      <c r="O78" s="33"/>
    </row>
    <row r="79" spans="1:16" ht="18">
      <c r="A79" s="894"/>
      <c r="B79" s="894"/>
      <c r="C79" s="894"/>
      <c r="D79" s="894"/>
      <c r="E79" s="894"/>
      <c r="F79" s="894"/>
      <c r="G79" s="894"/>
      <c r="H79" s="894"/>
      <c r="I79" s="895"/>
      <c r="J79" s="895"/>
      <c r="K79" s="895"/>
      <c r="L79" s="893"/>
      <c r="M79" s="893"/>
      <c r="N79" s="31" t="s">
        <v>134</v>
      </c>
      <c r="O79" s="33"/>
    </row>
    <row r="80" spans="1:16" ht="15.75">
      <c r="A80" s="893"/>
      <c r="B80" s="893"/>
      <c r="C80" s="896"/>
      <c r="D80" s="896"/>
      <c r="E80" s="896"/>
      <c r="F80" s="893"/>
      <c r="G80" s="893"/>
      <c r="H80" s="893"/>
      <c r="I80" s="893"/>
      <c r="J80" s="893"/>
      <c r="K80" s="893"/>
      <c r="L80" s="893"/>
      <c r="M80" s="893"/>
      <c r="N80" s="31" t="s">
        <v>439</v>
      </c>
      <c r="O80" s="34" t="s">
        <v>1157</v>
      </c>
    </row>
    <row r="81" spans="1:16">
      <c r="A81" s="893"/>
      <c r="B81" s="893"/>
      <c r="C81" s="893"/>
      <c r="D81" s="893"/>
      <c r="E81" s="893"/>
      <c r="F81" s="893"/>
      <c r="G81" s="893"/>
      <c r="H81" s="893"/>
      <c r="I81" s="893"/>
      <c r="J81" s="893"/>
      <c r="K81" s="893"/>
      <c r="L81" s="893"/>
      <c r="M81" s="893"/>
      <c r="N81" s="31"/>
      <c r="O81" s="32"/>
    </row>
    <row r="82" spans="1:16">
      <c r="A82" s="893"/>
      <c r="B82" s="893"/>
      <c r="C82" s="893"/>
      <c r="D82" s="893"/>
      <c r="E82" s="893"/>
      <c r="F82" s="893"/>
      <c r="G82" s="893"/>
      <c r="H82" s="893"/>
      <c r="I82" s="893"/>
      <c r="J82" s="893"/>
      <c r="K82" s="893"/>
      <c r="L82" s="893"/>
      <c r="M82" s="893"/>
      <c r="N82" s="31" t="s">
        <v>136</v>
      </c>
      <c r="O82" s="35" t="s">
        <v>1171</v>
      </c>
    </row>
    <row r="83" spans="1:16">
      <c r="A83" s="893"/>
      <c r="B83" s="893"/>
      <c r="C83" s="893"/>
      <c r="D83" s="893"/>
      <c r="E83" s="893"/>
      <c r="F83" s="893"/>
      <c r="G83" s="893"/>
      <c r="H83" s="893"/>
      <c r="I83" s="893"/>
      <c r="J83" s="893"/>
      <c r="K83" s="893"/>
      <c r="L83" s="893"/>
      <c r="M83" s="893"/>
      <c r="N83" s="706"/>
    </row>
    <row r="84" spans="1:16">
      <c r="A84" s="706"/>
      <c r="B84" s="706"/>
      <c r="C84" s="706"/>
      <c r="D84" s="706"/>
      <c r="E84" s="706"/>
      <c r="F84" s="706"/>
      <c r="G84" s="706"/>
      <c r="H84" s="706"/>
      <c r="I84" s="706"/>
      <c r="J84" s="706"/>
      <c r="K84" s="706"/>
    </row>
    <row r="85" spans="1:16" ht="18">
      <c r="A85" s="706"/>
      <c r="B85" s="1493" t="s">
        <v>1100</v>
      </c>
      <c r="C85" s="1493"/>
      <c r="D85" s="1493"/>
      <c r="E85" s="1493"/>
      <c r="F85" s="1493"/>
      <c r="G85" s="1493"/>
      <c r="H85" s="1493"/>
      <c r="I85" s="1493"/>
      <c r="J85" s="1493"/>
      <c r="K85" s="1493"/>
      <c r="L85" s="1493"/>
      <c r="M85" s="1493"/>
      <c r="N85" s="1493"/>
      <c r="O85" s="1493"/>
    </row>
    <row r="86" spans="1:16" ht="18">
      <c r="A86" s="706"/>
      <c r="B86" s="1493" t="s">
        <v>1101</v>
      </c>
      <c r="C86" s="1493"/>
      <c r="D86" s="1493"/>
      <c r="E86" s="1493"/>
      <c r="F86" s="1493"/>
      <c r="G86" s="1493"/>
      <c r="H86" s="1493"/>
      <c r="I86" s="1493"/>
      <c r="J86" s="1493"/>
      <c r="K86" s="1493"/>
      <c r="L86" s="1493"/>
      <c r="M86" s="1493"/>
      <c r="N86" s="1493"/>
      <c r="O86" s="1493"/>
    </row>
    <row r="87" spans="1:16">
      <c r="A87" s="706"/>
      <c r="B87" s="706"/>
      <c r="C87" s="706"/>
      <c r="D87" s="706"/>
      <c r="E87" s="706"/>
      <c r="F87" s="706"/>
      <c r="G87" s="706"/>
      <c r="H87" s="706"/>
      <c r="I87" s="706"/>
      <c r="J87" s="706"/>
      <c r="K87" s="706"/>
    </row>
    <row r="88" spans="1:16">
      <c r="A88" s="706"/>
      <c r="B88" s="706"/>
      <c r="C88" s="706"/>
      <c r="D88" s="706"/>
      <c r="E88" s="706"/>
      <c r="F88" s="706"/>
      <c r="G88" s="706"/>
      <c r="H88" s="706"/>
      <c r="I88" s="706"/>
      <c r="J88" s="706"/>
      <c r="K88" s="706"/>
    </row>
    <row r="89" spans="1:16" ht="15.75">
      <c r="A89" s="706"/>
      <c r="B89" s="897" t="s">
        <v>1102</v>
      </c>
      <c r="C89" s="706"/>
      <c r="D89" s="1494" t="s">
        <v>478</v>
      </c>
      <c r="E89" s="1494"/>
      <c r="F89" s="1494"/>
      <c r="G89" s="1494"/>
      <c r="H89" s="1494"/>
      <c r="I89" s="1494"/>
      <c r="J89" s="1494"/>
      <c r="K89" s="1494"/>
      <c r="L89" s="1494"/>
      <c r="M89" s="1494"/>
      <c r="N89" s="1494"/>
      <c r="O89" s="1494"/>
      <c r="P89" s="706"/>
    </row>
    <row r="90" spans="1:16" ht="15.75">
      <c r="A90" s="706"/>
      <c r="B90" s="898"/>
      <c r="C90" s="706"/>
      <c r="D90" s="899"/>
      <c r="E90" s="899"/>
      <c r="F90" s="899"/>
      <c r="G90" s="899"/>
      <c r="H90" s="899"/>
      <c r="I90" s="899"/>
      <c r="J90" s="899"/>
      <c r="K90" s="899"/>
      <c r="L90" s="899"/>
      <c r="M90" s="899"/>
      <c r="N90" s="899"/>
      <c r="O90" s="899"/>
      <c r="P90" s="706"/>
    </row>
    <row r="91" spans="1:16">
      <c r="A91" s="706"/>
      <c r="B91" s="900"/>
      <c r="C91" s="706"/>
      <c r="D91" s="711" t="s">
        <v>1103</v>
      </c>
      <c r="E91" s="711"/>
      <c r="F91" s="901">
        <v>800</v>
      </c>
      <c r="G91" s="711" t="s">
        <v>1104</v>
      </c>
      <c r="H91" s="706"/>
      <c r="I91" s="706"/>
      <c r="J91" s="706"/>
      <c r="K91" s="706"/>
      <c r="L91" s="706"/>
      <c r="M91" s="706"/>
      <c r="N91" s="706"/>
      <c r="O91" s="706"/>
      <c r="P91" s="706"/>
    </row>
    <row r="92" spans="1:16">
      <c r="A92" s="706"/>
      <c r="B92" s="900"/>
      <c r="C92" s="706"/>
      <c r="D92" s="706"/>
      <c r="E92" s="706"/>
      <c r="F92" s="706"/>
      <c r="G92" s="706"/>
      <c r="H92" s="706"/>
      <c r="I92" s="706"/>
      <c r="J92" s="706"/>
      <c r="K92" s="706"/>
      <c r="L92" s="706"/>
      <c r="M92" s="706"/>
      <c r="N92" s="706"/>
      <c r="O92" s="706"/>
      <c r="P92" s="706"/>
    </row>
    <row r="93" spans="1:16">
      <c r="A93" s="706"/>
      <c r="B93" s="900"/>
      <c r="C93" s="706"/>
      <c r="D93" s="902"/>
      <c r="E93" s="902"/>
      <c r="F93" s="1495" t="s">
        <v>1105</v>
      </c>
      <c r="G93" s="1496"/>
      <c r="H93" s="1497"/>
      <c r="I93" s="706"/>
      <c r="J93" s="1495" t="s">
        <v>1106</v>
      </c>
      <c r="K93" s="1496"/>
      <c r="L93" s="1497"/>
      <c r="M93" s="706"/>
      <c r="N93" s="1495" t="s">
        <v>1107</v>
      </c>
      <c r="O93" s="1497"/>
      <c r="P93" s="706"/>
    </row>
    <row r="94" spans="1:16" ht="12.75" customHeight="1">
      <c r="A94" s="706"/>
      <c r="B94" s="900"/>
      <c r="C94" s="706"/>
      <c r="D94" s="1485" t="s">
        <v>1108</v>
      </c>
      <c r="E94" s="903"/>
      <c r="F94" s="904" t="s">
        <v>1109</v>
      </c>
      <c r="G94" s="904" t="s">
        <v>1110</v>
      </c>
      <c r="H94" s="905" t="s">
        <v>1111</v>
      </c>
      <c r="I94" s="706"/>
      <c r="J94" s="904" t="s">
        <v>1109</v>
      </c>
      <c r="K94" s="906" t="s">
        <v>1110</v>
      </c>
      <c r="L94" s="905" t="s">
        <v>1111</v>
      </c>
      <c r="M94" s="706"/>
      <c r="N94" s="1487" t="s">
        <v>1112</v>
      </c>
      <c r="O94" s="1489" t="s">
        <v>1113</v>
      </c>
      <c r="P94" s="706"/>
    </row>
    <row r="95" spans="1:16">
      <c r="A95" s="706"/>
      <c r="B95" s="900"/>
      <c r="C95" s="706"/>
      <c r="D95" s="1486"/>
      <c r="E95" s="903"/>
      <c r="F95" s="907" t="s">
        <v>831</v>
      </c>
      <c r="G95" s="907"/>
      <c r="H95" s="908" t="s">
        <v>831</v>
      </c>
      <c r="I95" s="706"/>
      <c r="J95" s="907" t="s">
        <v>831</v>
      </c>
      <c r="K95" s="908"/>
      <c r="L95" s="908" t="s">
        <v>831</v>
      </c>
      <c r="M95" s="706"/>
      <c r="N95" s="1488"/>
      <c r="O95" s="1490"/>
      <c r="P95" s="706"/>
    </row>
    <row r="96" spans="1:16">
      <c r="A96" s="706"/>
      <c r="B96" s="909" t="s">
        <v>1089</v>
      </c>
      <c r="C96" s="909"/>
      <c r="D96" s="910" t="s">
        <v>1114</v>
      </c>
      <c r="E96" s="911"/>
      <c r="F96" s="912">
        <v>16.14</v>
      </c>
      <c r="G96" s="913">
        <v>1</v>
      </c>
      <c r="H96" s="914">
        <f>G96*F96</f>
        <v>16.14</v>
      </c>
      <c r="I96" s="915"/>
      <c r="J96" s="916">
        <v>15.79</v>
      </c>
      <c r="K96" s="917">
        <v>1</v>
      </c>
      <c r="L96" s="914">
        <f>K96*J96</f>
        <v>15.79</v>
      </c>
      <c r="M96" s="915"/>
      <c r="N96" s="918">
        <f>L96-H96</f>
        <v>-0.35000000000000142</v>
      </c>
      <c r="O96" s="919">
        <f>IF((H96)=0,"",(N96/H96))</f>
        <v>-2.1685254027261548E-2</v>
      </c>
      <c r="P96" s="706"/>
    </row>
    <row r="97" spans="1:16">
      <c r="A97" s="706"/>
      <c r="B97" s="909" t="s">
        <v>1169</v>
      </c>
      <c r="C97" s="909"/>
      <c r="D97" s="910" t="s">
        <v>1114</v>
      </c>
      <c r="E97" s="911"/>
      <c r="F97" s="912">
        <v>0.78800000000000003</v>
      </c>
      <c r="G97" s="913">
        <v>1</v>
      </c>
      <c r="H97" s="914">
        <f t="shared" ref="H97:H103" si="14">G97*F97</f>
        <v>0.78800000000000003</v>
      </c>
      <c r="I97" s="915"/>
      <c r="J97" s="916">
        <v>0.78800000000000003</v>
      </c>
      <c r="K97" s="917">
        <v>1</v>
      </c>
      <c r="L97" s="914">
        <f>K97*J97</f>
        <v>0.78800000000000003</v>
      </c>
      <c r="M97" s="915"/>
      <c r="N97" s="918">
        <f>L97-H97</f>
        <v>0</v>
      </c>
      <c r="O97" s="919">
        <f>IF((H97)=0,"",(N97/H97))</f>
        <v>0</v>
      </c>
      <c r="P97" s="706"/>
    </row>
    <row r="98" spans="1:16">
      <c r="A98" s="706"/>
      <c r="B98" s="920" t="s">
        <v>1116</v>
      </c>
      <c r="C98" s="909"/>
      <c r="D98" s="910" t="s">
        <v>1114</v>
      </c>
      <c r="E98" s="911"/>
      <c r="F98" s="912">
        <v>0</v>
      </c>
      <c r="G98" s="913">
        <v>1</v>
      </c>
      <c r="H98" s="914">
        <f t="shared" si="14"/>
        <v>0</v>
      </c>
      <c r="I98" s="915"/>
      <c r="J98" s="916">
        <v>0</v>
      </c>
      <c r="K98" s="917">
        <v>1</v>
      </c>
      <c r="L98" s="914">
        <f t="shared" ref="L98:L103" si="15">K98*J98</f>
        <v>0</v>
      </c>
      <c r="M98" s="915"/>
      <c r="N98" s="918">
        <f t="shared" ref="N98:N132" si="16">L98-H98</f>
        <v>0</v>
      </c>
      <c r="O98" s="919" t="str">
        <f t="shared" ref="O98:O104" si="17">IF((H98)=0,"",(N98/H98))</f>
        <v/>
      </c>
      <c r="P98" s="706"/>
    </row>
    <row r="99" spans="1:16">
      <c r="A99" s="706"/>
      <c r="B99" s="909" t="s">
        <v>1117</v>
      </c>
      <c r="C99" s="909"/>
      <c r="D99" s="910" t="s">
        <v>1087</v>
      </c>
      <c r="E99" s="911"/>
      <c r="F99" s="912">
        <v>1.24E-2</v>
      </c>
      <c r="G99" s="913">
        <f>F91</f>
        <v>800</v>
      </c>
      <c r="H99" s="914">
        <f t="shared" si="14"/>
        <v>9.92</v>
      </c>
      <c r="I99" s="915"/>
      <c r="J99" s="916">
        <v>1.21E-2</v>
      </c>
      <c r="K99" s="913">
        <f>F91</f>
        <v>800</v>
      </c>
      <c r="L99" s="914">
        <f t="shared" si="15"/>
        <v>9.68</v>
      </c>
      <c r="M99" s="915"/>
      <c r="N99" s="918">
        <f t="shared" si="16"/>
        <v>-0.24000000000000021</v>
      </c>
      <c r="O99" s="919">
        <f t="shared" si="17"/>
        <v>-2.4193548387096794E-2</v>
      </c>
      <c r="P99" s="706"/>
    </row>
    <row r="100" spans="1:16">
      <c r="A100" s="706"/>
      <c r="B100" s="909" t="s">
        <v>1118</v>
      </c>
      <c r="C100" s="909"/>
      <c r="D100" s="910" t="s">
        <v>1114</v>
      </c>
      <c r="E100" s="911"/>
      <c r="F100" s="912">
        <v>0</v>
      </c>
      <c r="G100" s="913">
        <v>1</v>
      </c>
      <c r="H100" s="914">
        <f t="shared" si="14"/>
        <v>0</v>
      </c>
      <c r="I100" s="915"/>
      <c r="J100" s="916">
        <v>0.28999999999999998</v>
      </c>
      <c r="K100" s="913">
        <v>1</v>
      </c>
      <c r="L100" s="914">
        <f t="shared" si="15"/>
        <v>0.28999999999999998</v>
      </c>
      <c r="M100" s="915"/>
      <c r="N100" s="918">
        <f t="shared" si="16"/>
        <v>0.28999999999999998</v>
      </c>
      <c r="O100" s="919" t="str">
        <f t="shared" si="17"/>
        <v/>
      </c>
      <c r="P100" s="706"/>
    </row>
    <row r="101" spans="1:16">
      <c r="A101" s="706"/>
      <c r="B101" s="909" t="s">
        <v>1119</v>
      </c>
      <c r="C101" s="909"/>
      <c r="D101" s="910" t="s">
        <v>1088</v>
      </c>
      <c r="E101" s="911"/>
      <c r="F101" s="912">
        <v>2.0000000000000001E-4</v>
      </c>
      <c r="G101" s="913">
        <f>F91</f>
        <v>800</v>
      </c>
      <c r="H101" s="914">
        <f t="shared" si="14"/>
        <v>0.16</v>
      </c>
      <c r="I101" s="915"/>
      <c r="J101" s="916">
        <v>0</v>
      </c>
      <c r="K101" s="913">
        <f>F91</f>
        <v>800</v>
      </c>
      <c r="L101" s="914">
        <f t="shared" si="15"/>
        <v>0</v>
      </c>
      <c r="M101" s="915"/>
      <c r="N101" s="918">
        <f t="shared" si="16"/>
        <v>-0.16</v>
      </c>
      <c r="O101" s="919">
        <f t="shared" si="17"/>
        <v>-1</v>
      </c>
      <c r="P101" s="706"/>
    </row>
    <row r="102" spans="1:16">
      <c r="A102" s="706"/>
      <c r="B102" s="921" t="s">
        <v>1120</v>
      </c>
      <c r="C102" s="909"/>
      <c r="D102" s="910" t="s">
        <v>1088</v>
      </c>
      <c r="E102" s="911"/>
      <c r="F102" s="912">
        <v>-5.0000000000000001E-4</v>
      </c>
      <c r="G102" s="913">
        <f>F91</f>
        <v>800</v>
      </c>
      <c r="H102" s="914">
        <f t="shared" si="14"/>
        <v>-0.4</v>
      </c>
      <c r="I102" s="915"/>
      <c r="J102" s="916">
        <v>0</v>
      </c>
      <c r="K102" s="913">
        <f>F91</f>
        <v>800</v>
      </c>
      <c r="L102" s="914">
        <f t="shared" si="15"/>
        <v>0</v>
      </c>
      <c r="M102" s="915"/>
      <c r="N102" s="918">
        <f t="shared" si="16"/>
        <v>0.4</v>
      </c>
      <c r="O102" s="919">
        <f t="shared" si="17"/>
        <v>-1</v>
      </c>
      <c r="P102" s="706"/>
    </row>
    <row r="103" spans="1:16">
      <c r="A103" s="706"/>
      <c r="B103" s="921" t="s">
        <v>1121</v>
      </c>
      <c r="C103" s="909"/>
      <c r="D103" s="910" t="s">
        <v>1114</v>
      </c>
      <c r="E103" s="911"/>
      <c r="F103" s="912">
        <v>0</v>
      </c>
      <c r="G103" s="913">
        <v>1</v>
      </c>
      <c r="H103" s="914">
        <f t="shared" si="14"/>
        <v>0</v>
      </c>
      <c r="I103" s="915"/>
      <c r="J103" s="916">
        <v>0.41</v>
      </c>
      <c r="K103" s="913">
        <v>1</v>
      </c>
      <c r="L103" s="914">
        <f t="shared" si="15"/>
        <v>0.41</v>
      </c>
      <c r="M103" s="915"/>
      <c r="N103" s="918">
        <f t="shared" si="16"/>
        <v>0.41</v>
      </c>
      <c r="O103" s="919" t="str">
        <f t="shared" si="17"/>
        <v/>
      </c>
      <c r="P103" s="706"/>
    </row>
    <row r="104" spans="1:16">
      <c r="A104" s="755"/>
      <c r="B104" s="922" t="s">
        <v>1122</v>
      </c>
      <c r="C104" s="923"/>
      <c r="D104" s="924"/>
      <c r="E104" s="923"/>
      <c r="F104" s="925"/>
      <c r="G104" s="926"/>
      <c r="H104" s="927">
        <f>SUM(H96:H103)</f>
        <v>26.608000000000001</v>
      </c>
      <c r="I104" s="928"/>
      <c r="J104" s="929"/>
      <c r="K104" s="930"/>
      <c r="L104" s="927">
        <f>SUM(L96:L103)</f>
        <v>26.957999999999998</v>
      </c>
      <c r="M104" s="928"/>
      <c r="N104" s="931">
        <f t="shared" si="16"/>
        <v>0.34999999999999787</v>
      </c>
      <c r="O104" s="932">
        <f t="shared" si="17"/>
        <v>1.3153938665063059E-2</v>
      </c>
      <c r="P104" s="755"/>
    </row>
    <row r="105" spans="1:16">
      <c r="A105" s="706"/>
      <c r="B105" s="933" t="s">
        <v>1123</v>
      </c>
      <c r="C105" s="909"/>
      <c r="D105" s="910" t="s">
        <v>1088</v>
      </c>
      <c r="E105" s="911"/>
      <c r="F105" s="912">
        <v>-2.0000000000000001E-4</v>
      </c>
      <c r="G105" s="913">
        <f>F91</f>
        <v>800</v>
      </c>
      <c r="H105" s="914">
        <f>G105*F105</f>
        <v>-0.16</v>
      </c>
      <c r="I105" s="915"/>
      <c r="J105" s="916">
        <v>-1.4E-3</v>
      </c>
      <c r="K105" s="913">
        <f>F91</f>
        <v>800</v>
      </c>
      <c r="L105" s="914">
        <f t="shared" ref="L105:L107" si="18">K105*J105</f>
        <v>-1.1199999999999999</v>
      </c>
      <c r="M105" s="915"/>
      <c r="N105" s="918">
        <f t="shared" si="16"/>
        <v>-0.95999999999999985</v>
      </c>
      <c r="O105" s="919">
        <f>IF((H105)=0,"",(N105/H105))</f>
        <v>5.9999999999999991</v>
      </c>
      <c r="P105" s="706"/>
    </row>
    <row r="106" spans="1:16">
      <c r="A106" s="706"/>
      <c r="B106" s="934" t="s">
        <v>1124</v>
      </c>
      <c r="C106" s="909"/>
      <c r="D106" s="910" t="s">
        <v>1087</v>
      </c>
      <c r="E106" s="911"/>
      <c r="F106" s="912">
        <v>2.0000000000000001E-4</v>
      </c>
      <c r="G106" s="913">
        <f>F91</f>
        <v>800</v>
      </c>
      <c r="H106" s="914">
        <f>G106*F106</f>
        <v>0.16</v>
      </c>
      <c r="I106" s="915"/>
      <c r="J106" s="916">
        <v>2.0000000000000001E-4</v>
      </c>
      <c r="K106" s="913">
        <f>F91</f>
        <v>800</v>
      </c>
      <c r="L106" s="914">
        <f t="shared" si="18"/>
        <v>0.16</v>
      </c>
      <c r="M106" s="915"/>
      <c r="N106" s="918">
        <f t="shared" si="16"/>
        <v>0</v>
      </c>
      <c r="O106" s="919">
        <f>IF((H106)=0,"",(N106/H106))</f>
        <v>0</v>
      </c>
      <c r="P106" s="706"/>
    </row>
    <row r="107" spans="1:16">
      <c r="A107" s="706"/>
      <c r="B107" s="934" t="s">
        <v>1125</v>
      </c>
      <c r="C107" s="909"/>
      <c r="D107" s="910"/>
      <c r="E107" s="911"/>
      <c r="F107" s="935"/>
      <c r="G107" s="936"/>
      <c r="H107" s="937"/>
      <c r="I107" s="915"/>
      <c r="J107" s="916"/>
      <c r="K107" s="913">
        <f>F91</f>
        <v>800</v>
      </c>
      <c r="L107" s="914">
        <f t="shared" si="18"/>
        <v>0</v>
      </c>
      <c r="M107" s="915"/>
      <c r="N107" s="918">
        <f t="shared" si="16"/>
        <v>0</v>
      </c>
      <c r="O107" s="919"/>
      <c r="P107" s="706"/>
    </row>
    <row r="108" spans="1:16">
      <c r="A108" s="706"/>
      <c r="B108" s="938" t="s">
        <v>1126</v>
      </c>
      <c r="C108" s="939"/>
      <c r="D108" s="939"/>
      <c r="E108" s="939"/>
      <c r="F108" s="940"/>
      <c r="G108" s="941"/>
      <c r="H108" s="942">
        <f>SUM(H104:H107)</f>
        <v>26.608000000000001</v>
      </c>
      <c r="I108" s="928"/>
      <c r="J108" s="941"/>
      <c r="K108" s="943"/>
      <c r="L108" s="942">
        <f>SUM(L104:L107)</f>
        <v>25.997999999999998</v>
      </c>
      <c r="M108" s="928"/>
      <c r="N108" s="931">
        <f t="shared" si="16"/>
        <v>-0.61000000000000298</v>
      </c>
      <c r="O108" s="932">
        <f t="shared" ref="O108:O132" si="19">IF((H108)=0,"",(N108/H108))</f>
        <v>-2.2925435959110153E-2</v>
      </c>
      <c r="P108" s="706"/>
    </row>
    <row r="109" spans="1:16">
      <c r="A109" s="706"/>
      <c r="B109" s="915" t="s">
        <v>1127</v>
      </c>
      <c r="C109" s="915"/>
      <c r="D109" s="944" t="s">
        <v>1087</v>
      </c>
      <c r="E109" s="945"/>
      <c r="F109" s="916">
        <v>5.8999999999999999E-3</v>
      </c>
      <c r="G109" s="946">
        <f>F91*(1+F135)</f>
        <v>842.16</v>
      </c>
      <c r="H109" s="914">
        <f>G109*F109</f>
        <v>4.968744</v>
      </c>
      <c r="I109" s="915"/>
      <c r="J109" s="916">
        <v>5.8999999999999999E-3</v>
      </c>
      <c r="K109" s="947">
        <f>F91*(1+J135)</f>
        <v>843.2</v>
      </c>
      <c r="L109" s="914">
        <f>K109*J109</f>
        <v>4.9748799999999997</v>
      </c>
      <c r="M109" s="915"/>
      <c r="N109" s="918">
        <f t="shared" si="16"/>
        <v>6.1359999999996973E-3</v>
      </c>
      <c r="O109" s="919">
        <f t="shared" si="19"/>
        <v>1.2349197302174749E-3</v>
      </c>
      <c r="P109" s="706"/>
    </row>
    <row r="110" spans="1:16">
      <c r="A110" s="706"/>
      <c r="B110" s="948" t="s">
        <v>1128</v>
      </c>
      <c r="C110" s="915"/>
      <c r="D110" s="944" t="s">
        <v>1087</v>
      </c>
      <c r="E110" s="945"/>
      <c r="F110" s="916">
        <v>3.7000000000000002E-3</v>
      </c>
      <c r="G110" s="946">
        <f>G109</f>
        <v>842.16</v>
      </c>
      <c r="H110" s="914">
        <f>G110*F110</f>
        <v>3.1159919999999999</v>
      </c>
      <c r="I110" s="915"/>
      <c r="J110" s="916">
        <v>3.5999999999999999E-3</v>
      </c>
      <c r="K110" s="947">
        <f>K109</f>
        <v>843.2</v>
      </c>
      <c r="L110" s="914">
        <f>K110*J110</f>
        <v>3.03552</v>
      </c>
      <c r="M110" s="915"/>
      <c r="N110" s="918">
        <f t="shared" si="16"/>
        <v>-8.0471999999999877E-2</v>
      </c>
      <c r="O110" s="919">
        <f t="shared" si="19"/>
        <v>-2.5825483505734249E-2</v>
      </c>
      <c r="P110" s="706"/>
    </row>
    <row r="111" spans="1:16">
      <c r="A111" s="706"/>
      <c r="B111" s="938" t="s">
        <v>1129</v>
      </c>
      <c r="C111" s="923"/>
      <c r="D111" s="923"/>
      <c r="E111" s="923"/>
      <c r="F111" s="949"/>
      <c r="G111" s="941"/>
      <c r="H111" s="942">
        <f>SUM(H108:H110)</f>
        <v>34.692736000000004</v>
      </c>
      <c r="I111" s="950"/>
      <c r="J111" s="951"/>
      <c r="K111" s="952"/>
      <c r="L111" s="942">
        <f>SUM(L108:L110)</f>
        <v>34.008399999999995</v>
      </c>
      <c r="M111" s="950"/>
      <c r="N111" s="931">
        <f t="shared" si="16"/>
        <v>-0.68433600000000894</v>
      </c>
      <c r="O111" s="932">
        <f t="shared" si="19"/>
        <v>-1.9725627866306331E-2</v>
      </c>
      <c r="P111" s="706"/>
    </row>
    <row r="112" spans="1:16">
      <c r="A112" s="706"/>
      <c r="B112" s="953" t="s">
        <v>1130</v>
      </c>
      <c r="C112" s="909"/>
      <c r="D112" s="910" t="s">
        <v>1087</v>
      </c>
      <c r="E112" s="911"/>
      <c r="F112" s="956">
        <v>4.4000000000000003E-3</v>
      </c>
      <c r="G112" s="946">
        <f>F91*(1+F135)</f>
        <v>842.16</v>
      </c>
      <c r="H112" s="955">
        <f t="shared" ref="H112:H120" si="20">G112*F112</f>
        <v>3.7055039999999999</v>
      </c>
      <c r="I112" s="915"/>
      <c r="J112" s="956">
        <v>4.4000000000000003E-3</v>
      </c>
      <c r="K112" s="947">
        <f>F91*(1+J135)</f>
        <v>843.2</v>
      </c>
      <c r="L112" s="955">
        <f t="shared" ref="L112:L120" si="21">K112*J112</f>
        <v>3.7100800000000005</v>
      </c>
      <c r="M112" s="915"/>
      <c r="N112" s="918">
        <f t="shared" si="16"/>
        <v>4.5760000000005796E-3</v>
      </c>
      <c r="O112" s="957">
        <f t="shared" si="19"/>
        <v>1.2349197302176922E-3</v>
      </c>
      <c r="P112" s="706"/>
    </row>
    <row r="113" spans="1:16">
      <c r="A113" s="706"/>
      <c r="B113" s="953" t="s">
        <v>1131</v>
      </c>
      <c r="C113" s="909"/>
      <c r="D113" s="910" t="s">
        <v>1087</v>
      </c>
      <c r="E113" s="911"/>
      <c r="F113" s="956">
        <v>1.1999999999999999E-3</v>
      </c>
      <c r="G113" s="946">
        <f>F91*(1+F135)</f>
        <v>842.16</v>
      </c>
      <c r="H113" s="955">
        <f t="shared" si="20"/>
        <v>1.0105919999999999</v>
      </c>
      <c r="I113" s="915"/>
      <c r="J113" s="956">
        <v>1.1999999999999999E-3</v>
      </c>
      <c r="K113" s="947">
        <f>F91*(1+J135)</f>
        <v>843.2</v>
      </c>
      <c r="L113" s="955">
        <f t="shared" si="21"/>
        <v>1.0118400000000001</v>
      </c>
      <c r="M113" s="915"/>
      <c r="N113" s="918">
        <f t="shared" si="16"/>
        <v>1.2480000000001379E-3</v>
      </c>
      <c r="O113" s="957">
        <f t="shared" si="19"/>
        <v>1.2349197302176725E-3</v>
      </c>
      <c r="P113" s="706"/>
    </row>
    <row r="114" spans="1:16">
      <c r="A114" s="706"/>
      <c r="B114" s="909" t="s">
        <v>1132</v>
      </c>
      <c r="C114" s="909"/>
      <c r="D114" s="910"/>
      <c r="E114" s="911"/>
      <c r="F114" s="954">
        <v>0.25</v>
      </c>
      <c r="G114" s="913">
        <v>1</v>
      </c>
      <c r="H114" s="955">
        <f t="shared" si="20"/>
        <v>0.25</v>
      </c>
      <c r="I114" s="915"/>
      <c r="J114" s="956">
        <v>0.25</v>
      </c>
      <c r="K114" s="917">
        <v>1</v>
      </c>
      <c r="L114" s="955">
        <f t="shared" si="21"/>
        <v>0.25</v>
      </c>
      <c r="M114" s="915"/>
      <c r="N114" s="918">
        <f t="shared" si="16"/>
        <v>0</v>
      </c>
      <c r="O114" s="957">
        <f t="shared" si="19"/>
        <v>0</v>
      </c>
      <c r="P114" s="706"/>
    </row>
    <row r="115" spans="1:16">
      <c r="A115" s="706"/>
      <c r="B115" s="909" t="s">
        <v>1133</v>
      </c>
      <c r="C115" s="909"/>
      <c r="D115" s="910" t="s">
        <v>1087</v>
      </c>
      <c r="E115" s="911"/>
      <c r="F115" s="954">
        <v>7.0000000000000001E-3</v>
      </c>
      <c r="G115" s="946">
        <f>F91</f>
        <v>800</v>
      </c>
      <c r="H115" s="955">
        <f t="shared" si="20"/>
        <v>5.6000000000000005</v>
      </c>
      <c r="I115" s="915"/>
      <c r="J115" s="956">
        <v>7.0000000000000001E-3</v>
      </c>
      <c r="K115" s="947">
        <f>F91</f>
        <v>800</v>
      </c>
      <c r="L115" s="955">
        <f t="shared" si="21"/>
        <v>5.6000000000000005</v>
      </c>
      <c r="M115" s="915"/>
      <c r="N115" s="918">
        <f t="shared" si="16"/>
        <v>0</v>
      </c>
      <c r="O115" s="957">
        <f t="shared" si="19"/>
        <v>0</v>
      </c>
      <c r="P115" s="706"/>
    </row>
    <row r="116" spans="1:16">
      <c r="A116" s="706"/>
      <c r="B116" s="934" t="s">
        <v>1134</v>
      </c>
      <c r="C116" s="909"/>
      <c r="D116" s="910" t="s">
        <v>1087</v>
      </c>
      <c r="E116" s="911"/>
      <c r="F116" s="958">
        <v>7.3999999999999996E-2</v>
      </c>
      <c r="G116" s="946">
        <f>IF($F$91&gt;=600,600,$F$91)</f>
        <v>600</v>
      </c>
      <c r="H116" s="955">
        <f>G116*F116</f>
        <v>44.4</v>
      </c>
      <c r="I116" s="915"/>
      <c r="J116" s="958">
        <v>7.3999999999999996E-2</v>
      </c>
      <c r="K116" s="946">
        <f>IF($F$91&gt;=600,600,$F$91)</f>
        <v>600</v>
      </c>
      <c r="L116" s="955">
        <f>K116*J116</f>
        <v>44.4</v>
      </c>
      <c r="M116" s="915"/>
      <c r="N116" s="918">
        <f t="shared" si="16"/>
        <v>0</v>
      </c>
      <c r="O116" s="957">
        <f t="shared" si="19"/>
        <v>0</v>
      </c>
      <c r="P116" s="706"/>
    </row>
    <row r="117" spans="1:16">
      <c r="A117" s="706"/>
      <c r="B117" s="934" t="s">
        <v>1135</v>
      </c>
      <c r="C117" s="909"/>
      <c r="D117" s="910" t="s">
        <v>1087</v>
      </c>
      <c r="E117" s="911"/>
      <c r="F117" s="958">
        <v>8.6999999999999994E-2</v>
      </c>
      <c r="G117" s="946">
        <f>IF($F$91&gt;=600,$F$91*(1+F135)-600,0)</f>
        <v>242.15999999999997</v>
      </c>
      <c r="H117" s="955">
        <f>G117*F117</f>
        <v>21.067919999999997</v>
      </c>
      <c r="I117" s="915"/>
      <c r="J117" s="958">
        <v>8.6999999999999994E-2</v>
      </c>
      <c r="K117" s="946">
        <f>IF($F$91&gt;=600,$F$91*(1+J135)-600,0)</f>
        <v>243.20000000000005</v>
      </c>
      <c r="L117" s="955">
        <f>K117*J117</f>
        <v>21.158400000000004</v>
      </c>
      <c r="M117" s="915"/>
      <c r="N117" s="918">
        <f t="shared" si="16"/>
        <v>9.0480000000006555E-2</v>
      </c>
      <c r="O117" s="957">
        <f t="shared" si="19"/>
        <v>4.2946812025110486E-3</v>
      </c>
      <c r="P117" s="706"/>
    </row>
    <row r="118" spans="1:16">
      <c r="A118" s="706"/>
      <c r="B118" s="934" t="s">
        <v>1136</v>
      </c>
      <c r="C118" s="909"/>
      <c r="D118" s="910" t="s">
        <v>1087</v>
      </c>
      <c r="E118" s="911"/>
      <c r="F118" s="958">
        <v>6.3E-2</v>
      </c>
      <c r="G118" s="959">
        <f>0.64*$F91*(1+F135)</f>
        <v>538.98239999999998</v>
      </c>
      <c r="H118" s="955">
        <f t="shared" si="20"/>
        <v>33.955891199999996</v>
      </c>
      <c r="I118" s="915"/>
      <c r="J118" s="958">
        <v>6.3E-2</v>
      </c>
      <c r="K118" s="959">
        <f>0.64*$F91*(1+J135)</f>
        <v>539.64800000000002</v>
      </c>
      <c r="L118" s="955">
        <f t="shared" si="21"/>
        <v>33.997824000000001</v>
      </c>
      <c r="M118" s="915"/>
      <c r="N118" s="918">
        <f t="shared" si="16"/>
        <v>4.1932800000004988E-2</v>
      </c>
      <c r="O118" s="957">
        <f t="shared" si="19"/>
        <v>1.2349197302176829E-3</v>
      </c>
      <c r="P118" s="706"/>
    </row>
    <row r="119" spans="1:16">
      <c r="A119" s="706"/>
      <c r="B119" s="934" t="s">
        <v>1137</v>
      </c>
      <c r="C119" s="909"/>
      <c r="D119" s="910" t="s">
        <v>1087</v>
      </c>
      <c r="E119" s="911"/>
      <c r="F119" s="958">
        <v>9.9000000000000005E-2</v>
      </c>
      <c r="G119" s="959">
        <f>0.18*$F91*(1+F135)</f>
        <v>151.58879999999999</v>
      </c>
      <c r="H119" s="955">
        <f t="shared" si="20"/>
        <v>15.007291199999999</v>
      </c>
      <c r="I119" s="915"/>
      <c r="J119" s="958">
        <v>9.9000000000000005E-2</v>
      </c>
      <c r="K119" s="959">
        <f>0.18*$F91*(1+J135)</f>
        <v>151.77600000000001</v>
      </c>
      <c r="L119" s="955">
        <f t="shared" si="21"/>
        <v>15.025824000000002</v>
      </c>
      <c r="M119" s="915"/>
      <c r="N119" s="918">
        <f t="shared" si="16"/>
        <v>1.853280000000268E-2</v>
      </c>
      <c r="O119" s="957">
        <f t="shared" si="19"/>
        <v>1.2349197302177145E-3</v>
      </c>
      <c r="P119" s="706"/>
    </row>
    <row r="120" spans="1:16" ht="13.5" thickBot="1">
      <c r="A120" s="706"/>
      <c r="B120" s="900" t="s">
        <v>1138</v>
      </c>
      <c r="C120" s="909"/>
      <c r="D120" s="910" t="s">
        <v>1087</v>
      </c>
      <c r="E120" s="911"/>
      <c r="F120" s="958">
        <v>0.11799999999999999</v>
      </c>
      <c r="G120" s="959">
        <f>0.18*$F91*(1+F135)</f>
        <v>151.58879999999999</v>
      </c>
      <c r="H120" s="955">
        <f t="shared" si="20"/>
        <v>17.887478399999999</v>
      </c>
      <c r="I120" s="915"/>
      <c r="J120" s="958">
        <v>0.11799999999999999</v>
      </c>
      <c r="K120" s="959">
        <f>0.18*$F91*(1+J135)</f>
        <v>151.77600000000001</v>
      </c>
      <c r="L120" s="955">
        <f t="shared" si="21"/>
        <v>17.909568</v>
      </c>
      <c r="M120" s="915"/>
      <c r="N120" s="918">
        <f t="shared" si="16"/>
        <v>2.2089600000001042E-2</v>
      </c>
      <c r="O120" s="957">
        <f t="shared" si="19"/>
        <v>1.2349197302175942E-3</v>
      </c>
      <c r="P120" s="706"/>
    </row>
    <row r="121" spans="1:16" ht="13.5" thickBot="1">
      <c r="A121" s="706"/>
      <c r="B121" s="960"/>
      <c r="C121" s="961"/>
      <c r="D121" s="962"/>
      <c r="E121" s="961"/>
      <c r="F121" s="963"/>
      <c r="G121" s="964"/>
      <c r="H121" s="965"/>
      <c r="I121" s="966"/>
      <c r="J121" s="963"/>
      <c r="K121" s="967"/>
      <c r="L121" s="965"/>
      <c r="M121" s="966"/>
      <c r="N121" s="968"/>
      <c r="O121" s="969"/>
      <c r="P121" s="706"/>
    </row>
    <row r="122" spans="1:16">
      <c r="A122" s="706"/>
      <c r="B122" s="970" t="s">
        <v>1139</v>
      </c>
      <c r="C122" s="909"/>
      <c r="D122" s="909"/>
      <c r="E122" s="909"/>
      <c r="F122" s="971"/>
      <c r="G122" s="972"/>
      <c r="H122" s="973">
        <f>SUM(H111:H117)</f>
        <v>110.726752</v>
      </c>
      <c r="I122" s="974"/>
      <c r="J122" s="975"/>
      <c r="K122" s="975"/>
      <c r="L122" s="976">
        <f>SUM(L111:L117)</f>
        <v>110.13871999999999</v>
      </c>
      <c r="M122" s="977"/>
      <c r="N122" s="978">
        <f t="shared" si="16"/>
        <v>-0.58803200000001254</v>
      </c>
      <c r="O122" s="979">
        <f t="shared" si="19"/>
        <v>-5.310658800865147E-3</v>
      </c>
      <c r="P122" s="706"/>
    </row>
    <row r="123" spans="1:16">
      <c r="A123" s="706"/>
      <c r="B123" s="980" t="s">
        <v>1140</v>
      </c>
      <c r="C123" s="909"/>
      <c r="D123" s="909"/>
      <c r="E123" s="909"/>
      <c r="F123" s="981">
        <v>0.13</v>
      </c>
      <c r="G123" s="972"/>
      <c r="H123" s="982">
        <f>H122*F123</f>
        <v>14.394477760000001</v>
      </c>
      <c r="I123" s="983"/>
      <c r="J123" s="984">
        <v>0.13</v>
      </c>
      <c r="K123" s="985"/>
      <c r="L123" s="986">
        <f>L122*J123</f>
        <v>14.3180336</v>
      </c>
      <c r="M123" s="987"/>
      <c r="N123" s="988">
        <f t="shared" si="16"/>
        <v>-7.6444160000001204E-2</v>
      </c>
      <c r="O123" s="989">
        <f t="shared" si="19"/>
        <v>-5.3106588008651175E-3</v>
      </c>
      <c r="P123" s="706"/>
    </row>
    <row r="124" spans="1:16">
      <c r="A124" s="706"/>
      <c r="B124" s="990" t="s">
        <v>1141</v>
      </c>
      <c r="C124" s="909"/>
      <c r="D124" s="909"/>
      <c r="E124" s="909"/>
      <c r="F124" s="991"/>
      <c r="G124" s="992"/>
      <c r="H124" s="982">
        <f>H122+H123</f>
        <v>125.12122976000001</v>
      </c>
      <c r="I124" s="983"/>
      <c r="J124" s="983"/>
      <c r="K124" s="983"/>
      <c r="L124" s="986">
        <f>L122+L123</f>
        <v>124.45675359999998</v>
      </c>
      <c r="M124" s="987"/>
      <c r="N124" s="988">
        <f t="shared" si="16"/>
        <v>-0.66447616000002085</v>
      </c>
      <c r="O124" s="989">
        <f t="shared" si="19"/>
        <v>-5.3106588008652008E-3</v>
      </c>
      <c r="P124" s="706"/>
    </row>
    <row r="125" spans="1:16" ht="12.75" customHeight="1">
      <c r="A125" s="706"/>
      <c r="B125" s="1491" t="s">
        <v>1142</v>
      </c>
      <c r="C125" s="1491"/>
      <c r="D125" s="1491"/>
      <c r="E125" s="909"/>
      <c r="F125" s="991"/>
      <c r="G125" s="992"/>
      <c r="H125" s="993">
        <f>ROUND(-H124*10%,2)</f>
        <v>-12.51</v>
      </c>
      <c r="I125" s="983"/>
      <c r="J125" s="983"/>
      <c r="K125" s="983"/>
      <c r="L125" s="994">
        <f>ROUND(-L124*10%,2)</f>
        <v>-12.45</v>
      </c>
      <c r="M125" s="987"/>
      <c r="N125" s="995">
        <f t="shared" si="16"/>
        <v>6.0000000000000497E-2</v>
      </c>
      <c r="O125" s="996">
        <f t="shared" si="19"/>
        <v>-4.7961630695444041E-3</v>
      </c>
      <c r="P125" s="706"/>
    </row>
    <row r="126" spans="1:16" ht="13.5" customHeight="1" thickBot="1">
      <c r="A126" s="706"/>
      <c r="B126" s="1484" t="s">
        <v>1143</v>
      </c>
      <c r="C126" s="1484"/>
      <c r="D126" s="1484"/>
      <c r="E126" s="997"/>
      <c r="F126" s="998"/>
      <c r="G126" s="999"/>
      <c r="H126" s="1000">
        <f>SUM(H124:H125)</f>
        <v>112.61122976</v>
      </c>
      <c r="I126" s="1001"/>
      <c r="J126" s="1001"/>
      <c r="K126" s="1001"/>
      <c r="L126" s="1002">
        <f>SUM(L124:L125)</f>
        <v>112.00675359999998</v>
      </c>
      <c r="M126" s="1003"/>
      <c r="N126" s="1004">
        <f t="shared" si="16"/>
        <v>-0.60447616000001858</v>
      </c>
      <c r="O126" s="1005">
        <f t="shared" si="19"/>
        <v>-5.3678142161158703E-3</v>
      </c>
      <c r="P126" s="706"/>
    </row>
    <row r="127" spans="1:16" ht="13.5" thickBot="1">
      <c r="A127" s="706"/>
      <c r="B127" s="960"/>
      <c r="C127" s="961"/>
      <c r="D127" s="962"/>
      <c r="E127" s="961"/>
      <c r="F127" s="1006"/>
      <c r="G127" s="1007"/>
      <c r="H127" s="1008"/>
      <c r="I127" s="1009"/>
      <c r="J127" s="1006"/>
      <c r="K127" s="964"/>
      <c r="L127" s="1010"/>
      <c r="M127" s="966"/>
      <c r="N127" s="1011"/>
      <c r="O127" s="969"/>
      <c r="P127" s="706"/>
    </row>
    <row r="128" spans="1:16">
      <c r="A128" s="706"/>
      <c r="B128" s="970" t="s">
        <v>1144</v>
      </c>
      <c r="C128" s="909"/>
      <c r="D128" s="909"/>
      <c r="E128" s="909"/>
      <c r="F128" s="971"/>
      <c r="G128" s="972"/>
      <c r="H128" s="973">
        <f>SUM(H111:H115,H118:H120)</f>
        <v>112.1094928</v>
      </c>
      <c r="I128" s="974"/>
      <c r="J128" s="975"/>
      <c r="K128" s="975"/>
      <c r="L128" s="1012">
        <f>SUM(L111:L115,L118:L120)</f>
        <v>111.51353599999999</v>
      </c>
      <c r="M128" s="977"/>
      <c r="N128" s="978">
        <f>L128-H128</f>
        <v>-0.59595680000001039</v>
      </c>
      <c r="O128" s="979">
        <f>IF((H128)=0,"",(N128/H128))</f>
        <v>-5.3158460101427772E-3</v>
      </c>
      <c r="P128" s="706"/>
    </row>
    <row r="129" spans="1:16">
      <c r="A129" s="706"/>
      <c r="B129" s="980" t="s">
        <v>1140</v>
      </c>
      <c r="C129" s="909"/>
      <c r="D129" s="909"/>
      <c r="E129" s="909"/>
      <c r="F129" s="981">
        <v>0.13</v>
      </c>
      <c r="G129" s="992"/>
      <c r="H129" s="982">
        <f>H128*F129</f>
        <v>14.574234064000001</v>
      </c>
      <c r="I129" s="983"/>
      <c r="J129" s="1013">
        <v>0.13</v>
      </c>
      <c r="K129" s="983"/>
      <c r="L129" s="986">
        <f>L128*J129</f>
        <v>14.496759679999998</v>
      </c>
      <c r="M129" s="987"/>
      <c r="N129" s="988">
        <f t="shared" si="16"/>
        <v>-7.7474384000002061E-2</v>
      </c>
      <c r="O129" s="989">
        <f t="shared" si="19"/>
        <v>-5.3158460101428258E-3</v>
      </c>
      <c r="P129" s="706"/>
    </row>
    <row r="130" spans="1:16">
      <c r="A130" s="706"/>
      <c r="B130" s="990" t="s">
        <v>1141</v>
      </c>
      <c r="C130" s="909"/>
      <c r="D130" s="909"/>
      <c r="E130" s="909"/>
      <c r="F130" s="991"/>
      <c r="G130" s="992"/>
      <c r="H130" s="982">
        <f>H128+H129</f>
        <v>126.68372686399999</v>
      </c>
      <c r="I130" s="983"/>
      <c r="J130" s="983"/>
      <c r="K130" s="983"/>
      <c r="L130" s="986">
        <f>L128+L129</f>
        <v>126.01029567999998</v>
      </c>
      <c r="M130" s="987"/>
      <c r="N130" s="988">
        <f t="shared" si="16"/>
        <v>-0.6734311840000089</v>
      </c>
      <c r="O130" s="989">
        <f t="shared" si="19"/>
        <v>-5.3158460101427546E-3</v>
      </c>
      <c r="P130" s="706"/>
    </row>
    <row r="131" spans="1:16" ht="12.75" customHeight="1">
      <c r="A131" s="706"/>
      <c r="B131" s="1491" t="s">
        <v>1142</v>
      </c>
      <c r="C131" s="1491"/>
      <c r="D131" s="1491"/>
      <c r="E131" s="909"/>
      <c r="F131" s="991"/>
      <c r="G131" s="992"/>
      <c r="H131" s="993">
        <f>ROUND(-H130*10%,2)</f>
        <v>-12.67</v>
      </c>
      <c r="I131" s="983"/>
      <c r="J131" s="983"/>
      <c r="K131" s="983"/>
      <c r="L131" s="994">
        <f>ROUND(-L130*10%,2)</f>
        <v>-12.6</v>
      </c>
      <c r="M131" s="987"/>
      <c r="N131" s="995">
        <f t="shared" si="16"/>
        <v>7.0000000000000284E-2</v>
      </c>
      <c r="O131" s="996">
        <f t="shared" si="19"/>
        <v>-5.524861878453061E-3</v>
      </c>
      <c r="P131" s="706"/>
    </row>
    <row r="132" spans="1:16" ht="13.5" customHeight="1" thickBot="1">
      <c r="A132" s="706"/>
      <c r="B132" s="1484" t="s">
        <v>1145</v>
      </c>
      <c r="C132" s="1484"/>
      <c r="D132" s="1484"/>
      <c r="E132" s="997"/>
      <c r="F132" s="1014"/>
      <c r="G132" s="1015"/>
      <c r="H132" s="1016">
        <f>H130+H131</f>
        <v>114.01372686399999</v>
      </c>
      <c r="I132" s="1017"/>
      <c r="J132" s="1017"/>
      <c r="K132" s="1017"/>
      <c r="L132" s="1018">
        <f>L130+L131</f>
        <v>113.41029567999999</v>
      </c>
      <c r="M132" s="1019"/>
      <c r="N132" s="1020">
        <f t="shared" si="16"/>
        <v>-0.60343118400000151</v>
      </c>
      <c r="O132" s="1021">
        <f t="shared" si="19"/>
        <v>-5.2926187100242562E-3</v>
      </c>
      <c r="P132" s="706"/>
    </row>
    <row r="133" spans="1:16" ht="13.5" thickBot="1">
      <c r="A133" s="706"/>
      <c r="B133" s="960"/>
      <c r="C133" s="961"/>
      <c r="D133" s="962"/>
      <c r="E133" s="961"/>
      <c r="F133" s="1006"/>
      <c r="G133" s="1007"/>
      <c r="H133" s="1008"/>
      <c r="I133" s="1009"/>
      <c r="J133" s="1006"/>
      <c r="K133" s="964"/>
      <c r="L133" s="1010"/>
      <c r="M133" s="966"/>
      <c r="N133" s="1011"/>
      <c r="O133" s="969"/>
      <c r="P133" s="706"/>
    </row>
    <row r="134" spans="1:16">
      <c r="A134" s="706"/>
      <c r="B134" s="706"/>
      <c r="C134" s="706"/>
      <c r="D134" s="706"/>
      <c r="E134" s="706"/>
      <c r="F134" s="706"/>
      <c r="G134" s="706"/>
      <c r="H134" s="706"/>
      <c r="I134" s="706"/>
      <c r="J134" s="706"/>
      <c r="K134" s="706"/>
      <c r="L134" s="1022"/>
      <c r="M134" s="706"/>
      <c r="N134" s="706"/>
      <c r="O134" s="706"/>
      <c r="P134" s="706"/>
    </row>
    <row r="135" spans="1:16">
      <c r="A135" s="706"/>
      <c r="B135" s="711" t="s">
        <v>1146</v>
      </c>
      <c r="C135" s="706"/>
      <c r="D135" s="706"/>
      <c r="E135" s="706"/>
      <c r="F135" s="1023">
        <v>5.2699999999999969E-2</v>
      </c>
      <c r="G135" s="706"/>
      <c r="H135" s="706"/>
      <c r="I135" s="706"/>
      <c r="J135" s="1023">
        <v>5.3999999999999999E-2</v>
      </c>
      <c r="K135" s="706"/>
      <c r="L135" s="706"/>
      <c r="M135" s="706"/>
      <c r="N135" s="706"/>
      <c r="O135" s="706"/>
      <c r="P135" s="706"/>
    </row>
    <row r="136" spans="1:16">
      <c r="A136" s="706"/>
      <c r="B136" s="706"/>
      <c r="C136" s="706"/>
      <c r="D136" s="706"/>
      <c r="E136" s="706"/>
      <c r="F136" s="706"/>
      <c r="G136" s="706"/>
      <c r="H136" s="706"/>
      <c r="I136" s="706"/>
      <c r="J136" s="706"/>
      <c r="K136" s="706"/>
      <c r="L136" s="706"/>
      <c r="M136" s="706"/>
      <c r="N136" s="706"/>
      <c r="O136" s="706"/>
      <c r="P136" s="706"/>
    </row>
    <row r="137" spans="1:16" ht="14.25">
      <c r="A137" s="1024" t="s">
        <v>1147</v>
      </c>
      <c r="B137" s="706"/>
      <c r="C137" s="706"/>
      <c r="D137" s="706"/>
      <c r="E137" s="706"/>
      <c r="F137" s="706"/>
      <c r="G137" s="706"/>
      <c r="H137" s="706"/>
      <c r="I137" s="706"/>
      <c r="J137" s="706"/>
      <c r="K137" s="706"/>
      <c r="L137" s="706"/>
      <c r="M137" s="706"/>
      <c r="N137" s="706"/>
      <c r="O137" s="706"/>
      <c r="P137" s="706"/>
    </row>
    <row r="138" spans="1:16">
      <c r="A138" s="706"/>
      <c r="B138" s="706"/>
      <c r="C138" s="706"/>
      <c r="D138" s="706"/>
      <c r="E138" s="706"/>
      <c r="F138" s="706"/>
      <c r="G138" s="706"/>
      <c r="H138" s="706"/>
      <c r="I138" s="706"/>
      <c r="J138" s="706"/>
      <c r="K138" s="706"/>
      <c r="L138" s="706"/>
      <c r="M138" s="706"/>
      <c r="N138" s="706"/>
      <c r="O138" s="706"/>
      <c r="P138" s="706"/>
    </row>
    <row r="139" spans="1:16">
      <c r="A139" s="706" t="s">
        <v>1148</v>
      </c>
      <c r="B139" s="706"/>
      <c r="C139" s="706"/>
      <c r="D139" s="706"/>
      <c r="E139" s="706"/>
      <c r="F139" s="706"/>
      <c r="G139" s="706"/>
      <c r="H139" s="706"/>
      <c r="I139" s="706"/>
      <c r="J139" s="706"/>
      <c r="K139" s="706"/>
      <c r="L139" s="706"/>
      <c r="M139" s="706"/>
      <c r="N139" s="706"/>
      <c r="O139" s="706"/>
      <c r="P139" s="706"/>
    </row>
    <row r="140" spans="1:16">
      <c r="A140" s="706" t="s">
        <v>1149</v>
      </c>
      <c r="B140" s="706"/>
      <c r="C140" s="706"/>
      <c r="D140" s="706"/>
      <c r="E140" s="706"/>
      <c r="F140" s="706"/>
      <c r="G140" s="706"/>
      <c r="H140" s="706"/>
      <c r="I140" s="706"/>
      <c r="J140" s="706"/>
      <c r="K140" s="706"/>
      <c r="L140" s="706"/>
      <c r="M140" s="706"/>
      <c r="N140" s="706"/>
      <c r="O140" s="706"/>
      <c r="P140" s="706"/>
    </row>
    <row r="141" spans="1:16">
      <c r="A141" s="706"/>
      <c r="B141" s="706"/>
      <c r="C141" s="706"/>
      <c r="D141" s="706"/>
      <c r="E141" s="706"/>
      <c r="F141" s="706"/>
      <c r="G141" s="706"/>
      <c r="H141" s="706"/>
      <c r="I141" s="706"/>
      <c r="J141" s="706"/>
      <c r="K141" s="706"/>
      <c r="L141" s="706"/>
      <c r="M141" s="706"/>
      <c r="N141" s="706"/>
      <c r="O141" s="706"/>
      <c r="P141" s="706"/>
    </row>
    <row r="142" spans="1:16">
      <c r="A142" s="706" t="s">
        <v>1150</v>
      </c>
      <c r="B142" s="706"/>
      <c r="C142" s="706"/>
      <c r="D142" s="706"/>
      <c r="E142" s="706"/>
      <c r="F142" s="706"/>
      <c r="G142" s="706"/>
      <c r="H142" s="706"/>
      <c r="I142" s="706"/>
      <c r="J142" s="706"/>
      <c r="K142" s="706"/>
      <c r="L142" s="706"/>
      <c r="M142" s="706"/>
      <c r="N142" s="706"/>
      <c r="O142" s="706"/>
      <c r="P142" s="706"/>
    </row>
    <row r="143" spans="1:16">
      <c r="A143" s="706" t="s">
        <v>1151</v>
      </c>
      <c r="B143" s="706"/>
      <c r="C143" s="706"/>
      <c r="D143" s="706"/>
      <c r="E143" s="706"/>
      <c r="F143" s="706"/>
      <c r="G143" s="706"/>
      <c r="H143" s="706"/>
      <c r="I143" s="706"/>
      <c r="J143" s="706"/>
      <c r="K143" s="706"/>
      <c r="L143" s="706"/>
      <c r="M143" s="706"/>
      <c r="N143" s="706"/>
      <c r="O143" s="706"/>
      <c r="P143" s="706"/>
    </row>
    <row r="144" spans="1:16">
      <c r="A144" s="706"/>
      <c r="B144" s="706"/>
      <c r="C144" s="706"/>
      <c r="D144" s="706"/>
      <c r="E144" s="706"/>
      <c r="F144" s="706"/>
      <c r="G144" s="706"/>
      <c r="H144" s="706"/>
      <c r="I144" s="706"/>
      <c r="J144" s="706"/>
      <c r="K144" s="706"/>
      <c r="L144" s="706"/>
      <c r="M144" s="706"/>
      <c r="N144" s="706"/>
      <c r="O144" s="706"/>
      <c r="P144" s="706"/>
    </row>
    <row r="145" spans="1:16">
      <c r="A145" s="706" t="s">
        <v>1152</v>
      </c>
      <c r="B145" s="706"/>
      <c r="C145" s="706"/>
      <c r="D145" s="706"/>
      <c r="E145" s="706"/>
      <c r="F145" s="706"/>
      <c r="G145" s="706"/>
      <c r="H145" s="706"/>
      <c r="I145" s="706"/>
      <c r="J145" s="706"/>
      <c r="K145" s="706"/>
      <c r="L145" s="706"/>
      <c r="M145" s="706"/>
      <c r="N145" s="706"/>
      <c r="O145" s="706"/>
      <c r="P145" s="706"/>
    </row>
    <row r="146" spans="1:16">
      <c r="A146" s="706" t="s">
        <v>1153</v>
      </c>
      <c r="B146" s="706"/>
      <c r="C146" s="706"/>
      <c r="D146" s="706"/>
      <c r="E146" s="706"/>
      <c r="F146" s="706"/>
      <c r="G146" s="706"/>
      <c r="H146" s="706"/>
      <c r="I146" s="706"/>
      <c r="J146" s="706"/>
      <c r="K146" s="706"/>
      <c r="L146" s="706"/>
      <c r="M146" s="706"/>
      <c r="N146" s="706"/>
      <c r="O146" s="706"/>
      <c r="P146" s="706"/>
    </row>
    <row r="147" spans="1:16">
      <c r="A147" s="706" t="s">
        <v>1154</v>
      </c>
      <c r="B147" s="706"/>
      <c r="C147" s="706"/>
      <c r="D147" s="706"/>
      <c r="E147" s="706"/>
      <c r="F147" s="706"/>
      <c r="G147" s="706"/>
      <c r="H147" s="706"/>
      <c r="I147" s="706"/>
      <c r="J147" s="706"/>
      <c r="K147" s="706"/>
      <c r="L147" s="706"/>
      <c r="M147" s="706"/>
      <c r="N147" s="706"/>
      <c r="O147" s="706"/>
      <c r="P147" s="706"/>
    </row>
    <row r="148" spans="1:16">
      <c r="A148" s="706" t="s">
        <v>1155</v>
      </c>
      <c r="B148" s="706"/>
      <c r="C148" s="706"/>
      <c r="D148" s="706"/>
      <c r="E148" s="706"/>
      <c r="F148" s="706"/>
      <c r="G148" s="706"/>
      <c r="H148" s="706"/>
      <c r="I148" s="706"/>
      <c r="J148" s="706"/>
      <c r="K148" s="706"/>
      <c r="L148" s="706"/>
      <c r="M148" s="706"/>
      <c r="N148" s="706"/>
      <c r="O148" s="706"/>
      <c r="P148" s="706"/>
    </row>
    <row r="149" spans="1:16">
      <c r="A149" s="706" t="s">
        <v>1156</v>
      </c>
      <c r="B149" s="706"/>
      <c r="C149" s="706"/>
      <c r="D149" s="706"/>
      <c r="E149" s="706"/>
      <c r="F149" s="706"/>
      <c r="G149" s="706"/>
      <c r="H149" s="706"/>
      <c r="I149" s="706"/>
      <c r="J149" s="706"/>
      <c r="K149" s="706"/>
      <c r="L149" s="706"/>
      <c r="M149" s="706"/>
      <c r="N149" s="706"/>
      <c r="O149" s="706"/>
      <c r="P149" s="706"/>
    </row>
    <row r="151" spans="1:16" ht="21.75">
      <c r="A151" s="892"/>
      <c r="B151" s="892"/>
      <c r="C151" s="892"/>
      <c r="D151" s="892"/>
      <c r="E151" s="892"/>
      <c r="F151" s="892"/>
      <c r="G151" s="892"/>
      <c r="H151" s="892"/>
      <c r="I151" s="892"/>
      <c r="J151" s="892"/>
      <c r="K151" s="892"/>
      <c r="L151" s="893"/>
      <c r="M151" s="893"/>
      <c r="N151" s="31" t="s">
        <v>131</v>
      </c>
      <c r="O151" s="32" t="s">
        <v>20</v>
      </c>
    </row>
    <row r="152" spans="1:16" ht="18">
      <c r="A152" s="894"/>
      <c r="B152" s="894"/>
      <c r="C152" s="894"/>
      <c r="D152" s="894"/>
      <c r="E152" s="894"/>
      <c r="F152" s="894"/>
      <c r="G152" s="894"/>
      <c r="H152" s="894"/>
      <c r="I152" s="894"/>
      <c r="J152" s="894"/>
      <c r="K152" s="894"/>
      <c r="L152" s="893"/>
      <c r="M152" s="893"/>
      <c r="N152" s="31" t="s">
        <v>132</v>
      </c>
      <c r="O152" s="33"/>
    </row>
    <row r="153" spans="1:16" ht="18">
      <c r="A153" s="1492"/>
      <c r="B153" s="1492"/>
      <c r="C153" s="1492"/>
      <c r="D153" s="1492"/>
      <c r="E153" s="1492"/>
      <c r="F153" s="1492"/>
      <c r="G153" s="1492"/>
      <c r="H153" s="1492"/>
      <c r="I153" s="1492"/>
      <c r="J153" s="1492"/>
      <c r="K153" s="1492"/>
      <c r="L153" s="893"/>
      <c r="M153" s="893"/>
      <c r="N153" s="31" t="s">
        <v>133</v>
      </c>
      <c r="O153" s="33"/>
    </row>
    <row r="154" spans="1:16" ht="18">
      <c r="A154" s="894"/>
      <c r="B154" s="894"/>
      <c r="C154" s="894"/>
      <c r="D154" s="894"/>
      <c r="E154" s="894"/>
      <c r="F154" s="894"/>
      <c r="G154" s="894"/>
      <c r="H154" s="894"/>
      <c r="I154" s="895"/>
      <c r="J154" s="895"/>
      <c r="K154" s="895"/>
      <c r="L154" s="893"/>
      <c r="M154" s="893"/>
      <c r="N154" s="31" t="s">
        <v>134</v>
      </c>
      <c r="O154" s="33"/>
    </row>
    <row r="155" spans="1:16" ht="15.75">
      <c r="A155" s="893"/>
      <c r="B155" s="893"/>
      <c r="C155" s="896"/>
      <c r="D155" s="896"/>
      <c r="E155" s="896"/>
      <c r="F155" s="893"/>
      <c r="G155" s="893"/>
      <c r="H155" s="893"/>
      <c r="I155" s="893"/>
      <c r="J155" s="893"/>
      <c r="K155" s="893"/>
      <c r="L155" s="893"/>
      <c r="M155" s="893"/>
      <c r="N155" s="31" t="s">
        <v>439</v>
      </c>
      <c r="O155" s="34" t="s">
        <v>1158</v>
      </c>
    </row>
    <row r="156" spans="1:16">
      <c r="A156" s="893"/>
      <c r="B156" s="893"/>
      <c r="C156" s="893"/>
      <c r="D156" s="893"/>
      <c r="E156" s="893"/>
      <c r="F156" s="893"/>
      <c r="G156" s="893"/>
      <c r="H156" s="893"/>
      <c r="I156" s="893"/>
      <c r="J156" s="893"/>
      <c r="K156" s="893"/>
      <c r="L156" s="893"/>
      <c r="M156" s="893"/>
      <c r="N156" s="31"/>
      <c r="O156" s="32"/>
    </row>
    <row r="157" spans="1:16">
      <c r="A157" s="893"/>
      <c r="B157" s="893"/>
      <c r="C157" s="893"/>
      <c r="D157" s="893"/>
      <c r="E157" s="893"/>
      <c r="F157" s="893"/>
      <c r="G157" s="893"/>
      <c r="H157" s="893"/>
      <c r="I157" s="893"/>
      <c r="J157" s="893"/>
      <c r="K157" s="893"/>
      <c r="L157" s="893"/>
      <c r="M157" s="893"/>
      <c r="N157" s="31" t="s">
        <v>136</v>
      </c>
      <c r="O157" s="35" t="s">
        <v>1171</v>
      </c>
    </row>
    <row r="158" spans="1:16">
      <c r="A158" s="893"/>
      <c r="B158" s="893"/>
      <c r="C158" s="893"/>
      <c r="D158" s="893"/>
      <c r="E158" s="893"/>
      <c r="F158" s="893"/>
      <c r="G158" s="893"/>
      <c r="H158" s="893"/>
      <c r="I158" s="893"/>
      <c r="J158" s="893"/>
      <c r="K158" s="893"/>
      <c r="L158" s="893"/>
      <c r="M158" s="893"/>
      <c r="N158" s="706"/>
    </row>
    <row r="159" spans="1:16">
      <c r="A159" s="706"/>
      <c r="B159" s="706"/>
      <c r="C159" s="706"/>
      <c r="D159" s="706"/>
      <c r="E159" s="706"/>
      <c r="F159" s="706"/>
      <c r="G159" s="706"/>
      <c r="H159" s="706"/>
      <c r="I159" s="706"/>
      <c r="J159" s="706"/>
      <c r="K159" s="706"/>
    </row>
    <row r="160" spans="1:16" ht="18">
      <c r="A160" s="706"/>
      <c r="B160" s="1493" t="s">
        <v>1100</v>
      </c>
      <c r="C160" s="1493"/>
      <c r="D160" s="1493"/>
      <c r="E160" s="1493"/>
      <c r="F160" s="1493"/>
      <c r="G160" s="1493"/>
      <c r="H160" s="1493"/>
      <c r="I160" s="1493"/>
      <c r="J160" s="1493"/>
      <c r="K160" s="1493"/>
      <c r="L160" s="1493"/>
      <c r="M160" s="1493"/>
      <c r="N160" s="1493"/>
      <c r="O160" s="1493"/>
    </row>
    <row r="161" spans="1:16" ht="18">
      <c r="A161" s="706"/>
      <c r="B161" s="1493" t="s">
        <v>1101</v>
      </c>
      <c r="C161" s="1493"/>
      <c r="D161" s="1493"/>
      <c r="E161" s="1493"/>
      <c r="F161" s="1493"/>
      <c r="G161" s="1493"/>
      <c r="H161" s="1493"/>
      <c r="I161" s="1493"/>
      <c r="J161" s="1493"/>
      <c r="K161" s="1493"/>
      <c r="L161" s="1493"/>
      <c r="M161" s="1493"/>
      <c r="N161" s="1493"/>
      <c r="O161" s="1493"/>
    </row>
    <row r="162" spans="1:16">
      <c r="A162" s="706"/>
      <c r="B162" s="706"/>
      <c r="C162" s="706"/>
      <c r="D162" s="706"/>
      <c r="E162" s="706"/>
      <c r="F162" s="706"/>
      <c r="G162" s="706"/>
      <c r="H162" s="706"/>
      <c r="I162" s="706"/>
      <c r="J162" s="706"/>
      <c r="K162" s="706"/>
    </row>
    <row r="163" spans="1:16">
      <c r="A163" s="706"/>
      <c r="B163" s="706"/>
      <c r="C163" s="706"/>
      <c r="D163" s="706"/>
      <c r="E163" s="706"/>
      <c r="F163" s="706"/>
      <c r="G163" s="706"/>
      <c r="H163" s="706"/>
      <c r="I163" s="706"/>
      <c r="J163" s="706"/>
      <c r="K163" s="706"/>
    </row>
    <row r="164" spans="1:16" ht="15.75">
      <c r="A164" s="706"/>
      <c r="B164" s="897" t="s">
        <v>1102</v>
      </c>
      <c r="C164" s="706"/>
      <c r="D164" s="1494" t="s">
        <v>1159</v>
      </c>
      <c r="E164" s="1494"/>
      <c r="F164" s="1494"/>
      <c r="G164" s="1494"/>
      <c r="H164" s="1494"/>
      <c r="I164" s="1494"/>
      <c r="J164" s="1494"/>
      <c r="K164" s="1494"/>
      <c r="L164" s="1494"/>
      <c r="M164" s="1494"/>
      <c r="N164" s="1494"/>
      <c r="O164" s="1494"/>
      <c r="P164" s="706"/>
    </row>
    <row r="165" spans="1:16" ht="15.75">
      <c r="A165" s="706"/>
      <c r="B165" s="898"/>
      <c r="C165" s="706"/>
      <c r="D165" s="899"/>
      <c r="E165" s="899"/>
      <c r="F165" s="899"/>
      <c r="G165" s="899"/>
      <c r="H165" s="899"/>
      <c r="I165" s="899"/>
      <c r="J165" s="899"/>
      <c r="K165" s="899"/>
      <c r="L165" s="899"/>
      <c r="M165" s="899"/>
      <c r="N165" s="899"/>
      <c r="O165" s="899"/>
      <c r="P165" s="706"/>
    </row>
    <row r="166" spans="1:16">
      <c r="A166" s="706"/>
      <c r="B166" s="900"/>
      <c r="C166" s="706"/>
      <c r="D166" s="711" t="s">
        <v>1103</v>
      </c>
      <c r="E166" s="711"/>
      <c r="F166" s="901">
        <v>2000</v>
      </c>
      <c r="G166" s="711" t="s">
        <v>1104</v>
      </c>
      <c r="H166" s="706"/>
      <c r="I166" s="706"/>
      <c r="J166" s="706"/>
      <c r="K166" s="706"/>
      <c r="L166" s="706"/>
      <c r="M166" s="706"/>
      <c r="N166" s="706"/>
      <c r="O166" s="706"/>
      <c r="P166" s="706"/>
    </row>
    <row r="167" spans="1:16">
      <c r="A167" s="706"/>
      <c r="B167" s="900"/>
      <c r="C167" s="706"/>
      <c r="D167" s="706"/>
      <c r="E167" s="706"/>
      <c r="F167" s="706"/>
      <c r="G167" s="706"/>
      <c r="H167" s="706"/>
      <c r="I167" s="706"/>
      <c r="J167" s="706"/>
      <c r="K167" s="706"/>
      <c r="L167" s="706"/>
      <c r="M167" s="706"/>
      <c r="N167" s="706"/>
      <c r="O167" s="706"/>
      <c r="P167" s="706"/>
    </row>
    <row r="168" spans="1:16">
      <c r="A168" s="706"/>
      <c r="B168" s="900"/>
      <c r="C168" s="706"/>
      <c r="D168" s="902"/>
      <c r="E168" s="902"/>
      <c r="F168" s="1495" t="s">
        <v>1105</v>
      </c>
      <c r="G168" s="1496"/>
      <c r="H168" s="1497"/>
      <c r="I168" s="706"/>
      <c r="J168" s="1495" t="s">
        <v>1106</v>
      </c>
      <c r="K168" s="1496"/>
      <c r="L168" s="1497"/>
      <c r="M168" s="706"/>
      <c r="N168" s="1495" t="s">
        <v>1107</v>
      </c>
      <c r="O168" s="1497"/>
      <c r="P168" s="706"/>
    </row>
    <row r="169" spans="1:16" ht="12.75" customHeight="1">
      <c r="A169" s="706"/>
      <c r="B169" s="900"/>
      <c r="C169" s="706"/>
      <c r="D169" s="1485" t="s">
        <v>1108</v>
      </c>
      <c r="E169" s="903"/>
      <c r="F169" s="904" t="s">
        <v>1109</v>
      </c>
      <c r="G169" s="904" t="s">
        <v>1110</v>
      </c>
      <c r="H169" s="905" t="s">
        <v>1111</v>
      </c>
      <c r="I169" s="706"/>
      <c r="J169" s="904" t="s">
        <v>1109</v>
      </c>
      <c r="K169" s="906" t="s">
        <v>1110</v>
      </c>
      <c r="L169" s="905" t="s">
        <v>1111</v>
      </c>
      <c r="M169" s="706"/>
      <c r="N169" s="1487" t="s">
        <v>1112</v>
      </c>
      <c r="O169" s="1489" t="s">
        <v>1113</v>
      </c>
      <c r="P169" s="706"/>
    </row>
    <row r="170" spans="1:16">
      <c r="A170" s="706"/>
      <c r="B170" s="900"/>
      <c r="C170" s="706"/>
      <c r="D170" s="1486"/>
      <c r="E170" s="903"/>
      <c r="F170" s="907" t="s">
        <v>831</v>
      </c>
      <c r="G170" s="907"/>
      <c r="H170" s="908" t="s">
        <v>831</v>
      </c>
      <c r="I170" s="706"/>
      <c r="J170" s="907" t="s">
        <v>831</v>
      </c>
      <c r="K170" s="908"/>
      <c r="L170" s="908" t="s">
        <v>831</v>
      </c>
      <c r="M170" s="706"/>
      <c r="N170" s="1488"/>
      <c r="O170" s="1490"/>
      <c r="P170" s="706"/>
    </row>
    <row r="171" spans="1:16">
      <c r="A171" s="706"/>
      <c r="B171" s="909" t="s">
        <v>1089</v>
      </c>
      <c r="C171" s="909"/>
      <c r="D171" s="910" t="s">
        <v>1114</v>
      </c>
      <c r="E171" s="911"/>
      <c r="F171" s="912">
        <v>21.55</v>
      </c>
      <c r="G171" s="913">
        <v>1</v>
      </c>
      <c r="H171" s="914">
        <f>G171*F171</f>
        <v>21.55</v>
      </c>
      <c r="I171" s="915"/>
      <c r="J171" s="916">
        <v>21.09</v>
      </c>
      <c r="K171" s="917">
        <v>1</v>
      </c>
      <c r="L171" s="914">
        <f>K171*J171</f>
        <v>21.09</v>
      </c>
      <c r="M171" s="915"/>
      <c r="N171" s="918">
        <f>L171-H171</f>
        <v>-0.46000000000000085</v>
      </c>
      <c r="O171" s="919">
        <f>IF((H171)=0,"",(N171/H171))</f>
        <v>-2.1345707656612568E-2</v>
      </c>
      <c r="P171" s="706"/>
    </row>
    <row r="172" spans="1:16">
      <c r="A172" s="706"/>
      <c r="B172" s="909" t="s">
        <v>1169</v>
      </c>
      <c r="C172" s="909"/>
      <c r="D172" s="910" t="s">
        <v>1114</v>
      </c>
      <c r="E172" s="911"/>
      <c r="F172" s="912">
        <v>0.78800000000000003</v>
      </c>
      <c r="G172" s="913">
        <v>1</v>
      </c>
      <c r="H172" s="914">
        <f t="shared" ref="H172:H178" si="22">G172*F172</f>
        <v>0.78800000000000003</v>
      </c>
      <c r="I172" s="915"/>
      <c r="J172" s="916">
        <v>0.78800000000000003</v>
      </c>
      <c r="K172" s="917">
        <v>1</v>
      </c>
      <c r="L172" s="914">
        <f>K172*J172</f>
        <v>0.78800000000000003</v>
      </c>
      <c r="M172" s="915"/>
      <c r="N172" s="918">
        <f>L172-H172</f>
        <v>0</v>
      </c>
      <c r="O172" s="919">
        <f>IF((H172)=0,"",(N172/H172))</f>
        <v>0</v>
      </c>
      <c r="P172" s="706"/>
    </row>
    <row r="173" spans="1:16">
      <c r="A173" s="706"/>
      <c r="B173" s="920" t="s">
        <v>1116</v>
      </c>
      <c r="C173" s="909"/>
      <c r="D173" s="910" t="s">
        <v>1114</v>
      </c>
      <c r="E173" s="911"/>
      <c r="F173" s="912">
        <v>0</v>
      </c>
      <c r="G173" s="913">
        <v>1</v>
      </c>
      <c r="H173" s="914">
        <f t="shared" si="22"/>
        <v>0</v>
      </c>
      <c r="I173" s="915"/>
      <c r="J173" s="916">
        <v>0</v>
      </c>
      <c r="K173" s="917">
        <v>1</v>
      </c>
      <c r="L173" s="914">
        <f t="shared" ref="L173:L178" si="23">K173*J173</f>
        <v>0</v>
      </c>
      <c r="M173" s="915"/>
      <c r="N173" s="918">
        <f t="shared" ref="N173:N207" si="24">L173-H173</f>
        <v>0</v>
      </c>
      <c r="O173" s="919" t="str">
        <f t="shared" ref="O173:O179" si="25">IF((H173)=0,"",(N173/H173))</f>
        <v/>
      </c>
      <c r="P173" s="706"/>
    </row>
    <row r="174" spans="1:16">
      <c r="A174" s="706"/>
      <c r="B174" s="909" t="s">
        <v>1117</v>
      </c>
      <c r="C174" s="909"/>
      <c r="D174" s="910" t="s">
        <v>1087</v>
      </c>
      <c r="E174" s="911"/>
      <c r="F174" s="912">
        <v>1.8599999999999998E-2</v>
      </c>
      <c r="G174" s="913">
        <f>F166</f>
        <v>2000</v>
      </c>
      <c r="H174" s="914">
        <f t="shared" si="22"/>
        <v>37.199999999999996</v>
      </c>
      <c r="I174" s="915"/>
      <c r="J174" s="916">
        <v>1.8200000000000001E-2</v>
      </c>
      <c r="K174" s="913">
        <f>F166</f>
        <v>2000</v>
      </c>
      <c r="L174" s="914">
        <f t="shared" si="23"/>
        <v>36.4</v>
      </c>
      <c r="M174" s="915"/>
      <c r="N174" s="918">
        <f t="shared" si="24"/>
        <v>-0.79999999999999716</v>
      </c>
      <c r="O174" s="919">
        <f t="shared" si="25"/>
        <v>-2.1505376344085947E-2</v>
      </c>
      <c r="P174" s="706"/>
    </row>
    <row r="175" spans="1:16">
      <c r="A175" s="706"/>
      <c r="B175" s="909" t="s">
        <v>1118</v>
      </c>
      <c r="C175" s="909"/>
      <c r="D175" s="910" t="s">
        <v>1114</v>
      </c>
      <c r="E175" s="911"/>
      <c r="F175" s="912">
        <v>0</v>
      </c>
      <c r="G175" s="913">
        <v>1</v>
      </c>
      <c r="H175" s="914">
        <f t="shared" si="22"/>
        <v>0</v>
      </c>
      <c r="I175" s="915"/>
      <c r="J175" s="916">
        <v>5.54</v>
      </c>
      <c r="K175" s="913">
        <v>1</v>
      </c>
      <c r="L175" s="914">
        <f t="shared" si="23"/>
        <v>5.54</v>
      </c>
      <c r="M175" s="915"/>
      <c r="N175" s="918">
        <f t="shared" si="24"/>
        <v>5.54</v>
      </c>
      <c r="O175" s="919" t="str">
        <f t="shared" si="25"/>
        <v/>
      </c>
      <c r="P175" s="706"/>
    </row>
    <row r="176" spans="1:16">
      <c r="A176" s="706"/>
      <c r="B176" s="909" t="s">
        <v>1119</v>
      </c>
      <c r="C176" s="909"/>
      <c r="D176" s="910" t="s">
        <v>1088</v>
      </c>
      <c r="E176" s="911"/>
      <c r="F176" s="912">
        <v>1E-4</v>
      </c>
      <c r="G176" s="913">
        <f>F166</f>
        <v>2000</v>
      </c>
      <c r="H176" s="914">
        <f t="shared" si="22"/>
        <v>0.2</v>
      </c>
      <c r="I176" s="915"/>
      <c r="J176" s="916">
        <v>0</v>
      </c>
      <c r="K176" s="913">
        <f>F166</f>
        <v>2000</v>
      </c>
      <c r="L176" s="914">
        <f t="shared" si="23"/>
        <v>0</v>
      </c>
      <c r="M176" s="915"/>
      <c r="N176" s="918">
        <f t="shared" si="24"/>
        <v>-0.2</v>
      </c>
      <c r="O176" s="919">
        <f t="shared" si="25"/>
        <v>-1</v>
      </c>
      <c r="P176" s="706"/>
    </row>
    <row r="177" spans="1:16">
      <c r="A177" s="706"/>
      <c r="B177" s="921" t="s">
        <v>1120</v>
      </c>
      <c r="C177" s="909"/>
      <c r="D177" s="910" t="s">
        <v>1088</v>
      </c>
      <c r="E177" s="911"/>
      <c r="F177" s="912">
        <v>-4.0000000000000002E-4</v>
      </c>
      <c r="G177" s="913">
        <f>F166</f>
        <v>2000</v>
      </c>
      <c r="H177" s="914">
        <f t="shared" si="22"/>
        <v>-0.8</v>
      </c>
      <c r="I177" s="915"/>
      <c r="J177" s="916">
        <v>0</v>
      </c>
      <c r="K177" s="913">
        <f>F166</f>
        <v>2000</v>
      </c>
      <c r="L177" s="914">
        <f t="shared" si="23"/>
        <v>0</v>
      </c>
      <c r="M177" s="915"/>
      <c r="N177" s="918">
        <f t="shared" si="24"/>
        <v>0.8</v>
      </c>
      <c r="O177" s="919">
        <f t="shared" si="25"/>
        <v>-1</v>
      </c>
      <c r="P177" s="706"/>
    </row>
    <row r="178" spans="1:16">
      <c r="A178" s="706"/>
      <c r="B178" s="921" t="s">
        <v>1121</v>
      </c>
      <c r="C178" s="909"/>
      <c r="D178" s="910" t="s">
        <v>1114</v>
      </c>
      <c r="E178" s="911"/>
      <c r="F178" s="912">
        <v>0</v>
      </c>
      <c r="G178" s="913">
        <v>1</v>
      </c>
      <c r="H178" s="914">
        <f t="shared" si="22"/>
        <v>0</v>
      </c>
      <c r="I178" s="915"/>
      <c r="J178" s="916">
        <v>1.81</v>
      </c>
      <c r="K178" s="913">
        <v>1</v>
      </c>
      <c r="L178" s="914">
        <f t="shared" si="23"/>
        <v>1.81</v>
      </c>
      <c r="M178" s="915"/>
      <c r="N178" s="918">
        <f t="shared" si="24"/>
        <v>1.81</v>
      </c>
      <c r="O178" s="919" t="str">
        <f t="shared" si="25"/>
        <v/>
      </c>
      <c r="P178" s="706"/>
    </row>
    <row r="179" spans="1:16">
      <c r="A179" s="755"/>
      <c r="B179" s="922" t="s">
        <v>1122</v>
      </c>
      <c r="C179" s="923"/>
      <c r="D179" s="924"/>
      <c r="E179" s="923"/>
      <c r="F179" s="925"/>
      <c r="G179" s="926"/>
      <c r="H179" s="927">
        <f>SUM(H171:H178)</f>
        <v>58.938000000000002</v>
      </c>
      <c r="I179" s="928"/>
      <c r="J179" s="929"/>
      <c r="K179" s="930"/>
      <c r="L179" s="927">
        <f>SUM(L171:L178)</f>
        <v>65.628</v>
      </c>
      <c r="M179" s="928"/>
      <c r="N179" s="931">
        <f t="shared" si="24"/>
        <v>6.6899999999999977</v>
      </c>
      <c r="O179" s="932">
        <f t="shared" si="25"/>
        <v>0.11350911126946957</v>
      </c>
      <c r="P179" s="755"/>
    </row>
    <row r="180" spans="1:16">
      <c r="A180" s="706"/>
      <c r="B180" s="933" t="s">
        <v>1123</v>
      </c>
      <c r="C180" s="909"/>
      <c r="D180" s="910" t="s">
        <v>1088</v>
      </c>
      <c r="E180" s="911"/>
      <c r="F180" s="912">
        <v>-2.0000000000000001E-4</v>
      </c>
      <c r="G180" s="913">
        <f>F166</f>
        <v>2000</v>
      </c>
      <c r="H180" s="914">
        <f>G180*F180</f>
        <v>-0.4</v>
      </c>
      <c r="I180" s="915"/>
      <c r="J180" s="916">
        <v>-6.9999999999999999E-4</v>
      </c>
      <c r="K180" s="913">
        <f>F166</f>
        <v>2000</v>
      </c>
      <c r="L180" s="914">
        <f t="shared" ref="L180:L182" si="26">K180*J180</f>
        <v>-1.4</v>
      </c>
      <c r="M180" s="915"/>
      <c r="N180" s="918">
        <f t="shared" si="24"/>
        <v>-0.99999999999999989</v>
      </c>
      <c r="O180" s="919">
        <f>IF((H180)=0,"",(N180/H180))</f>
        <v>2.4999999999999996</v>
      </c>
      <c r="P180" s="706"/>
    </row>
    <row r="181" spans="1:16">
      <c r="A181" s="706"/>
      <c r="B181" s="934" t="s">
        <v>1124</v>
      </c>
      <c r="C181" s="909"/>
      <c r="D181" s="910" t="s">
        <v>1087</v>
      </c>
      <c r="E181" s="911"/>
      <c r="F181" s="912">
        <v>1E-4</v>
      </c>
      <c r="G181" s="913">
        <f>F166</f>
        <v>2000</v>
      </c>
      <c r="H181" s="914">
        <f>G181*F181</f>
        <v>0.2</v>
      </c>
      <c r="I181" s="915"/>
      <c r="J181" s="916">
        <v>1E-4</v>
      </c>
      <c r="K181" s="913">
        <f>F166</f>
        <v>2000</v>
      </c>
      <c r="L181" s="914">
        <f t="shared" si="26"/>
        <v>0.2</v>
      </c>
      <c r="M181" s="915"/>
      <c r="N181" s="918">
        <f t="shared" si="24"/>
        <v>0</v>
      </c>
      <c r="O181" s="919">
        <f>IF((H181)=0,"",(N181/H181))</f>
        <v>0</v>
      </c>
      <c r="P181" s="706"/>
    </row>
    <row r="182" spans="1:16">
      <c r="A182" s="706"/>
      <c r="B182" s="934" t="s">
        <v>1125</v>
      </c>
      <c r="C182" s="909"/>
      <c r="D182" s="910"/>
      <c r="E182" s="911"/>
      <c r="F182" s="935"/>
      <c r="G182" s="936"/>
      <c r="H182" s="937"/>
      <c r="I182" s="915"/>
      <c r="J182" s="916"/>
      <c r="K182" s="913">
        <f>F166</f>
        <v>2000</v>
      </c>
      <c r="L182" s="914">
        <f t="shared" si="26"/>
        <v>0</v>
      </c>
      <c r="M182" s="915"/>
      <c r="N182" s="918">
        <f t="shared" si="24"/>
        <v>0</v>
      </c>
      <c r="O182" s="919"/>
      <c r="P182" s="706"/>
    </row>
    <row r="183" spans="1:16">
      <c r="A183" s="706"/>
      <c r="B183" s="938" t="s">
        <v>1126</v>
      </c>
      <c r="C183" s="939"/>
      <c r="D183" s="939"/>
      <c r="E183" s="939"/>
      <c r="F183" s="940"/>
      <c r="G183" s="941"/>
      <c r="H183" s="942">
        <f>SUM(H179:H182)</f>
        <v>58.738000000000007</v>
      </c>
      <c r="I183" s="928"/>
      <c r="J183" s="941"/>
      <c r="K183" s="943"/>
      <c r="L183" s="942">
        <f>SUM(L179:L182)</f>
        <v>64.427999999999997</v>
      </c>
      <c r="M183" s="928"/>
      <c r="N183" s="931">
        <f t="shared" si="24"/>
        <v>5.6899999999999906</v>
      </c>
      <c r="O183" s="932">
        <f t="shared" ref="O183:O207" si="27">IF((H183)=0,"",(N183/H183))</f>
        <v>9.6870850216214208E-2</v>
      </c>
      <c r="P183" s="706"/>
    </row>
    <row r="184" spans="1:16">
      <c r="A184" s="706"/>
      <c r="B184" s="915" t="s">
        <v>1127</v>
      </c>
      <c r="C184" s="915"/>
      <c r="D184" s="944" t="s">
        <v>1087</v>
      </c>
      <c r="E184" s="945"/>
      <c r="F184" s="916">
        <v>4.3E-3</v>
      </c>
      <c r="G184" s="946">
        <f>F166*(1+F210)</f>
        <v>2105.4</v>
      </c>
      <c r="H184" s="914">
        <f>G184*F184</f>
        <v>9.0532199999999996</v>
      </c>
      <c r="I184" s="915"/>
      <c r="J184" s="916">
        <v>4.3E-3</v>
      </c>
      <c r="K184" s="947">
        <f>F166*(1+J210)</f>
        <v>2108</v>
      </c>
      <c r="L184" s="914">
        <f>K184*J184</f>
        <v>9.0643999999999991</v>
      </c>
      <c r="M184" s="915"/>
      <c r="N184" s="918">
        <f t="shared" si="24"/>
        <v>1.1179999999999524E-2</v>
      </c>
      <c r="O184" s="919">
        <f t="shared" si="27"/>
        <v>1.2349197302174834E-3</v>
      </c>
      <c r="P184" s="706"/>
    </row>
    <row r="185" spans="1:16">
      <c r="A185" s="706"/>
      <c r="B185" s="948" t="s">
        <v>1128</v>
      </c>
      <c r="C185" s="915"/>
      <c r="D185" s="944" t="s">
        <v>1087</v>
      </c>
      <c r="E185" s="945"/>
      <c r="F185" s="916">
        <v>2.7000000000000001E-3</v>
      </c>
      <c r="G185" s="946">
        <f>G184</f>
        <v>2105.4</v>
      </c>
      <c r="H185" s="914">
        <f>G185*F185</f>
        <v>5.6845800000000004</v>
      </c>
      <c r="I185" s="915"/>
      <c r="J185" s="916">
        <v>2.5999999999999999E-3</v>
      </c>
      <c r="K185" s="947">
        <f>K184</f>
        <v>2108</v>
      </c>
      <c r="L185" s="914">
        <f>K185*J185</f>
        <v>5.4807999999999995</v>
      </c>
      <c r="M185" s="915"/>
      <c r="N185" s="918">
        <f t="shared" si="24"/>
        <v>-0.20378000000000096</v>
      </c>
      <c r="O185" s="919">
        <f t="shared" si="27"/>
        <v>-3.58478550746055E-2</v>
      </c>
      <c r="P185" s="706"/>
    </row>
    <row r="186" spans="1:16">
      <c r="A186" s="706"/>
      <c r="B186" s="938" t="s">
        <v>1129</v>
      </c>
      <c r="C186" s="923"/>
      <c r="D186" s="923"/>
      <c r="E186" s="923"/>
      <c r="F186" s="949"/>
      <c r="G186" s="941"/>
      <c r="H186" s="942">
        <f>SUM(H183:H185)</f>
        <v>73.475800000000007</v>
      </c>
      <c r="I186" s="950"/>
      <c r="J186" s="951"/>
      <c r="K186" s="952"/>
      <c r="L186" s="942">
        <f>SUM(L183:L185)</f>
        <v>78.973200000000006</v>
      </c>
      <c r="M186" s="950"/>
      <c r="N186" s="931">
        <f t="shared" si="24"/>
        <v>5.497399999999999</v>
      </c>
      <c r="O186" s="932">
        <f t="shared" si="27"/>
        <v>7.4819192169394533E-2</v>
      </c>
      <c r="P186" s="706"/>
    </row>
    <row r="187" spans="1:16">
      <c r="A187" s="706"/>
      <c r="B187" s="953" t="s">
        <v>1130</v>
      </c>
      <c r="C187" s="909"/>
      <c r="D187" s="910" t="s">
        <v>1087</v>
      </c>
      <c r="E187" s="911"/>
      <c r="F187" s="956">
        <v>4.4000000000000003E-3</v>
      </c>
      <c r="G187" s="946">
        <f>F166*(1+F210)</f>
        <v>2105.4</v>
      </c>
      <c r="H187" s="955">
        <f t="shared" ref="H187:H195" si="28">G187*F187</f>
        <v>9.2637600000000013</v>
      </c>
      <c r="I187" s="915"/>
      <c r="J187" s="956">
        <v>4.4000000000000003E-3</v>
      </c>
      <c r="K187" s="947">
        <f>F166*(1+J210)</f>
        <v>2108</v>
      </c>
      <c r="L187" s="955">
        <f t="shared" ref="L187:L195" si="29">K187*J187</f>
        <v>9.2751999999999999</v>
      </c>
      <c r="M187" s="915"/>
      <c r="N187" s="918">
        <f t="shared" si="24"/>
        <v>1.1439999999998562E-2</v>
      </c>
      <c r="O187" s="957">
        <f t="shared" si="27"/>
        <v>1.2349197302173806E-3</v>
      </c>
      <c r="P187" s="706"/>
    </row>
    <row r="188" spans="1:16">
      <c r="A188" s="706"/>
      <c r="B188" s="953" t="s">
        <v>1131</v>
      </c>
      <c r="C188" s="909"/>
      <c r="D188" s="910" t="s">
        <v>1087</v>
      </c>
      <c r="E188" s="911"/>
      <c r="F188" s="956">
        <v>1.1999999999999999E-3</v>
      </c>
      <c r="G188" s="946">
        <f>F166*(1+F210)</f>
        <v>2105.4</v>
      </c>
      <c r="H188" s="955">
        <f t="shared" si="28"/>
        <v>2.5264799999999998</v>
      </c>
      <c r="I188" s="915"/>
      <c r="J188" s="956">
        <v>1.1999999999999999E-3</v>
      </c>
      <c r="K188" s="947">
        <f>F166*(1+J210)</f>
        <v>2108</v>
      </c>
      <c r="L188" s="955">
        <f t="shared" si="29"/>
        <v>2.5295999999999998</v>
      </c>
      <c r="M188" s="915"/>
      <c r="N188" s="918">
        <f t="shared" si="24"/>
        <v>3.1200000000000117E-3</v>
      </c>
      <c r="O188" s="957">
        <f t="shared" si="27"/>
        <v>1.2349197302175406E-3</v>
      </c>
      <c r="P188" s="706"/>
    </row>
    <row r="189" spans="1:16">
      <c r="A189" s="706"/>
      <c r="B189" s="909" t="s">
        <v>1132</v>
      </c>
      <c r="C189" s="909"/>
      <c r="D189" s="910"/>
      <c r="E189" s="911"/>
      <c r="F189" s="954">
        <v>0.25</v>
      </c>
      <c r="G189" s="913">
        <v>1</v>
      </c>
      <c r="H189" s="955">
        <f t="shared" si="28"/>
        <v>0.25</v>
      </c>
      <c r="I189" s="915"/>
      <c r="J189" s="956">
        <v>0.25</v>
      </c>
      <c r="K189" s="917">
        <v>1</v>
      </c>
      <c r="L189" s="955">
        <f t="shared" si="29"/>
        <v>0.25</v>
      </c>
      <c r="M189" s="915"/>
      <c r="N189" s="918">
        <f t="shared" si="24"/>
        <v>0</v>
      </c>
      <c r="O189" s="957">
        <f t="shared" si="27"/>
        <v>0</v>
      </c>
      <c r="P189" s="706"/>
    </row>
    <row r="190" spans="1:16">
      <c r="A190" s="706"/>
      <c r="B190" s="909" t="s">
        <v>1133</v>
      </c>
      <c r="C190" s="909"/>
      <c r="D190" s="910" t="s">
        <v>1087</v>
      </c>
      <c r="E190" s="911"/>
      <c r="F190" s="954">
        <v>7.0000000000000001E-3</v>
      </c>
      <c r="G190" s="946">
        <f>F166</f>
        <v>2000</v>
      </c>
      <c r="H190" s="955">
        <f t="shared" si="28"/>
        <v>14</v>
      </c>
      <c r="I190" s="915"/>
      <c r="J190" s="956">
        <v>7.0000000000000001E-3</v>
      </c>
      <c r="K190" s="947">
        <f>F166</f>
        <v>2000</v>
      </c>
      <c r="L190" s="955">
        <f t="shared" si="29"/>
        <v>14</v>
      </c>
      <c r="M190" s="915"/>
      <c r="N190" s="918">
        <f t="shared" si="24"/>
        <v>0</v>
      </c>
      <c r="O190" s="957">
        <f t="shared" si="27"/>
        <v>0</v>
      </c>
      <c r="P190" s="706"/>
    </row>
    <row r="191" spans="1:16">
      <c r="A191" s="706"/>
      <c r="B191" s="934" t="s">
        <v>1134</v>
      </c>
      <c r="C191" s="909"/>
      <c r="D191" s="910" t="s">
        <v>1087</v>
      </c>
      <c r="E191" s="911"/>
      <c r="F191" s="958">
        <v>7.3999999999999996E-2</v>
      </c>
      <c r="G191" s="946">
        <f>IF($F$166&gt;=750,750,$F166)</f>
        <v>750</v>
      </c>
      <c r="H191" s="955">
        <f>G191*F191</f>
        <v>55.5</v>
      </c>
      <c r="I191" s="915"/>
      <c r="J191" s="958">
        <v>7.3999999999999996E-2</v>
      </c>
      <c r="K191" s="946">
        <f>IF($K$187&gt;=750,750,$K$187)</f>
        <v>750</v>
      </c>
      <c r="L191" s="955">
        <f>K191*J191</f>
        <v>55.5</v>
      </c>
      <c r="M191" s="915"/>
      <c r="N191" s="918">
        <f t="shared" si="24"/>
        <v>0</v>
      </c>
      <c r="O191" s="957">
        <f t="shared" si="27"/>
        <v>0</v>
      </c>
      <c r="P191" s="706"/>
    </row>
    <row r="192" spans="1:16">
      <c r="A192" s="706"/>
      <c r="B192" s="934" t="s">
        <v>1135</v>
      </c>
      <c r="C192" s="909"/>
      <c r="D192" s="910" t="s">
        <v>1087</v>
      </c>
      <c r="E192" s="911"/>
      <c r="F192" s="958">
        <v>8.6999999999999994E-2</v>
      </c>
      <c r="G192" s="946">
        <f>IF($F$166&gt;=750,$F$166*(1+F210)-750,0)</f>
        <v>1355.4</v>
      </c>
      <c r="H192" s="955">
        <f>G192*F192</f>
        <v>117.9198</v>
      </c>
      <c r="I192" s="915"/>
      <c r="J192" s="958">
        <v>8.6999999999999994E-2</v>
      </c>
      <c r="K192" s="946">
        <f>IF($F$166&gt;=750,$F$166*(1+J210)-750,0)</f>
        <v>1358</v>
      </c>
      <c r="L192" s="955">
        <f>K192*J192</f>
        <v>118.14599999999999</v>
      </c>
      <c r="M192" s="915"/>
      <c r="N192" s="918">
        <f t="shared" si="24"/>
        <v>0.22619999999999152</v>
      </c>
      <c r="O192" s="957">
        <f t="shared" si="27"/>
        <v>1.9182529142687786E-3</v>
      </c>
      <c r="P192" s="706"/>
    </row>
    <row r="193" spans="1:16">
      <c r="A193" s="706"/>
      <c r="B193" s="934" t="s">
        <v>1136</v>
      </c>
      <c r="C193" s="909"/>
      <c r="D193" s="910" t="s">
        <v>1087</v>
      </c>
      <c r="E193" s="911"/>
      <c r="F193" s="958">
        <v>6.3E-2</v>
      </c>
      <c r="G193" s="959">
        <f>0.64*$F$166*(1+F210)</f>
        <v>1347.4559999999999</v>
      </c>
      <c r="H193" s="955">
        <f t="shared" si="28"/>
        <v>84.889727999999991</v>
      </c>
      <c r="I193" s="915"/>
      <c r="J193" s="958">
        <v>6.3E-2</v>
      </c>
      <c r="K193" s="959">
        <f>0.64*$F$166*(1+J210)</f>
        <v>1349.1200000000001</v>
      </c>
      <c r="L193" s="955">
        <f t="shared" si="29"/>
        <v>84.994560000000007</v>
      </c>
      <c r="M193" s="915"/>
      <c r="N193" s="918">
        <f t="shared" si="24"/>
        <v>0.10483200000001602</v>
      </c>
      <c r="O193" s="957">
        <f t="shared" si="27"/>
        <v>1.2349197302177247E-3</v>
      </c>
      <c r="P193" s="706"/>
    </row>
    <row r="194" spans="1:16">
      <c r="A194" s="706"/>
      <c r="B194" s="934" t="s">
        <v>1137</v>
      </c>
      <c r="C194" s="909"/>
      <c r="D194" s="910" t="s">
        <v>1087</v>
      </c>
      <c r="E194" s="911"/>
      <c r="F194" s="958">
        <v>9.9000000000000005E-2</v>
      </c>
      <c r="G194" s="959">
        <f>0.18*$F$166*(1+F210)</f>
        <v>378.97199999999998</v>
      </c>
      <c r="H194" s="955">
        <f t="shared" si="28"/>
        <v>37.518228000000001</v>
      </c>
      <c r="I194" s="915"/>
      <c r="J194" s="958">
        <v>9.9000000000000005E-2</v>
      </c>
      <c r="K194" s="959">
        <f>0.18*$F$166*(1+J210)</f>
        <v>379.44</v>
      </c>
      <c r="L194" s="955">
        <f t="shared" si="29"/>
        <v>37.56456</v>
      </c>
      <c r="M194" s="915"/>
      <c r="N194" s="918">
        <f t="shared" si="24"/>
        <v>4.6331999999999596E-2</v>
      </c>
      <c r="O194" s="957">
        <f t="shared" si="27"/>
        <v>1.234919730217525E-3</v>
      </c>
      <c r="P194" s="706"/>
    </row>
    <row r="195" spans="1:16" ht="13.5" thickBot="1">
      <c r="A195" s="706"/>
      <c r="B195" s="900" t="s">
        <v>1138</v>
      </c>
      <c r="C195" s="909"/>
      <c r="D195" s="910" t="s">
        <v>1087</v>
      </c>
      <c r="E195" s="911"/>
      <c r="F195" s="958">
        <v>0.11799999999999999</v>
      </c>
      <c r="G195" s="959">
        <f>0.18*$F$166*(1+F210)</f>
        <v>378.97199999999998</v>
      </c>
      <c r="H195" s="955">
        <f t="shared" si="28"/>
        <v>44.718695999999994</v>
      </c>
      <c r="I195" s="915"/>
      <c r="J195" s="958">
        <v>0.11799999999999999</v>
      </c>
      <c r="K195" s="959">
        <f>0.18*$F$166*(1+J210)</f>
        <v>379.44</v>
      </c>
      <c r="L195" s="955">
        <f t="shared" si="29"/>
        <v>44.773919999999997</v>
      </c>
      <c r="M195" s="915"/>
      <c r="N195" s="918">
        <f t="shared" si="24"/>
        <v>5.5224000000002604E-2</v>
      </c>
      <c r="O195" s="957">
        <f t="shared" si="27"/>
        <v>1.2349197302175942E-3</v>
      </c>
      <c r="P195" s="706"/>
    </row>
    <row r="196" spans="1:16" ht="13.5" thickBot="1">
      <c r="A196" s="706"/>
      <c r="B196" s="960"/>
      <c r="C196" s="961"/>
      <c r="D196" s="962"/>
      <c r="E196" s="961"/>
      <c r="F196" s="963"/>
      <c r="G196" s="964"/>
      <c r="H196" s="965"/>
      <c r="I196" s="966"/>
      <c r="J196" s="963"/>
      <c r="K196" s="967"/>
      <c r="L196" s="965"/>
      <c r="M196" s="966"/>
      <c r="N196" s="968"/>
      <c r="O196" s="969"/>
      <c r="P196" s="706"/>
    </row>
    <row r="197" spans="1:16">
      <c r="A197" s="706"/>
      <c r="B197" s="970" t="s">
        <v>1139</v>
      </c>
      <c r="C197" s="909"/>
      <c r="D197" s="909"/>
      <c r="E197" s="909"/>
      <c r="F197" s="971"/>
      <c r="G197" s="972"/>
      <c r="H197" s="973">
        <f>SUM(H186:H192)</f>
        <v>272.93584000000004</v>
      </c>
      <c r="I197" s="974"/>
      <c r="J197" s="975"/>
      <c r="K197" s="975"/>
      <c r="L197" s="976">
        <f>SUM(L186:L192)</f>
        <v>278.67399999999998</v>
      </c>
      <c r="M197" s="977"/>
      <c r="N197" s="978">
        <f t="shared" si="24"/>
        <v>5.7381599999999366</v>
      </c>
      <c r="O197" s="979">
        <f t="shared" si="27"/>
        <v>2.1023842086843325E-2</v>
      </c>
      <c r="P197" s="706"/>
    </row>
    <row r="198" spans="1:16">
      <c r="A198" s="706"/>
      <c r="B198" s="980" t="s">
        <v>1140</v>
      </c>
      <c r="C198" s="909"/>
      <c r="D198" s="909"/>
      <c r="E198" s="909"/>
      <c r="F198" s="981">
        <v>0.13</v>
      </c>
      <c r="G198" s="972"/>
      <c r="H198" s="982">
        <f>H197*F198</f>
        <v>35.48165920000001</v>
      </c>
      <c r="I198" s="983"/>
      <c r="J198" s="984">
        <v>0.13</v>
      </c>
      <c r="K198" s="985"/>
      <c r="L198" s="986">
        <f>L197*J198</f>
        <v>36.227620000000002</v>
      </c>
      <c r="M198" s="987"/>
      <c r="N198" s="988">
        <f t="shared" si="24"/>
        <v>0.74596079999999176</v>
      </c>
      <c r="O198" s="989">
        <f t="shared" si="27"/>
        <v>2.1023842086843322E-2</v>
      </c>
      <c r="P198" s="706"/>
    </row>
    <row r="199" spans="1:16">
      <c r="A199" s="706"/>
      <c r="B199" s="990" t="s">
        <v>1141</v>
      </c>
      <c r="C199" s="909"/>
      <c r="D199" s="909"/>
      <c r="E199" s="909"/>
      <c r="F199" s="991"/>
      <c r="G199" s="992"/>
      <c r="H199" s="982">
        <f>H197+H198</f>
        <v>308.41749920000007</v>
      </c>
      <c r="I199" s="983"/>
      <c r="J199" s="983"/>
      <c r="K199" s="983"/>
      <c r="L199" s="986">
        <f>L197+L198</f>
        <v>314.90161999999998</v>
      </c>
      <c r="M199" s="987"/>
      <c r="N199" s="988">
        <f t="shared" si="24"/>
        <v>6.4841207999999142</v>
      </c>
      <c r="O199" s="989">
        <f t="shared" si="27"/>
        <v>2.1023842086843277E-2</v>
      </c>
      <c r="P199" s="706"/>
    </row>
    <row r="200" spans="1:16" ht="12.75" customHeight="1">
      <c r="A200" s="706"/>
      <c r="B200" s="1491" t="s">
        <v>1142</v>
      </c>
      <c r="C200" s="1491"/>
      <c r="D200" s="1491"/>
      <c r="E200" s="909"/>
      <c r="F200" s="991"/>
      <c r="G200" s="992"/>
      <c r="H200" s="993">
        <f>ROUND(-H199*10%,2)</f>
        <v>-30.84</v>
      </c>
      <c r="I200" s="983"/>
      <c r="J200" s="983"/>
      <c r="K200" s="983"/>
      <c r="L200" s="994">
        <f>ROUND(-L199*10%,2)</f>
        <v>-31.49</v>
      </c>
      <c r="M200" s="987"/>
      <c r="N200" s="995">
        <f t="shared" si="24"/>
        <v>-0.64999999999999858</v>
      </c>
      <c r="O200" s="996">
        <f t="shared" si="27"/>
        <v>2.1076523994811885E-2</v>
      </c>
      <c r="P200" s="706"/>
    </row>
    <row r="201" spans="1:16" ht="13.5" customHeight="1" thickBot="1">
      <c r="A201" s="706"/>
      <c r="B201" s="1484" t="s">
        <v>1143</v>
      </c>
      <c r="C201" s="1484"/>
      <c r="D201" s="1484"/>
      <c r="E201" s="997"/>
      <c r="F201" s="998"/>
      <c r="G201" s="999"/>
      <c r="H201" s="1000">
        <f>SUM(H199:H200)</f>
        <v>277.57749920000009</v>
      </c>
      <c r="I201" s="1001"/>
      <c r="J201" s="1001"/>
      <c r="K201" s="1001"/>
      <c r="L201" s="1002">
        <f>SUM(L199:L200)</f>
        <v>283.41161999999997</v>
      </c>
      <c r="M201" s="1003"/>
      <c r="N201" s="1004">
        <f t="shared" si="24"/>
        <v>5.8341207999998801</v>
      </c>
      <c r="O201" s="1005">
        <f t="shared" si="27"/>
        <v>2.1017988910535867E-2</v>
      </c>
      <c r="P201" s="706"/>
    </row>
    <row r="202" spans="1:16" ht="13.5" thickBot="1">
      <c r="A202" s="706"/>
      <c r="B202" s="960"/>
      <c r="C202" s="961"/>
      <c r="D202" s="962"/>
      <c r="E202" s="961"/>
      <c r="F202" s="1006"/>
      <c r="G202" s="1007"/>
      <c r="H202" s="1008"/>
      <c r="I202" s="1009"/>
      <c r="J202" s="1006"/>
      <c r="K202" s="964"/>
      <c r="L202" s="1010"/>
      <c r="M202" s="966"/>
      <c r="N202" s="1011"/>
      <c r="O202" s="969"/>
      <c r="P202" s="706"/>
    </row>
    <row r="203" spans="1:16">
      <c r="A203" s="706"/>
      <c r="B203" s="970" t="s">
        <v>1144</v>
      </c>
      <c r="C203" s="909"/>
      <c r="D203" s="909"/>
      <c r="E203" s="909"/>
      <c r="F203" s="971"/>
      <c r="G203" s="972"/>
      <c r="H203" s="973">
        <f>SUM(H186:H190,H193:H195)</f>
        <v>266.64269200000001</v>
      </c>
      <c r="I203" s="974"/>
      <c r="J203" s="975"/>
      <c r="K203" s="975"/>
      <c r="L203" s="1012">
        <f>SUM(L186:L190,L193:L195)</f>
        <v>272.36104</v>
      </c>
      <c r="M203" s="977"/>
      <c r="N203" s="978">
        <f>L203-H203</f>
        <v>5.7183479999999918</v>
      </c>
      <c r="O203" s="979">
        <f>IF((H203)=0,"",(N203/H203))</f>
        <v>2.1445733078632404E-2</v>
      </c>
      <c r="P203" s="706"/>
    </row>
    <row r="204" spans="1:16">
      <c r="A204" s="706"/>
      <c r="B204" s="980" t="s">
        <v>1140</v>
      </c>
      <c r="C204" s="909"/>
      <c r="D204" s="909"/>
      <c r="E204" s="909"/>
      <c r="F204" s="981">
        <v>0.13</v>
      </c>
      <c r="G204" s="992"/>
      <c r="H204" s="982">
        <f>H203*F204</f>
        <v>34.663549960000005</v>
      </c>
      <c r="I204" s="983"/>
      <c r="J204" s="1013">
        <v>0.13</v>
      </c>
      <c r="K204" s="983"/>
      <c r="L204" s="986">
        <f>L203*J204</f>
        <v>35.406935199999999</v>
      </c>
      <c r="M204" s="987"/>
      <c r="N204" s="988">
        <f t="shared" si="24"/>
        <v>0.74338523999999495</v>
      </c>
      <c r="O204" s="989">
        <f t="shared" si="27"/>
        <v>2.1445733078632286E-2</v>
      </c>
      <c r="P204" s="706"/>
    </row>
    <row r="205" spans="1:16">
      <c r="A205" s="706"/>
      <c r="B205" s="990" t="s">
        <v>1141</v>
      </c>
      <c r="C205" s="909"/>
      <c r="D205" s="909"/>
      <c r="E205" s="909"/>
      <c r="F205" s="991"/>
      <c r="G205" s="992"/>
      <c r="H205" s="982">
        <f>H203+H204</f>
        <v>301.30624196000002</v>
      </c>
      <c r="I205" s="983"/>
      <c r="J205" s="983"/>
      <c r="K205" s="983"/>
      <c r="L205" s="986">
        <f>L203+L204</f>
        <v>307.76797520000002</v>
      </c>
      <c r="M205" s="987"/>
      <c r="N205" s="988">
        <f t="shared" si="24"/>
        <v>6.4617332400000009</v>
      </c>
      <c r="O205" s="989">
        <f t="shared" si="27"/>
        <v>2.1445733078632435E-2</v>
      </c>
      <c r="P205" s="706"/>
    </row>
    <row r="206" spans="1:16" ht="12.75" customHeight="1">
      <c r="A206" s="706"/>
      <c r="B206" s="1491" t="s">
        <v>1142</v>
      </c>
      <c r="C206" s="1491"/>
      <c r="D206" s="1491"/>
      <c r="E206" s="909"/>
      <c r="F206" s="991"/>
      <c r="G206" s="992"/>
      <c r="H206" s="993">
        <f>ROUND(-H205*10%,2)</f>
        <v>-30.13</v>
      </c>
      <c r="I206" s="983"/>
      <c r="J206" s="983"/>
      <c r="K206" s="983"/>
      <c r="L206" s="994">
        <f>ROUND(-L205*10%,2)</f>
        <v>-30.78</v>
      </c>
      <c r="M206" s="987"/>
      <c r="N206" s="995">
        <f t="shared" si="24"/>
        <v>-0.65000000000000213</v>
      </c>
      <c r="O206" s="996">
        <f t="shared" si="27"/>
        <v>2.1573182874211821E-2</v>
      </c>
      <c r="P206" s="706"/>
    </row>
    <row r="207" spans="1:16" ht="13.5" customHeight="1" thickBot="1">
      <c r="A207" s="706"/>
      <c r="B207" s="1484" t="s">
        <v>1145</v>
      </c>
      <c r="C207" s="1484"/>
      <c r="D207" s="1484"/>
      <c r="E207" s="997"/>
      <c r="F207" s="1014"/>
      <c r="G207" s="1015"/>
      <c r="H207" s="1016">
        <f>H205+H206</f>
        <v>271.17624196000003</v>
      </c>
      <c r="I207" s="1017"/>
      <c r="J207" s="1017"/>
      <c r="K207" s="1017"/>
      <c r="L207" s="1018">
        <f>L205+L206</f>
        <v>276.98797520000005</v>
      </c>
      <c r="M207" s="1019"/>
      <c r="N207" s="1020">
        <f t="shared" si="24"/>
        <v>5.8117332400000237</v>
      </c>
      <c r="O207" s="1021">
        <f t="shared" si="27"/>
        <v>2.1431572316196069E-2</v>
      </c>
      <c r="P207" s="706"/>
    </row>
    <row r="208" spans="1:16" ht="13.5" thickBot="1">
      <c r="A208" s="706"/>
      <c r="B208" s="960"/>
      <c r="C208" s="961"/>
      <c r="D208" s="962"/>
      <c r="E208" s="961"/>
      <c r="F208" s="1006"/>
      <c r="G208" s="1007"/>
      <c r="H208" s="1008"/>
      <c r="I208" s="1009"/>
      <c r="J208" s="1006"/>
      <c r="K208" s="964"/>
      <c r="L208" s="1010"/>
      <c r="M208" s="966"/>
      <c r="N208" s="1011"/>
      <c r="O208" s="969"/>
      <c r="P208" s="706"/>
    </row>
    <row r="209" spans="1:16">
      <c r="A209" s="706"/>
      <c r="B209" s="706"/>
      <c r="C209" s="706"/>
      <c r="D209" s="706"/>
      <c r="E209" s="706"/>
      <c r="F209" s="706"/>
      <c r="G209" s="706"/>
      <c r="H209" s="706"/>
      <c r="I209" s="706"/>
      <c r="J209" s="706"/>
      <c r="K209" s="706"/>
      <c r="L209" s="1022"/>
      <c r="M209" s="706"/>
      <c r="N209" s="706"/>
      <c r="O209" s="706"/>
      <c r="P209" s="706"/>
    </row>
    <row r="210" spans="1:16">
      <c r="A210" s="706"/>
      <c r="B210" s="711" t="s">
        <v>1146</v>
      </c>
      <c r="C210" s="706"/>
      <c r="D210" s="706"/>
      <c r="E210" s="706"/>
      <c r="F210" s="1023">
        <v>5.2699999999999969E-2</v>
      </c>
      <c r="G210" s="706"/>
      <c r="H210" s="706"/>
      <c r="I210" s="706"/>
      <c r="J210" s="1023">
        <v>5.3999999999999999E-2</v>
      </c>
      <c r="K210" s="706"/>
      <c r="L210" s="706"/>
      <c r="M210" s="706"/>
      <c r="N210" s="706"/>
      <c r="O210" s="706"/>
      <c r="P210" s="706"/>
    </row>
    <row r="211" spans="1:16">
      <c r="A211" s="706"/>
      <c r="B211" s="706"/>
      <c r="C211" s="706"/>
      <c r="D211" s="706"/>
      <c r="E211" s="706"/>
      <c r="F211" s="706"/>
      <c r="G211" s="706"/>
      <c r="H211" s="706"/>
      <c r="I211" s="706"/>
      <c r="J211" s="706"/>
      <c r="K211" s="706"/>
      <c r="L211" s="706"/>
      <c r="M211" s="706"/>
      <c r="N211" s="706"/>
      <c r="O211" s="706"/>
      <c r="P211" s="706"/>
    </row>
    <row r="212" spans="1:16" ht="14.25">
      <c r="A212" s="1024" t="s">
        <v>1147</v>
      </c>
      <c r="B212" s="706"/>
      <c r="C212" s="706"/>
      <c r="D212" s="706"/>
      <c r="E212" s="706"/>
      <c r="F212" s="706"/>
      <c r="G212" s="706"/>
      <c r="H212" s="706"/>
      <c r="I212" s="706"/>
      <c r="J212" s="706"/>
      <c r="K212" s="706"/>
      <c r="L212" s="706"/>
      <c r="M212" s="706"/>
      <c r="N212" s="706"/>
      <c r="O212" s="706"/>
      <c r="P212" s="706"/>
    </row>
    <row r="213" spans="1:16">
      <c r="A213" s="706"/>
      <c r="B213" s="706"/>
      <c r="C213" s="706"/>
      <c r="D213" s="706"/>
      <c r="E213" s="706"/>
      <c r="F213" s="706"/>
      <c r="G213" s="706"/>
      <c r="H213" s="706"/>
      <c r="I213" s="706"/>
      <c r="J213" s="706"/>
      <c r="K213" s="706"/>
      <c r="L213" s="706"/>
      <c r="M213" s="706"/>
      <c r="N213" s="706"/>
      <c r="O213" s="706"/>
      <c r="P213" s="706"/>
    </row>
    <row r="214" spans="1:16">
      <c r="A214" s="706" t="s">
        <v>1148</v>
      </c>
      <c r="B214" s="706"/>
      <c r="C214" s="706"/>
      <c r="D214" s="706"/>
      <c r="E214" s="706"/>
      <c r="F214" s="706"/>
      <c r="G214" s="706"/>
      <c r="H214" s="706"/>
      <c r="I214" s="706"/>
      <c r="J214" s="706"/>
      <c r="K214" s="706"/>
      <c r="L214" s="706"/>
      <c r="M214" s="706"/>
      <c r="N214" s="706"/>
      <c r="O214" s="706"/>
      <c r="P214" s="706"/>
    </row>
    <row r="215" spans="1:16">
      <c r="A215" s="706" t="s">
        <v>1149</v>
      </c>
      <c r="B215" s="706"/>
      <c r="C215" s="706"/>
      <c r="D215" s="706"/>
      <c r="E215" s="706"/>
      <c r="F215" s="706"/>
      <c r="G215" s="706"/>
      <c r="H215" s="706"/>
      <c r="I215" s="706"/>
      <c r="J215" s="706"/>
      <c r="K215" s="706"/>
      <c r="L215" s="706"/>
      <c r="M215" s="706"/>
      <c r="N215" s="706"/>
      <c r="O215" s="706"/>
      <c r="P215" s="706"/>
    </row>
    <row r="216" spans="1:16">
      <c r="A216" s="706"/>
      <c r="B216" s="706"/>
      <c r="C216" s="706"/>
      <c r="D216" s="706"/>
      <c r="E216" s="706"/>
      <c r="F216" s="706"/>
      <c r="G216" s="706"/>
      <c r="H216" s="706"/>
      <c r="I216" s="706"/>
      <c r="J216" s="706"/>
      <c r="K216" s="706"/>
      <c r="L216" s="706"/>
      <c r="M216" s="706"/>
      <c r="N216" s="706"/>
      <c r="O216" s="706"/>
      <c r="P216" s="706"/>
    </row>
    <row r="217" spans="1:16">
      <c r="A217" s="706" t="s">
        <v>1150</v>
      </c>
      <c r="B217" s="706"/>
      <c r="C217" s="706"/>
      <c r="D217" s="706"/>
      <c r="E217" s="706"/>
      <c r="F217" s="706"/>
      <c r="G217" s="706"/>
      <c r="H217" s="706"/>
      <c r="I217" s="706"/>
      <c r="J217" s="706"/>
      <c r="K217" s="706"/>
      <c r="L217" s="706"/>
      <c r="M217" s="706"/>
      <c r="N217" s="706"/>
      <c r="O217" s="706"/>
      <c r="P217" s="706"/>
    </row>
    <row r="218" spans="1:16">
      <c r="A218" s="706" t="s">
        <v>1151</v>
      </c>
      <c r="B218" s="706"/>
      <c r="C218" s="706"/>
      <c r="D218" s="706"/>
      <c r="E218" s="706"/>
      <c r="F218" s="706"/>
      <c r="G218" s="706"/>
      <c r="H218" s="706"/>
      <c r="I218" s="706"/>
      <c r="J218" s="706"/>
      <c r="K218" s="706"/>
      <c r="L218" s="706"/>
      <c r="M218" s="706"/>
      <c r="N218" s="706"/>
      <c r="O218" s="706"/>
      <c r="P218" s="706"/>
    </row>
    <row r="219" spans="1:16">
      <c r="A219" s="706"/>
      <c r="B219" s="706"/>
      <c r="C219" s="706"/>
      <c r="D219" s="706"/>
      <c r="E219" s="706"/>
      <c r="F219" s="706"/>
      <c r="G219" s="706"/>
      <c r="H219" s="706"/>
      <c r="I219" s="706"/>
      <c r="J219" s="706"/>
      <c r="K219" s="706"/>
      <c r="L219" s="706"/>
      <c r="M219" s="706"/>
      <c r="N219" s="706"/>
      <c r="O219" s="706"/>
      <c r="P219" s="706"/>
    </row>
    <row r="220" spans="1:16">
      <c r="A220" s="706" t="s">
        <v>1152</v>
      </c>
      <c r="B220" s="706"/>
      <c r="C220" s="706"/>
      <c r="D220" s="706"/>
      <c r="E220" s="706"/>
      <c r="F220" s="706"/>
      <c r="G220" s="706"/>
      <c r="H220" s="706"/>
      <c r="I220" s="706"/>
      <c r="J220" s="706"/>
      <c r="K220" s="706"/>
      <c r="L220" s="706"/>
      <c r="M220" s="706"/>
      <c r="N220" s="706"/>
      <c r="O220" s="706"/>
      <c r="P220" s="706"/>
    </row>
    <row r="221" spans="1:16">
      <c r="A221" s="706" t="s">
        <v>1153</v>
      </c>
      <c r="B221" s="706"/>
      <c r="C221" s="706"/>
      <c r="D221" s="706"/>
      <c r="E221" s="706"/>
      <c r="F221" s="706"/>
      <c r="G221" s="706"/>
      <c r="H221" s="706"/>
      <c r="I221" s="706"/>
      <c r="J221" s="706"/>
      <c r="K221" s="706"/>
      <c r="L221" s="706"/>
      <c r="M221" s="706"/>
      <c r="N221" s="706"/>
      <c r="O221" s="706"/>
      <c r="P221" s="706"/>
    </row>
    <row r="222" spans="1:16">
      <c r="A222" s="706" t="s">
        <v>1154</v>
      </c>
      <c r="B222" s="706"/>
      <c r="C222" s="706"/>
      <c r="D222" s="706"/>
      <c r="E222" s="706"/>
      <c r="F222" s="706"/>
      <c r="G222" s="706"/>
      <c r="H222" s="706"/>
      <c r="I222" s="706"/>
      <c r="J222" s="706"/>
      <c r="K222" s="706"/>
      <c r="L222" s="706"/>
      <c r="M222" s="706"/>
      <c r="N222" s="706"/>
      <c r="O222" s="706"/>
      <c r="P222" s="706"/>
    </row>
    <row r="223" spans="1:16">
      <c r="A223" s="706" t="s">
        <v>1155</v>
      </c>
      <c r="B223" s="706"/>
      <c r="C223" s="706"/>
      <c r="D223" s="706"/>
      <c r="E223" s="706"/>
      <c r="F223" s="706"/>
      <c r="G223" s="706"/>
      <c r="H223" s="706"/>
      <c r="I223" s="706"/>
      <c r="J223" s="706"/>
      <c r="K223" s="706"/>
      <c r="L223" s="706"/>
      <c r="M223" s="706"/>
      <c r="N223" s="706"/>
      <c r="O223" s="706"/>
      <c r="P223" s="706"/>
    </row>
    <row r="224" spans="1:16">
      <c r="A224" s="706" t="s">
        <v>1156</v>
      </c>
      <c r="B224" s="706"/>
      <c r="C224" s="706"/>
      <c r="D224" s="706"/>
      <c r="E224" s="706"/>
      <c r="F224" s="706"/>
      <c r="G224" s="706"/>
      <c r="H224" s="706"/>
      <c r="I224" s="706"/>
      <c r="J224" s="706"/>
      <c r="K224" s="706"/>
      <c r="L224" s="706"/>
      <c r="M224" s="706"/>
      <c r="N224" s="706"/>
      <c r="O224" s="706"/>
      <c r="P224" s="706"/>
    </row>
    <row r="226" spans="1:16" ht="21.75">
      <c r="A226" s="892"/>
      <c r="B226" s="892"/>
      <c r="C226" s="892"/>
      <c r="D226" s="892"/>
      <c r="E226" s="892"/>
      <c r="F226" s="892"/>
      <c r="G226" s="892"/>
      <c r="H226" s="892"/>
      <c r="I226" s="892"/>
      <c r="J226" s="892"/>
      <c r="K226" s="892"/>
      <c r="L226" s="893"/>
      <c r="M226" s="893"/>
      <c r="N226" s="31" t="s">
        <v>131</v>
      </c>
      <c r="O226" s="32" t="s">
        <v>20</v>
      </c>
    </row>
    <row r="227" spans="1:16" ht="18">
      <c r="A227" s="894"/>
      <c r="B227" s="894"/>
      <c r="C227" s="894"/>
      <c r="D227" s="894"/>
      <c r="E227" s="894"/>
      <c r="F227" s="894"/>
      <c r="G227" s="894"/>
      <c r="H227" s="894"/>
      <c r="I227" s="894"/>
      <c r="J227" s="894"/>
      <c r="K227" s="894"/>
      <c r="L227" s="893"/>
      <c r="M227" s="893"/>
      <c r="N227" s="31" t="s">
        <v>132</v>
      </c>
      <c r="O227" s="33"/>
    </row>
    <row r="228" spans="1:16" ht="18">
      <c r="A228" s="1492"/>
      <c r="B228" s="1492"/>
      <c r="C228" s="1492"/>
      <c r="D228" s="1492"/>
      <c r="E228" s="1492"/>
      <c r="F228" s="1492"/>
      <c r="G228" s="1492"/>
      <c r="H228" s="1492"/>
      <c r="I228" s="1492"/>
      <c r="J228" s="1492"/>
      <c r="K228" s="1492"/>
      <c r="L228" s="893"/>
      <c r="M228" s="893"/>
      <c r="N228" s="31" t="s">
        <v>133</v>
      </c>
      <c r="O228" s="33"/>
    </row>
    <row r="229" spans="1:16" ht="18">
      <c r="A229" s="894"/>
      <c r="B229" s="894"/>
      <c r="C229" s="894"/>
      <c r="D229" s="894"/>
      <c r="E229" s="894"/>
      <c r="F229" s="894"/>
      <c r="G229" s="894"/>
      <c r="H229" s="894"/>
      <c r="I229" s="895"/>
      <c r="J229" s="895"/>
      <c r="K229" s="895"/>
      <c r="L229" s="893"/>
      <c r="M229" s="893"/>
      <c r="N229" s="31" t="s">
        <v>134</v>
      </c>
      <c r="O229" s="33"/>
    </row>
    <row r="230" spans="1:16" ht="15.75">
      <c r="A230" s="893"/>
      <c r="B230" s="893"/>
      <c r="C230" s="896"/>
      <c r="D230" s="896"/>
      <c r="E230" s="896"/>
      <c r="F230" s="893"/>
      <c r="G230" s="893"/>
      <c r="H230" s="893"/>
      <c r="I230" s="893"/>
      <c r="J230" s="893"/>
      <c r="K230" s="893"/>
      <c r="L230" s="893"/>
      <c r="M230" s="893"/>
      <c r="N230" s="31" t="s">
        <v>439</v>
      </c>
      <c r="O230" s="34" t="s">
        <v>1160</v>
      </c>
    </row>
    <row r="231" spans="1:16">
      <c r="A231" s="893"/>
      <c r="B231" s="893"/>
      <c r="C231" s="893"/>
      <c r="D231" s="893"/>
      <c r="E231" s="893"/>
      <c r="F231" s="893"/>
      <c r="G231" s="893"/>
      <c r="H231" s="893"/>
      <c r="I231" s="893"/>
      <c r="J231" s="893"/>
      <c r="K231" s="893"/>
      <c r="L231" s="893"/>
      <c r="M231" s="893"/>
      <c r="N231" s="31"/>
      <c r="O231" s="32"/>
    </row>
    <row r="232" spans="1:16">
      <c r="A232" s="893"/>
      <c r="B232" s="893"/>
      <c r="C232" s="893"/>
      <c r="D232" s="893"/>
      <c r="E232" s="893"/>
      <c r="F232" s="893"/>
      <c r="G232" s="893"/>
      <c r="H232" s="893"/>
      <c r="I232" s="893"/>
      <c r="J232" s="893"/>
      <c r="K232" s="893"/>
      <c r="L232" s="893"/>
      <c r="M232" s="893"/>
      <c r="N232" s="31" t="s">
        <v>136</v>
      </c>
      <c r="O232" s="35" t="s">
        <v>1171</v>
      </c>
    </row>
    <row r="233" spans="1:16">
      <c r="A233" s="893"/>
      <c r="B233" s="893"/>
      <c r="C233" s="893"/>
      <c r="D233" s="893"/>
      <c r="E233" s="893"/>
      <c r="F233" s="893"/>
      <c r="G233" s="893"/>
      <c r="H233" s="893"/>
      <c r="I233" s="893"/>
      <c r="J233" s="893"/>
      <c r="K233" s="893"/>
      <c r="L233" s="893"/>
      <c r="M233" s="893"/>
      <c r="N233" s="706"/>
    </row>
    <row r="234" spans="1:16">
      <c r="A234" s="706"/>
      <c r="B234" s="706"/>
      <c r="C234" s="706"/>
      <c r="D234" s="706"/>
      <c r="E234" s="706"/>
      <c r="F234" s="706"/>
      <c r="G234" s="706"/>
      <c r="H234" s="706"/>
      <c r="I234" s="706"/>
      <c r="J234" s="706"/>
      <c r="K234" s="706"/>
    </row>
    <row r="235" spans="1:16" ht="18">
      <c r="A235" s="706"/>
      <c r="B235" s="1493" t="s">
        <v>1100</v>
      </c>
      <c r="C235" s="1493"/>
      <c r="D235" s="1493"/>
      <c r="E235" s="1493"/>
      <c r="F235" s="1493"/>
      <c r="G235" s="1493"/>
      <c r="H235" s="1493"/>
      <c r="I235" s="1493"/>
      <c r="J235" s="1493"/>
      <c r="K235" s="1493"/>
      <c r="L235" s="1493"/>
      <c r="M235" s="1493"/>
      <c r="N235" s="1493"/>
      <c r="O235" s="1493"/>
    </row>
    <row r="236" spans="1:16" ht="18">
      <c r="A236" s="706"/>
      <c r="B236" s="1493" t="s">
        <v>1101</v>
      </c>
      <c r="C236" s="1493"/>
      <c r="D236" s="1493"/>
      <c r="E236" s="1493"/>
      <c r="F236" s="1493"/>
      <c r="G236" s="1493"/>
      <c r="H236" s="1493"/>
      <c r="I236" s="1493"/>
      <c r="J236" s="1493"/>
      <c r="K236" s="1493"/>
      <c r="L236" s="1493"/>
      <c r="M236" s="1493"/>
      <c r="N236" s="1493"/>
      <c r="O236" s="1493"/>
    </row>
    <row r="237" spans="1:16">
      <c r="A237" s="706"/>
      <c r="B237" s="706"/>
      <c r="C237" s="706"/>
      <c r="D237" s="706"/>
      <c r="E237" s="706"/>
      <c r="F237" s="706"/>
      <c r="G237" s="706"/>
      <c r="H237" s="706"/>
      <c r="I237" s="706"/>
      <c r="J237" s="706"/>
      <c r="K237" s="706"/>
    </row>
    <row r="238" spans="1:16">
      <c r="A238" s="706"/>
      <c r="B238" s="706"/>
      <c r="C238" s="706"/>
      <c r="D238" s="706"/>
      <c r="E238" s="706"/>
      <c r="F238" s="706"/>
      <c r="G238" s="706"/>
      <c r="H238" s="706"/>
      <c r="I238" s="706"/>
      <c r="J238" s="706"/>
      <c r="K238" s="706"/>
    </row>
    <row r="239" spans="1:16" ht="15.75">
      <c r="A239" s="706"/>
      <c r="B239" s="897" t="s">
        <v>1102</v>
      </c>
      <c r="C239" s="706"/>
      <c r="D239" s="1494" t="s">
        <v>1159</v>
      </c>
      <c r="E239" s="1494"/>
      <c r="F239" s="1494"/>
      <c r="G239" s="1494"/>
      <c r="H239" s="1494"/>
      <c r="I239" s="1494"/>
      <c r="J239" s="1494"/>
      <c r="K239" s="1494"/>
      <c r="L239" s="1494"/>
      <c r="M239" s="1494"/>
      <c r="N239" s="1494"/>
      <c r="O239" s="1494"/>
      <c r="P239" s="706"/>
    </row>
    <row r="240" spans="1:16" ht="15.75">
      <c r="A240" s="706"/>
      <c r="B240" s="898"/>
      <c r="C240" s="706"/>
      <c r="D240" s="899"/>
      <c r="E240" s="899"/>
      <c r="F240" s="899"/>
      <c r="G240" s="899"/>
      <c r="H240" s="899"/>
      <c r="I240" s="899"/>
      <c r="J240" s="899"/>
      <c r="K240" s="899"/>
      <c r="L240" s="899"/>
      <c r="M240" s="899"/>
      <c r="N240" s="899"/>
      <c r="O240" s="899"/>
      <c r="P240" s="706"/>
    </row>
    <row r="241" spans="1:16">
      <c r="A241" s="706"/>
      <c r="B241" s="900"/>
      <c r="C241" s="706"/>
      <c r="D241" s="711" t="s">
        <v>1103</v>
      </c>
      <c r="E241" s="711"/>
      <c r="F241" s="901">
        <v>5000</v>
      </c>
      <c r="G241" s="711" t="s">
        <v>1104</v>
      </c>
      <c r="H241" s="706"/>
      <c r="I241" s="706"/>
      <c r="J241" s="706"/>
      <c r="K241" s="706"/>
      <c r="L241" s="706"/>
      <c r="M241" s="706"/>
      <c r="N241" s="706"/>
      <c r="O241" s="706"/>
      <c r="P241" s="706"/>
    </row>
    <row r="242" spans="1:16">
      <c r="A242" s="706"/>
      <c r="B242" s="900"/>
      <c r="C242" s="706"/>
      <c r="D242" s="706"/>
      <c r="E242" s="706"/>
      <c r="F242" s="706"/>
      <c r="G242" s="706"/>
      <c r="H242" s="706"/>
      <c r="I242" s="706"/>
      <c r="J242" s="706"/>
      <c r="K242" s="706"/>
      <c r="L242" s="706"/>
      <c r="M242" s="706"/>
      <c r="N242" s="706"/>
      <c r="O242" s="706"/>
      <c r="P242" s="706"/>
    </row>
    <row r="243" spans="1:16">
      <c r="A243" s="706"/>
      <c r="B243" s="900"/>
      <c r="C243" s="706"/>
      <c r="D243" s="902"/>
      <c r="E243" s="902"/>
      <c r="F243" s="1495" t="s">
        <v>1105</v>
      </c>
      <c r="G243" s="1496"/>
      <c r="H243" s="1497"/>
      <c r="I243" s="706"/>
      <c r="J243" s="1495" t="s">
        <v>1106</v>
      </c>
      <c r="K243" s="1496"/>
      <c r="L243" s="1497"/>
      <c r="M243" s="706"/>
      <c r="N243" s="1495" t="s">
        <v>1107</v>
      </c>
      <c r="O243" s="1497"/>
      <c r="P243" s="706"/>
    </row>
    <row r="244" spans="1:16" ht="12.75" customHeight="1">
      <c r="A244" s="706"/>
      <c r="B244" s="900"/>
      <c r="C244" s="706"/>
      <c r="D244" s="1485" t="s">
        <v>1108</v>
      </c>
      <c r="E244" s="903"/>
      <c r="F244" s="904" t="s">
        <v>1109</v>
      </c>
      <c r="G244" s="904" t="s">
        <v>1110</v>
      </c>
      <c r="H244" s="905" t="s">
        <v>1111</v>
      </c>
      <c r="I244" s="706"/>
      <c r="J244" s="904" t="s">
        <v>1109</v>
      </c>
      <c r="K244" s="906" t="s">
        <v>1110</v>
      </c>
      <c r="L244" s="905" t="s">
        <v>1111</v>
      </c>
      <c r="M244" s="706"/>
      <c r="N244" s="1487" t="s">
        <v>1112</v>
      </c>
      <c r="O244" s="1489" t="s">
        <v>1113</v>
      </c>
      <c r="P244" s="706"/>
    </row>
    <row r="245" spans="1:16">
      <c r="A245" s="706"/>
      <c r="B245" s="900"/>
      <c r="C245" s="706"/>
      <c r="D245" s="1486"/>
      <c r="E245" s="903"/>
      <c r="F245" s="907" t="s">
        <v>831</v>
      </c>
      <c r="G245" s="907"/>
      <c r="H245" s="908" t="s">
        <v>831</v>
      </c>
      <c r="I245" s="706"/>
      <c r="J245" s="907" t="s">
        <v>831</v>
      </c>
      <c r="K245" s="908"/>
      <c r="L245" s="908" t="s">
        <v>831</v>
      </c>
      <c r="M245" s="706"/>
      <c r="N245" s="1488"/>
      <c r="O245" s="1490"/>
      <c r="P245" s="706"/>
    </row>
    <row r="246" spans="1:16">
      <c r="A246" s="706"/>
      <c r="B246" s="909" t="s">
        <v>1089</v>
      </c>
      <c r="C246" s="909"/>
      <c r="D246" s="910" t="s">
        <v>1114</v>
      </c>
      <c r="E246" s="911"/>
      <c r="F246" s="912">
        <v>21.55</v>
      </c>
      <c r="G246" s="913">
        <v>1</v>
      </c>
      <c r="H246" s="914">
        <f>G246*F246</f>
        <v>21.55</v>
      </c>
      <c r="I246" s="915"/>
      <c r="J246" s="916">
        <v>21.09</v>
      </c>
      <c r="K246" s="917">
        <v>1</v>
      </c>
      <c r="L246" s="914">
        <f>K246*J246</f>
        <v>21.09</v>
      </c>
      <c r="M246" s="915"/>
      <c r="N246" s="918">
        <f>L246-H246</f>
        <v>-0.46000000000000085</v>
      </c>
      <c r="O246" s="919">
        <f>IF((H246)=0,"",(N246/H246))</f>
        <v>-2.1345707656612568E-2</v>
      </c>
      <c r="P246" s="706"/>
    </row>
    <row r="247" spans="1:16">
      <c r="A247" s="706"/>
      <c r="B247" s="909" t="s">
        <v>1169</v>
      </c>
      <c r="C247" s="909"/>
      <c r="D247" s="910" t="s">
        <v>1114</v>
      </c>
      <c r="E247" s="911"/>
      <c r="F247" s="912">
        <v>0.78800000000000003</v>
      </c>
      <c r="G247" s="913">
        <v>1</v>
      </c>
      <c r="H247" s="914">
        <f t="shared" ref="H247:H253" si="30">G247*F247</f>
        <v>0.78800000000000003</v>
      </c>
      <c r="I247" s="915"/>
      <c r="J247" s="916">
        <v>0.78800000000000003</v>
      </c>
      <c r="K247" s="917">
        <v>1</v>
      </c>
      <c r="L247" s="914">
        <f>K247*J247</f>
        <v>0.78800000000000003</v>
      </c>
      <c r="M247" s="915"/>
      <c r="N247" s="918">
        <f>L247-H247</f>
        <v>0</v>
      </c>
      <c r="O247" s="919">
        <f>IF((H247)=0,"",(N247/H247))</f>
        <v>0</v>
      </c>
      <c r="P247" s="706"/>
    </row>
    <row r="248" spans="1:16">
      <c r="A248" s="706"/>
      <c r="B248" s="920" t="s">
        <v>1116</v>
      </c>
      <c r="C248" s="909"/>
      <c r="D248" s="910" t="s">
        <v>1114</v>
      </c>
      <c r="E248" s="911"/>
      <c r="F248" s="912">
        <v>0</v>
      </c>
      <c r="G248" s="913">
        <v>1</v>
      </c>
      <c r="H248" s="914">
        <f t="shared" si="30"/>
        <v>0</v>
      </c>
      <c r="I248" s="915"/>
      <c r="J248" s="916">
        <v>0</v>
      </c>
      <c r="K248" s="917">
        <v>1</v>
      </c>
      <c r="L248" s="914">
        <f t="shared" ref="L248:L253" si="31">K248*J248</f>
        <v>0</v>
      </c>
      <c r="M248" s="915"/>
      <c r="N248" s="918">
        <f t="shared" ref="N248:N270" si="32">L248-H248</f>
        <v>0</v>
      </c>
      <c r="O248" s="919" t="str">
        <f t="shared" ref="O248:O254" si="33">IF((H248)=0,"",(N248/H248))</f>
        <v/>
      </c>
      <c r="P248" s="706"/>
    </row>
    <row r="249" spans="1:16">
      <c r="A249" s="706"/>
      <c r="B249" s="909" t="s">
        <v>1117</v>
      </c>
      <c r="C249" s="909"/>
      <c r="D249" s="910" t="s">
        <v>1087</v>
      </c>
      <c r="E249" s="911"/>
      <c r="F249" s="912">
        <v>1.8599999999999998E-2</v>
      </c>
      <c r="G249" s="913">
        <f>F241</f>
        <v>5000</v>
      </c>
      <c r="H249" s="914">
        <f t="shared" si="30"/>
        <v>92.999999999999986</v>
      </c>
      <c r="I249" s="915"/>
      <c r="J249" s="916">
        <v>1.8200000000000001E-2</v>
      </c>
      <c r="K249" s="913">
        <f>F241</f>
        <v>5000</v>
      </c>
      <c r="L249" s="914">
        <f t="shared" si="31"/>
        <v>91</v>
      </c>
      <c r="M249" s="915"/>
      <c r="N249" s="918">
        <f t="shared" si="32"/>
        <v>-1.9999999999999858</v>
      </c>
      <c r="O249" s="919">
        <f t="shared" si="33"/>
        <v>-2.1505376344085871E-2</v>
      </c>
      <c r="P249" s="706"/>
    </row>
    <row r="250" spans="1:16">
      <c r="A250" s="706"/>
      <c r="B250" s="909" t="s">
        <v>1118</v>
      </c>
      <c r="C250" s="909"/>
      <c r="D250" s="910" t="s">
        <v>1114</v>
      </c>
      <c r="E250" s="911"/>
      <c r="F250" s="912">
        <v>0</v>
      </c>
      <c r="G250" s="913">
        <v>1</v>
      </c>
      <c r="H250" s="914">
        <f t="shared" si="30"/>
        <v>0</v>
      </c>
      <c r="I250" s="915"/>
      <c r="J250" s="916">
        <v>5.54</v>
      </c>
      <c r="K250" s="913">
        <v>1</v>
      </c>
      <c r="L250" s="914">
        <f t="shared" si="31"/>
        <v>5.54</v>
      </c>
      <c r="M250" s="915"/>
      <c r="N250" s="918">
        <f t="shared" si="32"/>
        <v>5.54</v>
      </c>
      <c r="O250" s="919" t="str">
        <f t="shared" si="33"/>
        <v/>
      </c>
      <c r="P250" s="706"/>
    </row>
    <row r="251" spans="1:16">
      <c r="A251" s="706"/>
      <c r="B251" s="909" t="s">
        <v>1119</v>
      </c>
      <c r="C251" s="909"/>
      <c r="D251" s="910" t="s">
        <v>1088</v>
      </c>
      <c r="E251" s="911"/>
      <c r="F251" s="912">
        <v>1E-4</v>
      </c>
      <c r="G251" s="913">
        <f>F241</f>
        <v>5000</v>
      </c>
      <c r="H251" s="914">
        <f t="shared" si="30"/>
        <v>0.5</v>
      </c>
      <c r="I251" s="915"/>
      <c r="J251" s="916">
        <v>0</v>
      </c>
      <c r="K251" s="913">
        <f>F241</f>
        <v>5000</v>
      </c>
      <c r="L251" s="914">
        <f t="shared" si="31"/>
        <v>0</v>
      </c>
      <c r="M251" s="915"/>
      <c r="N251" s="918">
        <f t="shared" si="32"/>
        <v>-0.5</v>
      </c>
      <c r="O251" s="919">
        <f t="shared" si="33"/>
        <v>-1</v>
      </c>
      <c r="P251" s="706"/>
    </row>
    <row r="252" spans="1:16">
      <c r="A252" s="706"/>
      <c r="B252" s="921" t="s">
        <v>1120</v>
      </c>
      <c r="C252" s="909"/>
      <c r="D252" s="910" t="s">
        <v>1088</v>
      </c>
      <c r="E252" s="911"/>
      <c r="F252" s="912">
        <v>-4.0000000000000002E-4</v>
      </c>
      <c r="G252" s="913">
        <f>F241</f>
        <v>5000</v>
      </c>
      <c r="H252" s="914">
        <f t="shared" si="30"/>
        <v>-2</v>
      </c>
      <c r="I252" s="915"/>
      <c r="J252" s="916">
        <v>0</v>
      </c>
      <c r="K252" s="913">
        <f>F241</f>
        <v>5000</v>
      </c>
      <c r="L252" s="914">
        <f t="shared" si="31"/>
        <v>0</v>
      </c>
      <c r="M252" s="915"/>
      <c r="N252" s="918">
        <f t="shared" si="32"/>
        <v>2</v>
      </c>
      <c r="O252" s="919">
        <f t="shared" si="33"/>
        <v>-1</v>
      </c>
      <c r="P252" s="706"/>
    </row>
    <row r="253" spans="1:16">
      <c r="A253" s="706"/>
      <c r="B253" s="921" t="s">
        <v>1121</v>
      </c>
      <c r="C253" s="909"/>
      <c r="D253" s="910" t="s">
        <v>1114</v>
      </c>
      <c r="E253" s="911"/>
      <c r="F253" s="912">
        <v>0</v>
      </c>
      <c r="G253" s="913">
        <v>1</v>
      </c>
      <c r="H253" s="914">
        <f t="shared" si="30"/>
        <v>0</v>
      </c>
      <c r="I253" s="915"/>
      <c r="J253" s="916">
        <v>1.81</v>
      </c>
      <c r="K253" s="913">
        <v>1</v>
      </c>
      <c r="L253" s="914">
        <f t="shared" si="31"/>
        <v>1.81</v>
      </c>
      <c r="M253" s="915"/>
      <c r="N253" s="918">
        <f t="shared" si="32"/>
        <v>1.81</v>
      </c>
      <c r="O253" s="919" t="str">
        <f t="shared" si="33"/>
        <v/>
      </c>
      <c r="P253" s="706"/>
    </row>
    <row r="254" spans="1:16">
      <c r="A254" s="755"/>
      <c r="B254" s="922" t="s">
        <v>1122</v>
      </c>
      <c r="C254" s="923"/>
      <c r="D254" s="924"/>
      <c r="E254" s="923"/>
      <c r="F254" s="925"/>
      <c r="G254" s="926"/>
      <c r="H254" s="927">
        <f>SUM(H246:H253)</f>
        <v>113.83799999999999</v>
      </c>
      <c r="I254" s="928"/>
      <c r="J254" s="929"/>
      <c r="K254" s="930"/>
      <c r="L254" s="927">
        <f>SUM(L246:L253)</f>
        <v>120.22800000000001</v>
      </c>
      <c r="M254" s="928"/>
      <c r="N254" s="931">
        <f t="shared" si="32"/>
        <v>6.3900000000000148</v>
      </c>
      <c r="O254" s="932">
        <f t="shared" si="33"/>
        <v>5.6132398671796896E-2</v>
      </c>
      <c r="P254" s="755"/>
    </row>
    <row r="255" spans="1:16">
      <c r="A255" s="706"/>
      <c r="B255" s="933" t="s">
        <v>1123</v>
      </c>
      <c r="C255" s="909"/>
      <c r="D255" s="910" t="s">
        <v>1088</v>
      </c>
      <c r="E255" s="911"/>
      <c r="F255" s="912">
        <v>-2.0000000000000001E-4</v>
      </c>
      <c r="G255" s="913">
        <f>F241</f>
        <v>5000</v>
      </c>
      <c r="H255" s="914">
        <f>G255*F255</f>
        <v>-1</v>
      </c>
      <c r="I255" s="915"/>
      <c r="J255" s="916">
        <v>-6.9999999999999999E-4</v>
      </c>
      <c r="K255" s="913">
        <f>F241</f>
        <v>5000</v>
      </c>
      <c r="L255" s="914">
        <f t="shared" ref="L255:L257" si="34">K255*J255</f>
        <v>-3.5</v>
      </c>
      <c r="M255" s="915"/>
      <c r="N255" s="918">
        <f t="shared" si="32"/>
        <v>-2.5</v>
      </c>
      <c r="O255" s="919">
        <f>IF((H255)=0,"",(N255/H255))</f>
        <v>2.5</v>
      </c>
      <c r="P255" s="706"/>
    </row>
    <row r="256" spans="1:16">
      <c r="A256" s="706"/>
      <c r="B256" s="934" t="s">
        <v>1124</v>
      </c>
      <c r="C256" s="909"/>
      <c r="D256" s="910" t="s">
        <v>1087</v>
      </c>
      <c r="E256" s="911"/>
      <c r="F256" s="912">
        <v>1E-4</v>
      </c>
      <c r="G256" s="913">
        <f>F241</f>
        <v>5000</v>
      </c>
      <c r="H256" s="914">
        <f>G256*F256</f>
        <v>0.5</v>
      </c>
      <c r="I256" s="915"/>
      <c r="J256" s="916">
        <v>1E-4</v>
      </c>
      <c r="K256" s="913">
        <f>F241</f>
        <v>5000</v>
      </c>
      <c r="L256" s="914">
        <f t="shared" si="34"/>
        <v>0.5</v>
      </c>
      <c r="M256" s="915"/>
      <c r="N256" s="918">
        <f t="shared" si="32"/>
        <v>0</v>
      </c>
      <c r="O256" s="919">
        <f>IF((H256)=0,"",(N256/H256))</f>
        <v>0</v>
      </c>
      <c r="P256" s="706"/>
    </row>
    <row r="257" spans="1:16">
      <c r="A257" s="706"/>
      <c r="B257" s="934" t="s">
        <v>1125</v>
      </c>
      <c r="C257" s="909"/>
      <c r="D257" s="910"/>
      <c r="E257" s="911"/>
      <c r="F257" s="935"/>
      <c r="G257" s="936"/>
      <c r="H257" s="937"/>
      <c r="I257" s="915"/>
      <c r="J257" s="916"/>
      <c r="K257" s="913">
        <f>F241</f>
        <v>5000</v>
      </c>
      <c r="L257" s="914">
        <f t="shared" si="34"/>
        <v>0</v>
      </c>
      <c r="M257" s="915"/>
      <c r="N257" s="918">
        <f t="shared" si="32"/>
        <v>0</v>
      </c>
      <c r="O257" s="919"/>
      <c r="P257" s="706"/>
    </row>
    <row r="258" spans="1:16">
      <c r="A258" s="706"/>
      <c r="B258" s="938" t="s">
        <v>1126</v>
      </c>
      <c r="C258" s="939"/>
      <c r="D258" s="939"/>
      <c r="E258" s="939"/>
      <c r="F258" s="940"/>
      <c r="G258" s="941"/>
      <c r="H258" s="942">
        <f>SUM(H254:H257)</f>
        <v>113.33799999999999</v>
      </c>
      <c r="I258" s="928"/>
      <c r="J258" s="941"/>
      <c r="K258" s="943"/>
      <c r="L258" s="942">
        <f>SUM(L254:L257)</f>
        <v>117.22800000000001</v>
      </c>
      <c r="M258" s="928"/>
      <c r="N258" s="931">
        <f t="shared" si="32"/>
        <v>3.8900000000000148</v>
      </c>
      <c r="O258" s="932">
        <f t="shared" ref="O258:O270" si="35">IF((H258)=0,"",(N258/H258))</f>
        <v>3.4322116148158735E-2</v>
      </c>
      <c r="P258" s="706"/>
    </row>
    <row r="259" spans="1:16">
      <c r="A259" s="706"/>
      <c r="B259" s="915" t="s">
        <v>1127</v>
      </c>
      <c r="C259" s="915"/>
      <c r="D259" s="944" t="s">
        <v>1087</v>
      </c>
      <c r="E259" s="945"/>
      <c r="F259" s="916">
        <v>4.3E-3</v>
      </c>
      <c r="G259" s="946">
        <f>F241*(1+F285)</f>
        <v>5263.5</v>
      </c>
      <c r="H259" s="914">
        <f>G259*F259</f>
        <v>22.633050000000001</v>
      </c>
      <c r="I259" s="915"/>
      <c r="J259" s="916">
        <v>4.3E-3</v>
      </c>
      <c r="K259" s="947">
        <f>F241*(1+J285)</f>
        <v>5270</v>
      </c>
      <c r="L259" s="914">
        <f>K259*J259</f>
        <v>22.661000000000001</v>
      </c>
      <c r="M259" s="915"/>
      <c r="N259" s="918">
        <f t="shared" si="32"/>
        <v>2.7950000000000585E-2</v>
      </c>
      <c r="O259" s="919">
        <f t="shared" si="35"/>
        <v>1.2349197302175617E-3</v>
      </c>
      <c r="P259" s="706"/>
    </row>
    <row r="260" spans="1:16">
      <c r="A260" s="706"/>
      <c r="B260" s="948" t="s">
        <v>1128</v>
      </c>
      <c r="C260" s="915"/>
      <c r="D260" s="944" t="s">
        <v>1087</v>
      </c>
      <c r="E260" s="945"/>
      <c r="F260" s="916">
        <v>2.7000000000000001E-3</v>
      </c>
      <c r="G260" s="946">
        <f>G259</f>
        <v>5263.5</v>
      </c>
      <c r="H260" s="914">
        <f>G260*F260</f>
        <v>14.211450000000001</v>
      </c>
      <c r="I260" s="915"/>
      <c r="J260" s="916">
        <v>2.5999999999999999E-3</v>
      </c>
      <c r="K260" s="947">
        <f>K259</f>
        <v>5270</v>
      </c>
      <c r="L260" s="914">
        <f>K260*J260</f>
        <v>13.702</v>
      </c>
      <c r="M260" s="915"/>
      <c r="N260" s="918">
        <f t="shared" si="32"/>
        <v>-0.50945000000000107</v>
      </c>
      <c r="O260" s="919">
        <f t="shared" si="35"/>
        <v>-3.584785507460541E-2</v>
      </c>
      <c r="P260" s="706"/>
    </row>
    <row r="261" spans="1:16">
      <c r="A261" s="706"/>
      <c r="B261" s="938" t="s">
        <v>1129</v>
      </c>
      <c r="C261" s="923"/>
      <c r="D261" s="923"/>
      <c r="E261" s="923"/>
      <c r="F261" s="949"/>
      <c r="G261" s="941"/>
      <c r="H261" s="942">
        <f>SUM(H258:H260)</f>
        <v>150.1825</v>
      </c>
      <c r="I261" s="950"/>
      <c r="J261" s="951"/>
      <c r="K261" s="952"/>
      <c r="L261" s="942">
        <f>SUM(L258:L260)</f>
        <v>153.59100000000001</v>
      </c>
      <c r="M261" s="950"/>
      <c r="N261" s="931">
        <f t="shared" si="32"/>
        <v>3.4085000000000036</v>
      </c>
      <c r="O261" s="932">
        <f t="shared" si="35"/>
        <v>2.2695720207081407E-2</v>
      </c>
      <c r="P261" s="706"/>
    </row>
    <row r="262" spans="1:16">
      <c r="A262" s="706"/>
      <c r="B262" s="953" t="s">
        <v>1130</v>
      </c>
      <c r="C262" s="909"/>
      <c r="D262" s="910" t="s">
        <v>1087</v>
      </c>
      <c r="E262" s="911"/>
      <c r="F262" s="956">
        <v>4.4000000000000003E-3</v>
      </c>
      <c r="G262" s="946">
        <f>F241*(1+F285)</f>
        <v>5263.5</v>
      </c>
      <c r="H262" s="955">
        <f t="shared" ref="H262:H265" si="36">G262*F262</f>
        <v>23.159400000000002</v>
      </c>
      <c r="I262" s="915"/>
      <c r="J262" s="956">
        <v>4.4000000000000003E-3</v>
      </c>
      <c r="K262" s="947">
        <f>F241*(1+J285)</f>
        <v>5270</v>
      </c>
      <c r="L262" s="955">
        <f t="shared" ref="L262:L265" si="37">K262*J262</f>
        <v>23.188000000000002</v>
      </c>
      <c r="M262" s="915"/>
      <c r="N262" s="918">
        <f t="shared" si="32"/>
        <v>2.8600000000000847E-2</v>
      </c>
      <c r="O262" s="957">
        <f t="shared" si="35"/>
        <v>1.2349197302175723E-3</v>
      </c>
      <c r="P262" s="706"/>
    </row>
    <row r="263" spans="1:16">
      <c r="A263" s="706"/>
      <c r="B263" s="953" t="s">
        <v>1131</v>
      </c>
      <c r="C263" s="909"/>
      <c r="D263" s="910" t="s">
        <v>1087</v>
      </c>
      <c r="E263" s="911"/>
      <c r="F263" s="956">
        <v>1.1999999999999999E-3</v>
      </c>
      <c r="G263" s="946">
        <f>F241*(1+F285)</f>
        <v>5263.5</v>
      </c>
      <c r="H263" s="955">
        <f t="shared" si="36"/>
        <v>6.3161999999999994</v>
      </c>
      <c r="I263" s="915"/>
      <c r="J263" s="956">
        <v>1.1999999999999999E-3</v>
      </c>
      <c r="K263" s="947">
        <f>F241*(1+J285)</f>
        <v>5270</v>
      </c>
      <c r="L263" s="955">
        <f t="shared" si="37"/>
        <v>6.3239999999999998</v>
      </c>
      <c r="M263" s="915"/>
      <c r="N263" s="918">
        <f t="shared" si="32"/>
        <v>7.8000000000004732E-3</v>
      </c>
      <c r="O263" s="957">
        <f t="shared" si="35"/>
        <v>1.2349197302176109E-3</v>
      </c>
      <c r="P263" s="706"/>
    </row>
    <row r="264" spans="1:16">
      <c r="A264" s="706"/>
      <c r="B264" s="909" t="s">
        <v>1132</v>
      </c>
      <c r="C264" s="909"/>
      <c r="D264" s="910"/>
      <c r="E264" s="911"/>
      <c r="F264" s="954">
        <v>0.25</v>
      </c>
      <c r="G264" s="913">
        <v>1</v>
      </c>
      <c r="H264" s="955">
        <f t="shared" si="36"/>
        <v>0.25</v>
      </c>
      <c r="I264" s="915"/>
      <c r="J264" s="956">
        <v>0.25</v>
      </c>
      <c r="K264" s="917">
        <v>1</v>
      </c>
      <c r="L264" s="955">
        <f t="shared" si="37"/>
        <v>0.25</v>
      </c>
      <c r="M264" s="915"/>
      <c r="N264" s="918">
        <f t="shared" si="32"/>
        <v>0</v>
      </c>
      <c r="O264" s="957">
        <f t="shared" si="35"/>
        <v>0</v>
      </c>
      <c r="P264" s="706"/>
    </row>
    <row r="265" spans="1:16">
      <c r="A265" s="706"/>
      <c r="B265" s="909" t="s">
        <v>1133</v>
      </c>
      <c r="C265" s="909"/>
      <c r="D265" s="910" t="s">
        <v>1087</v>
      </c>
      <c r="E265" s="911"/>
      <c r="F265" s="954">
        <v>7.0000000000000001E-3</v>
      </c>
      <c r="G265" s="946">
        <f>F241</f>
        <v>5000</v>
      </c>
      <c r="H265" s="955">
        <f t="shared" si="36"/>
        <v>35</v>
      </c>
      <c r="I265" s="915"/>
      <c r="J265" s="956">
        <v>7.0000000000000001E-3</v>
      </c>
      <c r="K265" s="947">
        <f>F241</f>
        <v>5000</v>
      </c>
      <c r="L265" s="955">
        <f t="shared" si="37"/>
        <v>35</v>
      </c>
      <c r="M265" s="915"/>
      <c r="N265" s="918">
        <f t="shared" si="32"/>
        <v>0</v>
      </c>
      <c r="O265" s="957">
        <f t="shared" si="35"/>
        <v>0</v>
      </c>
      <c r="P265" s="706"/>
    </row>
    <row r="266" spans="1:16">
      <c r="A266" s="706"/>
      <c r="B266" s="934" t="s">
        <v>1134</v>
      </c>
      <c r="C266" s="909"/>
      <c r="D266" s="910" t="s">
        <v>1087</v>
      </c>
      <c r="E266" s="911"/>
      <c r="F266" s="958">
        <v>7.3999999999999996E-2</v>
      </c>
      <c r="G266" s="946">
        <f>IF($G$187&gt;=750,750,$G$187)</f>
        <v>750</v>
      </c>
      <c r="H266" s="955">
        <f>G266*F266</f>
        <v>55.5</v>
      </c>
      <c r="I266" s="915"/>
      <c r="J266" s="958">
        <v>7.3999999999999996E-2</v>
      </c>
      <c r="K266" s="946">
        <f>IF($G$187&gt;=750,750,$G$187)</f>
        <v>750</v>
      </c>
      <c r="L266" s="955">
        <f>K266*J266</f>
        <v>55.5</v>
      </c>
      <c r="M266" s="915"/>
      <c r="N266" s="918">
        <f t="shared" si="32"/>
        <v>0</v>
      </c>
      <c r="O266" s="957">
        <f t="shared" si="35"/>
        <v>0</v>
      </c>
      <c r="P266" s="706"/>
    </row>
    <row r="267" spans="1:16">
      <c r="A267" s="706"/>
      <c r="B267" s="934" t="s">
        <v>1135</v>
      </c>
      <c r="C267" s="909"/>
      <c r="D267" s="910" t="s">
        <v>1087</v>
      </c>
      <c r="E267" s="911"/>
      <c r="F267" s="958">
        <v>8.6999999999999994E-2</v>
      </c>
      <c r="G267" s="946">
        <f>IF($F$241&gt;=750,$F$241*(1+F285)-750,0)</f>
        <v>4513.5</v>
      </c>
      <c r="H267" s="955">
        <f>G267*F267</f>
        <v>392.67449999999997</v>
      </c>
      <c r="I267" s="915"/>
      <c r="J267" s="958">
        <v>8.6999999999999994E-2</v>
      </c>
      <c r="K267" s="946">
        <f>IF($F$241&gt;=750,$F$241*(1+J285)-750,0)</f>
        <v>4520</v>
      </c>
      <c r="L267" s="955">
        <f>K267*J267</f>
        <v>393.23999999999995</v>
      </c>
      <c r="M267" s="915"/>
      <c r="N267" s="918">
        <f t="shared" si="32"/>
        <v>0.5654999999999859</v>
      </c>
      <c r="O267" s="957">
        <f t="shared" si="35"/>
        <v>1.4401240722277254E-3</v>
      </c>
      <c r="P267" s="706"/>
    </row>
    <row r="268" spans="1:16">
      <c r="A268" s="706"/>
      <c r="B268" s="934" t="s">
        <v>1136</v>
      </c>
      <c r="C268" s="909"/>
      <c r="D268" s="910" t="s">
        <v>1087</v>
      </c>
      <c r="E268" s="911"/>
      <c r="F268" s="958">
        <v>6.3E-2</v>
      </c>
      <c r="G268" s="959">
        <f>0.64*$F241*(1+F285)</f>
        <v>3368.64</v>
      </c>
      <c r="H268" s="955">
        <f t="shared" ref="H268:H270" si="38">G268*F268</f>
        <v>212.22432000000001</v>
      </c>
      <c r="I268" s="915"/>
      <c r="J268" s="958">
        <v>6.3E-2</v>
      </c>
      <c r="K268" s="959">
        <f>0.64*$F241*(1+J285)</f>
        <v>3372.8</v>
      </c>
      <c r="L268" s="955">
        <f t="shared" ref="L268:L270" si="39">K268*J268</f>
        <v>212.4864</v>
      </c>
      <c r="M268" s="915"/>
      <c r="N268" s="918">
        <f t="shared" si="32"/>
        <v>0.26207999999999743</v>
      </c>
      <c r="O268" s="957">
        <f t="shared" si="35"/>
        <v>1.2349197302175237E-3</v>
      </c>
      <c r="P268" s="706"/>
    </row>
    <row r="269" spans="1:16">
      <c r="A269" s="706"/>
      <c r="B269" s="934" t="s">
        <v>1137</v>
      </c>
      <c r="C269" s="909"/>
      <c r="D269" s="910" t="s">
        <v>1087</v>
      </c>
      <c r="E269" s="911"/>
      <c r="F269" s="958">
        <v>9.9000000000000005E-2</v>
      </c>
      <c r="G269" s="959">
        <f>0.18*$F$241*(1+F285)</f>
        <v>947.43</v>
      </c>
      <c r="H269" s="955">
        <f t="shared" si="38"/>
        <v>93.795569999999998</v>
      </c>
      <c r="I269" s="915"/>
      <c r="J269" s="958">
        <v>9.9000000000000005E-2</v>
      </c>
      <c r="K269" s="959">
        <f>0.18*$F$241*(1+J285)</f>
        <v>948.6</v>
      </c>
      <c r="L269" s="955">
        <f t="shared" si="39"/>
        <v>93.9114</v>
      </c>
      <c r="M269" s="915"/>
      <c r="N269" s="918">
        <f t="shared" si="32"/>
        <v>0.11583000000000254</v>
      </c>
      <c r="O269" s="957">
        <f t="shared" si="35"/>
        <v>1.234919730217563E-3</v>
      </c>
      <c r="P269" s="706"/>
    </row>
    <row r="270" spans="1:16" ht="13.5" thickBot="1">
      <c r="A270" s="706"/>
      <c r="B270" s="900" t="s">
        <v>1138</v>
      </c>
      <c r="C270" s="909"/>
      <c r="D270" s="910" t="s">
        <v>1087</v>
      </c>
      <c r="E270" s="911"/>
      <c r="F270" s="958">
        <v>0.11799999999999999</v>
      </c>
      <c r="G270" s="959">
        <f>0.18*$F$241*(1+F285)</f>
        <v>947.43</v>
      </c>
      <c r="H270" s="955">
        <f t="shared" si="38"/>
        <v>111.79673999999999</v>
      </c>
      <c r="I270" s="915"/>
      <c r="J270" s="958">
        <v>0.11799999999999999</v>
      </c>
      <c r="K270" s="959">
        <f>0.18*$F$241*(1+J285)</f>
        <v>948.6</v>
      </c>
      <c r="L270" s="955">
        <f t="shared" si="39"/>
        <v>111.9348</v>
      </c>
      <c r="M270" s="915"/>
      <c r="N270" s="918">
        <f t="shared" si="32"/>
        <v>0.13806000000001006</v>
      </c>
      <c r="O270" s="957">
        <f t="shared" si="35"/>
        <v>1.2349197302176261E-3</v>
      </c>
      <c r="P270" s="706"/>
    </row>
    <row r="271" spans="1:16" ht="13.5" thickBot="1">
      <c r="A271" s="706"/>
      <c r="B271" s="960"/>
      <c r="C271" s="961"/>
      <c r="D271" s="962"/>
      <c r="E271" s="961"/>
      <c r="F271" s="963"/>
      <c r="G271" s="964"/>
      <c r="H271" s="965"/>
      <c r="I271" s="966"/>
      <c r="J271" s="963"/>
      <c r="K271" s="967"/>
      <c r="L271" s="965"/>
      <c r="M271" s="966"/>
      <c r="N271" s="968"/>
      <c r="O271" s="969"/>
      <c r="P271" s="706"/>
    </row>
    <row r="272" spans="1:16">
      <c r="A272" s="706"/>
      <c r="B272" s="970" t="s">
        <v>1139</v>
      </c>
      <c r="C272" s="909"/>
      <c r="D272" s="909"/>
      <c r="E272" s="909"/>
      <c r="F272" s="971"/>
      <c r="G272" s="972"/>
      <c r="H272" s="973">
        <f>SUM(H261:H267)</f>
        <v>663.08259999999996</v>
      </c>
      <c r="I272" s="974"/>
      <c r="J272" s="975"/>
      <c r="K272" s="975"/>
      <c r="L272" s="976">
        <f>SUM(L261:L267)</f>
        <v>667.09299999999996</v>
      </c>
      <c r="M272" s="977"/>
      <c r="N272" s="978">
        <f t="shared" ref="N272:N276" si="40">L272-H272</f>
        <v>4.0104000000000042</v>
      </c>
      <c r="O272" s="979">
        <f t="shared" ref="O272:O276" si="41">IF((H272)=0,"",(N272/H272))</f>
        <v>6.0481152725165828E-3</v>
      </c>
      <c r="P272" s="706"/>
    </row>
    <row r="273" spans="1:16">
      <c r="A273" s="706"/>
      <c r="B273" s="980" t="s">
        <v>1140</v>
      </c>
      <c r="C273" s="909"/>
      <c r="D273" s="909"/>
      <c r="E273" s="909"/>
      <c r="F273" s="981">
        <v>0.13</v>
      </c>
      <c r="G273" s="972"/>
      <c r="H273" s="982">
        <f>H272*F273</f>
        <v>86.200738000000001</v>
      </c>
      <c r="I273" s="983"/>
      <c r="J273" s="984">
        <v>0.13</v>
      </c>
      <c r="K273" s="985"/>
      <c r="L273" s="986">
        <f>L272*J273</f>
        <v>86.722089999999994</v>
      </c>
      <c r="M273" s="987"/>
      <c r="N273" s="988">
        <f t="shared" si="40"/>
        <v>0.52135199999999315</v>
      </c>
      <c r="O273" s="989">
        <f t="shared" si="41"/>
        <v>6.048115272516497E-3</v>
      </c>
      <c r="P273" s="706"/>
    </row>
    <row r="274" spans="1:16">
      <c r="A274" s="706"/>
      <c r="B274" s="990" t="s">
        <v>1141</v>
      </c>
      <c r="C274" s="909"/>
      <c r="D274" s="909"/>
      <c r="E274" s="909"/>
      <c r="F274" s="991"/>
      <c r="G274" s="992"/>
      <c r="H274" s="982">
        <f>H272+H273</f>
        <v>749.28333799999996</v>
      </c>
      <c r="I274" s="983"/>
      <c r="J274" s="983"/>
      <c r="K274" s="983"/>
      <c r="L274" s="986">
        <f>L272+L273</f>
        <v>753.81508999999994</v>
      </c>
      <c r="M274" s="987"/>
      <c r="N274" s="988">
        <f t="shared" si="40"/>
        <v>4.5317519999999831</v>
      </c>
      <c r="O274" s="989">
        <f t="shared" si="41"/>
        <v>6.0481152725165542E-3</v>
      </c>
      <c r="P274" s="706"/>
    </row>
    <row r="275" spans="1:16" ht="12.75" customHeight="1">
      <c r="A275" s="706"/>
      <c r="B275" s="1491" t="s">
        <v>1142</v>
      </c>
      <c r="C275" s="1491"/>
      <c r="D275" s="1491"/>
      <c r="E275" s="909"/>
      <c r="F275" s="991"/>
      <c r="G275" s="992"/>
      <c r="H275" s="993">
        <f>ROUND(-H274*10%,2)</f>
        <v>-74.930000000000007</v>
      </c>
      <c r="I275" s="983"/>
      <c r="J275" s="983"/>
      <c r="K275" s="983"/>
      <c r="L275" s="994">
        <f>ROUND(-L274*10%,2)</f>
        <v>-75.38</v>
      </c>
      <c r="M275" s="987"/>
      <c r="N275" s="995">
        <f t="shared" si="40"/>
        <v>-0.44999999999998863</v>
      </c>
      <c r="O275" s="996">
        <f t="shared" si="41"/>
        <v>6.0056052315492943E-3</v>
      </c>
      <c r="P275" s="706"/>
    </row>
    <row r="276" spans="1:16" ht="13.5" customHeight="1" thickBot="1">
      <c r="A276" s="706"/>
      <c r="B276" s="1484" t="s">
        <v>1143</v>
      </c>
      <c r="C276" s="1484"/>
      <c r="D276" s="1484"/>
      <c r="E276" s="997"/>
      <c r="F276" s="998"/>
      <c r="G276" s="999"/>
      <c r="H276" s="1000">
        <f>SUM(H274:H275)</f>
        <v>674.35333799999989</v>
      </c>
      <c r="I276" s="1001"/>
      <c r="J276" s="1001"/>
      <c r="K276" s="1001"/>
      <c r="L276" s="1002">
        <f>SUM(L274:L275)</f>
        <v>678.43508999999995</v>
      </c>
      <c r="M276" s="1003"/>
      <c r="N276" s="1004">
        <f t="shared" si="40"/>
        <v>4.0817520000000513</v>
      </c>
      <c r="O276" s="1005">
        <f t="shared" si="41"/>
        <v>6.052838727106667E-3</v>
      </c>
      <c r="P276" s="706"/>
    </row>
    <row r="277" spans="1:16" ht="13.5" thickBot="1">
      <c r="A277" s="706"/>
      <c r="B277" s="960"/>
      <c r="C277" s="961"/>
      <c r="D277" s="962"/>
      <c r="E277" s="961"/>
      <c r="F277" s="1006"/>
      <c r="G277" s="1007"/>
      <c r="H277" s="1008"/>
      <c r="I277" s="1009"/>
      <c r="J277" s="1006"/>
      <c r="K277" s="964"/>
      <c r="L277" s="1010"/>
      <c r="M277" s="966"/>
      <c r="N277" s="1011"/>
      <c r="O277" s="969"/>
      <c r="P277" s="706"/>
    </row>
    <row r="278" spans="1:16">
      <c r="A278" s="706"/>
      <c r="B278" s="970" t="s">
        <v>1144</v>
      </c>
      <c r="C278" s="909"/>
      <c r="D278" s="909"/>
      <c r="E278" s="909"/>
      <c r="F278" s="971"/>
      <c r="G278" s="972"/>
      <c r="H278" s="973">
        <f>SUM(H261:H265,H268:H270)</f>
        <v>632.72473000000002</v>
      </c>
      <c r="I278" s="974"/>
      <c r="J278" s="975"/>
      <c r="K278" s="975"/>
      <c r="L278" s="1012">
        <f>SUM(L261:L265,L268:L270)</f>
        <v>636.68560000000002</v>
      </c>
      <c r="M278" s="977"/>
      <c r="N278" s="978">
        <f>L278-H278</f>
        <v>3.9608699999999999</v>
      </c>
      <c r="O278" s="979">
        <f>IF((H278)=0,"",(N278/H278))</f>
        <v>6.2600208466642351E-3</v>
      </c>
      <c r="P278" s="706"/>
    </row>
    <row r="279" spans="1:16">
      <c r="A279" s="706"/>
      <c r="B279" s="980" t="s">
        <v>1140</v>
      </c>
      <c r="C279" s="909"/>
      <c r="D279" s="909"/>
      <c r="E279" s="909"/>
      <c r="F279" s="981">
        <v>0.13</v>
      </c>
      <c r="G279" s="992"/>
      <c r="H279" s="982">
        <f>H278*F279</f>
        <v>82.254214900000008</v>
      </c>
      <c r="I279" s="983"/>
      <c r="J279" s="1013">
        <v>0.13</v>
      </c>
      <c r="K279" s="983"/>
      <c r="L279" s="986">
        <f>L278*J279</f>
        <v>82.769128000000009</v>
      </c>
      <c r="M279" s="987"/>
      <c r="N279" s="988">
        <f t="shared" ref="N279:N282" si="42">L279-H279</f>
        <v>0.51491310000000112</v>
      </c>
      <c r="O279" s="989">
        <f t="shared" ref="O279:O282" si="43">IF((H279)=0,"",(N279/H279))</f>
        <v>6.2600208466642489E-3</v>
      </c>
      <c r="P279" s="706"/>
    </row>
    <row r="280" spans="1:16">
      <c r="A280" s="706"/>
      <c r="B280" s="990" t="s">
        <v>1141</v>
      </c>
      <c r="C280" s="909"/>
      <c r="D280" s="909"/>
      <c r="E280" s="909"/>
      <c r="F280" s="991"/>
      <c r="G280" s="992"/>
      <c r="H280" s="982">
        <f>H278+H279</f>
        <v>714.97894489999999</v>
      </c>
      <c r="I280" s="983"/>
      <c r="J280" s="983"/>
      <c r="K280" s="983"/>
      <c r="L280" s="986">
        <f>L278+L279</f>
        <v>719.45472800000005</v>
      </c>
      <c r="M280" s="987"/>
      <c r="N280" s="988">
        <f t="shared" si="42"/>
        <v>4.4757831000000579</v>
      </c>
      <c r="O280" s="989">
        <f t="shared" si="43"/>
        <v>6.2600208466643166E-3</v>
      </c>
      <c r="P280" s="706"/>
    </row>
    <row r="281" spans="1:16" ht="12.75" customHeight="1">
      <c r="A281" s="706"/>
      <c r="B281" s="1491" t="s">
        <v>1142</v>
      </c>
      <c r="C281" s="1491"/>
      <c r="D281" s="1491"/>
      <c r="E281" s="909"/>
      <c r="F281" s="991"/>
      <c r="G281" s="992"/>
      <c r="H281" s="993">
        <f>ROUND(-H280*10%,2)</f>
        <v>-71.5</v>
      </c>
      <c r="I281" s="983"/>
      <c r="J281" s="983"/>
      <c r="K281" s="983"/>
      <c r="L281" s="994">
        <f>ROUND(-L280*10%,2)</f>
        <v>-71.95</v>
      </c>
      <c r="M281" s="987"/>
      <c r="N281" s="995">
        <f t="shared" si="42"/>
        <v>-0.45000000000000284</v>
      </c>
      <c r="O281" s="996">
        <f t="shared" si="43"/>
        <v>6.2937062937063332E-3</v>
      </c>
      <c r="P281" s="706"/>
    </row>
    <row r="282" spans="1:16" ht="13.5" customHeight="1" thickBot="1">
      <c r="A282" s="706"/>
      <c r="B282" s="1484" t="s">
        <v>1145</v>
      </c>
      <c r="C282" s="1484"/>
      <c r="D282" s="1484"/>
      <c r="E282" s="997"/>
      <c r="F282" s="1014"/>
      <c r="G282" s="1015"/>
      <c r="H282" s="1016">
        <f>H280+H281</f>
        <v>643.47894489999999</v>
      </c>
      <c r="I282" s="1017"/>
      <c r="J282" s="1017"/>
      <c r="K282" s="1017"/>
      <c r="L282" s="1018">
        <f>L280+L281</f>
        <v>647.504728</v>
      </c>
      <c r="M282" s="1019"/>
      <c r="N282" s="1020">
        <f t="shared" si="42"/>
        <v>4.0257831000000124</v>
      </c>
      <c r="O282" s="1021">
        <f t="shared" si="43"/>
        <v>6.256277896747096E-3</v>
      </c>
      <c r="P282" s="706"/>
    </row>
    <row r="283" spans="1:16" ht="13.5" thickBot="1">
      <c r="A283" s="706"/>
      <c r="B283" s="960"/>
      <c r="C283" s="961"/>
      <c r="D283" s="962"/>
      <c r="E283" s="961"/>
      <c r="F283" s="1006"/>
      <c r="G283" s="1007"/>
      <c r="H283" s="1008"/>
      <c r="I283" s="1009"/>
      <c r="J283" s="1006"/>
      <c r="K283" s="964"/>
      <c r="L283" s="1010"/>
      <c r="M283" s="966"/>
      <c r="N283" s="1011"/>
      <c r="O283" s="969"/>
      <c r="P283" s="706"/>
    </row>
    <row r="284" spans="1:16">
      <c r="A284" s="706"/>
      <c r="B284" s="706"/>
      <c r="C284" s="706"/>
      <c r="D284" s="706"/>
      <c r="E284" s="706"/>
      <c r="F284" s="706"/>
      <c r="G284" s="706"/>
      <c r="H284" s="706"/>
      <c r="I284" s="706"/>
      <c r="J284" s="706"/>
      <c r="K284" s="706"/>
      <c r="L284" s="1022"/>
      <c r="M284" s="706"/>
      <c r="N284" s="706"/>
      <c r="O284" s="706"/>
      <c r="P284" s="706"/>
    </row>
    <row r="285" spans="1:16">
      <c r="A285" s="706"/>
      <c r="B285" s="711" t="s">
        <v>1146</v>
      </c>
      <c r="C285" s="706"/>
      <c r="D285" s="706"/>
      <c r="E285" s="706"/>
      <c r="F285" s="1023">
        <v>5.2699999999999969E-2</v>
      </c>
      <c r="G285" s="706"/>
      <c r="H285" s="706"/>
      <c r="I285" s="706"/>
      <c r="J285" s="1023">
        <v>5.3999999999999999E-2</v>
      </c>
      <c r="K285" s="706"/>
      <c r="L285" s="706"/>
      <c r="M285" s="706"/>
      <c r="N285" s="706"/>
      <c r="O285" s="706"/>
      <c r="P285" s="706"/>
    </row>
    <row r="286" spans="1:16">
      <c r="A286" s="706"/>
      <c r="B286" s="706"/>
      <c r="C286" s="706"/>
      <c r="D286" s="706"/>
      <c r="E286" s="706"/>
      <c r="F286" s="706"/>
      <c r="G286" s="706"/>
      <c r="H286" s="706"/>
      <c r="I286" s="706"/>
      <c r="J286" s="706"/>
      <c r="K286" s="706"/>
      <c r="L286" s="706"/>
      <c r="M286" s="706"/>
      <c r="N286" s="706"/>
      <c r="O286" s="706"/>
      <c r="P286" s="706"/>
    </row>
    <row r="287" spans="1:16" ht="14.25">
      <c r="A287" s="1024" t="s">
        <v>1147</v>
      </c>
      <c r="B287" s="706"/>
      <c r="C287" s="706"/>
      <c r="D287" s="706"/>
      <c r="E287" s="706"/>
      <c r="F287" s="706"/>
      <c r="G287" s="706"/>
      <c r="H287" s="706"/>
      <c r="I287" s="706"/>
      <c r="J287" s="706"/>
      <c r="K287" s="706"/>
      <c r="L287" s="706"/>
      <c r="M287" s="706"/>
      <c r="N287" s="706"/>
      <c r="O287" s="706"/>
      <c r="P287" s="706"/>
    </row>
    <row r="288" spans="1:16">
      <c r="A288" s="706"/>
      <c r="B288" s="706"/>
      <c r="C288" s="706"/>
      <c r="D288" s="706"/>
      <c r="E288" s="706"/>
      <c r="F288" s="706"/>
      <c r="G288" s="706"/>
      <c r="H288" s="706"/>
      <c r="I288" s="706"/>
      <c r="J288" s="706"/>
      <c r="K288" s="706"/>
      <c r="L288" s="706"/>
      <c r="M288" s="706"/>
      <c r="N288" s="706"/>
      <c r="O288" s="706"/>
      <c r="P288" s="706"/>
    </row>
    <row r="289" spans="1:16">
      <c r="A289" s="706" t="s">
        <v>1148</v>
      </c>
      <c r="B289" s="706"/>
      <c r="C289" s="706"/>
      <c r="D289" s="706"/>
      <c r="E289" s="706"/>
      <c r="F289" s="706"/>
      <c r="G289" s="706"/>
      <c r="H289" s="706"/>
      <c r="I289" s="706"/>
      <c r="J289" s="706"/>
      <c r="K289" s="706"/>
      <c r="L289" s="706"/>
      <c r="M289" s="706"/>
      <c r="N289" s="706"/>
      <c r="O289" s="706"/>
      <c r="P289" s="706"/>
    </row>
    <row r="290" spans="1:16">
      <c r="A290" s="706" t="s">
        <v>1149</v>
      </c>
      <c r="B290" s="706"/>
      <c r="C290" s="706"/>
      <c r="D290" s="706"/>
      <c r="E290" s="706"/>
      <c r="F290" s="706"/>
      <c r="G290" s="706"/>
      <c r="H290" s="706"/>
      <c r="I290" s="706"/>
      <c r="J290" s="706"/>
      <c r="K290" s="706"/>
      <c r="L290" s="706"/>
      <c r="M290" s="706"/>
      <c r="N290" s="706"/>
      <c r="O290" s="706"/>
      <c r="P290" s="706"/>
    </row>
    <row r="291" spans="1:16">
      <c r="A291" s="706"/>
      <c r="B291" s="706"/>
      <c r="C291" s="706"/>
      <c r="D291" s="706"/>
      <c r="E291" s="706"/>
      <c r="F291" s="706"/>
      <c r="G291" s="706"/>
      <c r="H291" s="706"/>
      <c r="I291" s="706"/>
      <c r="J291" s="706"/>
      <c r="K291" s="706"/>
      <c r="L291" s="706"/>
      <c r="M291" s="706"/>
      <c r="N291" s="706"/>
      <c r="O291" s="706"/>
      <c r="P291" s="706"/>
    </row>
    <row r="292" spans="1:16">
      <c r="A292" s="706" t="s">
        <v>1150</v>
      </c>
      <c r="B292" s="706"/>
      <c r="C292" s="706"/>
      <c r="D292" s="706"/>
      <c r="E292" s="706"/>
      <c r="F292" s="706"/>
      <c r="G292" s="706"/>
      <c r="H292" s="706"/>
      <c r="I292" s="706"/>
      <c r="J292" s="706"/>
      <c r="K292" s="706"/>
      <c r="L292" s="706"/>
      <c r="M292" s="706"/>
      <c r="N292" s="706"/>
      <c r="O292" s="706"/>
      <c r="P292" s="706"/>
    </row>
    <row r="293" spans="1:16">
      <c r="A293" s="706" t="s">
        <v>1151</v>
      </c>
      <c r="B293" s="706"/>
      <c r="C293" s="706"/>
      <c r="D293" s="706"/>
      <c r="E293" s="706"/>
      <c r="F293" s="706"/>
      <c r="G293" s="706"/>
      <c r="H293" s="706"/>
      <c r="I293" s="706"/>
      <c r="J293" s="706"/>
      <c r="K293" s="706"/>
      <c r="L293" s="706"/>
      <c r="M293" s="706"/>
      <c r="N293" s="706"/>
      <c r="O293" s="706"/>
      <c r="P293" s="706"/>
    </row>
    <row r="294" spans="1:16">
      <c r="A294" s="706"/>
      <c r="B294" s="706"/>
      <c r="C294" s="706"/>
      <c r="D294" s="706"/>
      <c r="E294" s="706"/>
      <c r="F294" s="706"/>
      <c r="G294" s="706"/>
      <c r="H294" s="706"/>
      <c r="I294" s="706"/>
      <c r="J294" s="706"/>
      <c r="K294" s="706"/>
      <c r="L294" s="706"/>
      <c r="M294" s="706"/>
      <c r="N294" s="706"/>
      <c r="O294" s="706"/>
      <c r="P294" s="706"/>
    </row>
    <row r="295" spans="1:16">
      <c r="A295" s="706" t="s">
        <v>1152</v>
      </c>
      <c r="B295" s="706"/>
      <c r="C295" s="706"/>
      <c r="D295" s="706"/>
      <c r="E295" s="706"/>
      <c r="F295" s="706"/>
      <c r="G295" s="706"/>
      <c r="H295" s="706"/>
      <c r="I295" s="706"/>
      <c r="J295" s="706"/>
      <c r="K295" s="706"/>
      <c r="L295" s="706"/>
      <c r="M295" s="706"/>
      <c r="N295" s="706"/>
      <c r="O295" s="706"/>
      <c r="P295" s="706"/>
    </row>
    <row r="296" spans="1:16">
      <c r="A296" s="706" t="s">
        <v>1153</v>
      </c>
      <c r="B296" s="706"/>
      <c r="C296" s="706"/>
      <c r="D296" s="706"/>
      <c r="E296" s="706"/>
      <c r="F296" s="706"/>
      <c r="G296" s="706"/>
      <c r="H296" s="706"/>
      <c r="I296" s="706"/>
      <c r="J296" s="706"/>
      <c r="K296" s="706"/>
      <c r="L296" s="706"/>
      <c r="M296" s="706"/>
      <c r="N296" s="706"/>
      <c r="O296" s="706"/>
      <c r="P296" s="706"/>
    </row>
    <row r="297" spans="1:16">
      <c r="A297" s="706" t="s">
        <v>1154</v>
      </c>
      <c r="B297" s="706"/>
      <c r="C297" s="706"/>
      <c r="D297" s="706"/>
      <c r="E297" s="706"/>
      <c r="F297" s="706"/>
      <c r="G297" s="706"/>
      <c r="H297" s="706"/>
      <c r="I297" s="706"/>
      <c r="J297" s="706"/>
      <c r="K297" s="706"/>
      <c r="L297" s="706"/>
      <c r="M297" s="706"/>
      <c r="N297" s="706"/>
      <c r="O297" s="706"/>
      <c r="P297" s="706"/>
    </row>
    <row r="298" spans="1:16">
      <c r="A298" s="706" t="s">
        <v>1155</v>
      </c>
      <c r="B298" s="706"/>
      <c r="C298" s="706"/>
      <c r="D298" s="706"/>
      <c r="E298" s="706"/>
      <c r="F298" s="706"/>
      <c r="G298" s="706"/>
      <c r="H298" s="706"/>
      <c r="I298" s="706"/>
      <c r="J298" s="706"/>
      <c r="K298" s="706"/>
      <c r="L298" s="706"/>
      <c r="M298" s="706"/>
      <c r="N298" s="706"/>
      <c r="O298" s="706"/>
      <c r="P298" s="706"/>
    </row>
    <row r="299" spans="1:16">
      <c r="A299" s="706" t="s">
        <v>1156</v>
      </c>
      <c r="B299" s="706"/>
      <c r="C299" s="706"/>
      <c r="D299" s="706"/>
      <c r="E299" s="706"/>
      <c r="F299" s="706"/>
      <c r="G299" s="706"/>
      <c r="H299" s="706"/>
      <c r="I299" s="706"/>
      <c r="J299" s="706"/>
      <c r="K299" s="706"/>
      <c r="L299" s="706"/>
      <c r="M299" s="706"/>
      <c r="N299" s="706"/>
      <c r="O299" s="706"/>
      <c r="P299" s="706"/>
    </row>
    <row r="301" spans="1:16" ht="21.75">
      <c r="A301" s="892"/>
      <c r="B301" s="892"/>
      <c r="C301" s="892"/>
      <c r="D301" s="892"/>
      <c r="E301" s="892"/>
      <c r="F301" s="892"/>
      <c r="G301" s="892"/>
      <c r="H301" s="892"/>
      <c r="I301" s="892"/>
      <c r="J301" s="892"/>
      <c r="K301" s="892"/>
      <c r="L301" s="893"/>
      <c r="M301" s="893"/>
      <c r="N301" s="31" t="s">
        <v>131</v>
      </c>
      <c r="O301" s="32" t="s">
        <v>20</v>
      </c>
    </row>
    <row r="302" spans="1:16" ht="18">
      <c r="A302" s="894"/>
      <c r="B302" s="894"/>
      <c r="C302" s="894"/>
      <c r="D302" s="894"/>
      <c r="E302" s="894"/>
      <c r="F302" s="894"/>
      <c r="G302" s="894"/>
      <c r="H302" s="894"/>
      <c r="I302" s="894"/>
      <c r="J302" s="894"/>
      <c r="K302" s="894"/>
      <c r="L302" s="893"/>
      <c r="M302" s="893"/>
      <c r="N302" s="31" t="s">
        <v>132</v>
      </c>
      <c r="O302" s="33"/>
    </row>
    <row r="303" spans="1:16" ht="18">
      <c r="A303" s="1492"/>
      <c r="B303" s="1492"/>
      <c r="C303" s="1492"/>
      <c r="D303" s="1492"/>
      <c r="E303" s="1492"/>
      <c r="F303" s="1492"/>
      <c r="G303" s="1492"/>
      <c r="H303" s="1492"/>
      <c r="I303" s="1492"/>
      <c r="J303" s="1492"/>
      <c r="K303" s="1492"/>
      <c r="L303" s="893"/>
      <c r="M303" s="893"/>
      <c r="N303" s="31" t="s">
        <v>133</v>
      </c>
      <c r="O303" s="33"/>
    </row>
    <row r="304" spans="1:16" ht="18">
      <c r="A304" s="894"/>
      <c r="B304" s="894"/>
      <c r="C304" s="894"/>
      <c r="D304" s="894"/>
      <c r="E304" s="894"/>
      <c r="F304" s="894"/>
      <c r="G304" s="894"/>
      <c r="H304" s="894"/>
      <c r="I304" s="895"/>
      <c r="J304" s="895"/>
      <c r="K304" s="895"/>
      <c r="L304" s="893"/>
      <c r="M304" s="893"/>
      <c r="N304" s="31" t="s">
        <v>134</v>
      </c>
      <c r="O304" s="33"/>
    </row>
    <row r="305" spans="1:16" ht="15.75">
      <c r="A305" s="893"/>
      <c r="B305" s="893"/>
      <c r="C305" s="896"/>
      <c r="D305" s="896"/>
      <c r="E305" s="896"/>
      <c r="F305" s="893"/>
      <c r="G305" s="893"/>
      <c r="H305" s="893"/>
      <c r="I305" s="893"/>
      <c r="J305" s="893"/>
      <c r="K305" s="893"/>
      <c r="L305" s="893"/>
      <c r="M305" s="893"/>
      <c r="N305" s="31" t="s">
        <v>439</v>
      </c>
      <c r="O305" s="34" t="s">
        <v>1161</v>
      </c>
    </row>
    <row r="306" spans="1:16">
      <c r="A306" s="893"/>
      <c r="B306" s="893"/>
      <c r="C306" s="893"/>
      <c r="D306" s="893"/>
      <c r="E306" s="893"/>
      <c r="F306" s="893"/>
      <c r="G306" s="893"/>
      <c r="H306" s="893"/>
      <c r="I306" s="893"/>
      <c r="J306" s="893"/>
      <c r="K306" s="893"/>
      <c r="L306" s="893"/>
      <c r="M306" s="893"/>
      <c r="N306" s="31"/>
      <c r="O306" s="32"/>
    </row>
    <row r="307" spans="1:16">
      <c r="A307" s="893"/>
      <c r="B307" s="893"/>
      <c r="C307" s="893"/>
      <c r="D307" s="893"/>
      <c r="E307" s="893"/>
      <c r="F307" s="893"/>
      <c r="G307" s="893"/>
      <c r="H307" s="893"/>
      <c r="I307" s="893"/>
      <c r="J307" s="893"/>
      <c r="K307" s="893"/>
      <c r="L307" s="893"/>
      <c r="M307" s="893"/>
      <c r="N307" s="31" t="s">
        <v>136</v>
      </c>
      <c r="O307" s="35" t="s">
        <v>1171</v>
      </c>
    </row>
    <row r="308" spans="1:16">
      <c r="A308" s="893"/>
      <c r="B308" s="893"/>
      <c r="C308" s="893"/>
      <c r="D308" s="893"/>
      <c r="E308" s="893"/>
      <c r="F308" s="893"/>
      <c r="G308" s="893"/>
      <c r="H308" s="893"/>
      <c r="I308" s="893"/>
      <c r="J308" s="893"/>
      <c r="K308" s="893"/>
      <c r="L308" s="893"/>
      <c r="M308" s="893"/>
      <c r="N308" s="706"/>
    </row>
    <row r="309" spans="1:16">
      <c r="A309" s="706"/>
      <c r="B309" s="706"/>
      <c r="C309" s="706"/>
      <c r="D309" s="706"/>
      <c r="E309" s="706"/>
      <c r="F309" s="706"/>
      <c r="G309" s="706"/>
      <c r="H309" s="706"/>
      <c r="I309" s="706"/>
      <c r="J309" s="706"/>
      <c r="K309" s="706"/>
    </row>
    <row r="310" spans="1:16" ht="18">
      <c r="A310" s="706"/>
      <c r="B310" s="1493" t="s">
        <v>1100</v>
      </c>
      <c r="C310" s="1493"/>
      <c r="D310" s="1493"/>
      <c r="E310" s="1493"/>
      <c r="F310" s="1493"/>
      <c r="G310" s="1493"/>
      <c r="H310" s="1493"/>
      <c r="I310" s="1493"/>
      <c r="J310" s="1493"/>
      <c r="K310" s="1493"/>
      <c r="L310" s="1493"/>
      <c r="M310" s="1493"/>
      <c r="N310" s="1493"/>
      <c r="O310" s="1493"/>
    </row>
    <row r="311" spans="1:16" ht="18">
      <c r="A311" s="706"/>
      <c r="B311" s="1493" t="s">
        <v>1101</v>
      </c>
      <c r="C311" s="1493"/>
      <c r="D311" s="1493"/>
      <c r="E311" s="1493"/>
      <c r="F311" s="1493"/>
      <c r="G311" s="1493"/>
      <c r="H311" s="1493"/>
      <c r="I311" s="1493"/>
      <c r="J311" s="1493"/>
      <c r="K311" s="1493"/>
      <c r="L311" s="1493"/>
      <c r="M311" s="1493"/>
      <c r="N311" s="1493"/>
      <c r="O311" s="1493"/>
    </row>
    <row r="312" spans="1:16">
      <c r="A312" s="706"/>
      <c r="B312" s="706"/>
      <c r="C312" s="706"/>
      <c r="D312" s="706"/>
      <c r="E312" s="706"/>
      <c r="F312" s="706"/>
      <c r="G312" s="706"/>
      <c r="H312" s="706"/>
      <c r="I312" s="706"/>
      <c r="J312" s="706"/>
      <c r="K312" s="706"/>
    </row>
    <row r="313" spans="1:16">
      <c r="A313" s="706"/>
      <c r="B313" s="706"/>
      <c r="C313" s="706"/>
      <c r="D313" s="706"/>
      <c r="E313" s="706"/>
      <c r="F313" s="706"/>
      <c r="G313" s="706"/>
      <c r="H313" s="706"/>
      <c r="I313" s="706"/>
      <c r="J313" s="706"/>
      <c r="K313" s="706"/>
    </row>
    <row r="314" spans="1:16" ht="15.75">
      <c r="A314" s="706"/>
      <c r="B314" s="897" t="s">
        <v>1102</v>
      </c>
      <c r="C314" s="706"/>
      <c r="D314" s="1494" t="s">
        <v>1162</v>
      </c>
      <c r="E314" s="1494"/>
      <c r="F314" s="1494"/>
      <c r="G314" s="1494"/>
      <c r="H314" s="1494"/>
      <c r="I314" s="1494"/>
      <c r="J314" s="1494"/>
      <c r="K314" s="1494"/>
      <c r="L314" s="1494"/>
      <c r="M314" s="1494"/>
      <c r="N314" s="1494"/>
      <c r="O314" s="1494"/>
      <c r="P314" s="706"/>
    </row>
    <row r="315" spans="1:16" ht="15.75">
      <c r="A315" s="706"/>
      <c r="B315" s="898"/>
      <c r="C315" s="706"/>
      <c r="D315" s="899"/>
      <c r="E315" s="899"/>
      <c r="F315" s="899"/>
      <c r="G315" s="899"/>
      <c r="H315" s="899"/>
      <c r="I315" s="899"/>
      <c r="J315" s="899"/>
      <c r="K315" s="899"/>
      <c r="L315" s="899"/>
      <c r="M315" s="899"/>
      <c r="N315" s="899"/>
      <c r="O315" s="899"/>
      <c r="P315" s="706"/>
    </row>
    <row r="316" spans="1:16">
      <c r="A316" s="706"/>
      <c r="B316" s="900"/>
      <c r="C316" s="706"/>
      <c r="D316" s="711" t="s">
        <v>1103</v>
      </c>
      <c r="E316" s="711"/>
      <c r="F316" s="901">
        <v>68500</v>
      </c>
      <c r="G316" s="711" t="s">
        <v>1104</v>
      </c>
      <c r="H316" s="706"/>
      <c r="I316" s="706"/>
      <c r="J316" s="706"/>
      <c r="K316" s="706"/>
      <c r="L316" s="706"/>
      <c r="M316" s="706"/>
      <c r="N316" s="706"/>
      <c r="O316" s="706"/>
      <c r="P316" s="706"/>
    </row>
    <row r="317" spans="1:16">
      <c r="A317" s="706"/>
      <c r="B317" s="900"/>
      <c r="C317" s="706"/>
      <c r="D317" s="706"/>
      <c r="E317" s="706"/>
      <c r="F317" s="706"/>
      <c r="G317" s="706"/>
      <c r="H317" s="706"/>
      <c r="I317" s="706"/>
      <c r="J317" s="706"/>
      <c r="K317" s="706"/>
      <c r="L317" s="706"/>
      <c r="M317" s="706"/>
      <c r="N317" s="706"/>
      <c r="O317" s="706"/>
      <c r="P317" s="706"/>
    </row>
    <row r="318" spans="1:16">
      <c r="A318" s="706"/>
      <c r="B318" s="900"/>
      <c r="C318" s="706"/>
      <c r="D318" s="902"/>
      <c r="E318" s="902"/>
      <c r="F318" s="1495" t="s">
        <v>1105</v>
      </c>
      <c r="G318" s="1496"/>
      <c r="H318" s="1497"/>
      <c r="I318" s="706"/>
      <c r="J318" s="1495" t="s">
        <v>1106</v>
      </c>
      <c r="K318" s="1496"/>
      <c r="L318" s="1497"/>
      <c r="M318" s="706"/>
      <c r="N318" s="1495" t="s">
        <v>1107</v>
      </c>
      <c r="O318" s="1497"/>
      <c r="P318" s="706"/>
    </row>
    <row r="319" spans="1:16" ht="12.75" customHeight="1">
      <c r="A319" s="706"/>
      <c r="B319" s="900"/>
      <c r="C319" s="706"/>
      <c r="D319" s="1485" t="s">
        <v>1108</v>
      </c>
      <c r="E319" s="903"/>
      <c r="F319" s="904" t="s">
        <v>1109</v>
      </c>
      <c r="G319" s="904" t="s">
        <v>1110</v>
      </c>
      <c r="H319" s="905" t="s">
        <v>1111</v>
      </c>
      <c r="I319" s="706"/>
      <c r="J319" s="904" t="s">
        <v>1109</v>
      </c>
      <c r="K319" s="906" t="s">
        <v>1110</v>
      </c>
      <c r="L319" s="905" t="s">
        <v>1111</v>
      </c>
      <c r="M319" s="706"/>
      <c r="N319" s="1487" t="s">
        <v>1112</v>
      </c>
      <c r="O319" s="1489" t="s">
        <v>1113</v>
      </c>
      <c r="P319" s="706"/>
    </row>
    <row r="320" spans="1:16">
      <c r="A320" s="706"/>
      <c r="B320" s="900"/>
      <c r="C320" s="706"/>
      <c r="D320" s="1486"/>
      <c r="E320" s="903"/>
      <c r="F320" s="907" t="s">
        <v>831</v>
      </c>
      <c r="G320" s="907"/>
      <c r="H320" s="908" t="s">
        <v>831</v>
      </c>
      <c r="I320" s="706"/>
      <c r="J320" s="907" t="s">
        <v>831</v>
      </c>
      <c r="K320" s="908"/>
      <c r="L320" s="908" t="s">
        <v>831</v>
      </c>
      <c r="M320" s="706"/>
      <c r="N320" s="1488"/>
      <c r="O320" s="1490"/>
      <c r="P320" s="706"/>
    </row>
    <row r="321" spans="1:16">
      <c r="A321" s="706"/>
      <c r="B321" s="909" t="s">
        <v>1089</v>
      </c>
      <c r="C321" s="909"/>
      <c r="D321" s="910" t="s">
        <v>1114</v>
      </c>
      <c r="E321" s="911"/>
      <c r="F321" s="912">
        <v>164.49</v>
      </c>
      <c r="G321" s="913">
        <v>1</v>
      </c>
      <c r="H321" s="914">
        <f>G321*F321</f>
        <v>164.49</v>
      </c>
      <c r="I321" s="915"/>
      <c r="J321" s="916">
        <v>160.96</v>
      </c>
      <c r="K321" s="917">
        <v>1</v>
      </c>
      <c r="L321" s="914">
        <f>K321*J321</f>
        <v>160.96</v>
      </c>
      <c r="M321" s="915"/>
      <c r="N321" s="918">
        <f>L321-H321</f>
        <v>-3.5300000000000011</v>
      </c>
      <c r="O321" s="919">
        <f>IF((H321)=0,"",(N321/H321))</f>
        <v>-2.146027114110281E-2</v>
      </c>
      <c r="P321" s="706"/>
    </row>
    <row r="322" spans="1:16">
      <c r="A322" s="706"/>
      <c r="B322" s="920" t="s">
        <v>1116</v>
      </c>
      <c r="C322" s="909"/>
      <c r="D322" s="910" t="s">
        <v>1114</v>
      </c>
      <c r="E322" s="911"/>
      <c r="F322" s="912">
        <v>0</v>
      </c>
      <c r="G322" s="913">
        <v>1</v>
      </c>
      <c r="H322" s="914">
        <f t="shared" ref="H322:H327" si="44">G322*F322</f>
        <v>0</v>
      </c>
      <c r="I322" s="915"/>
      <c r="J322" s="916">
        <v>0</v>
      </c>
      <c r="K322" s="917">
        <v>1</v>
      </c>
      <c r="L322" s="914">
        <f t="shared" ref="L322:L327" si="45">K322*J322</f>
        <v>0</v>
      </c>
      <c r="M322" s="915"/>
      <c r="N322" s="918">
        <f t="shared" ref="N322:N356" si="46">L322-H322</f>
        <v>0</v>
      </c>
      <c r="O322" s="919" t="str">
        <f t="shared" ref="O322:O328" si="47">IF((H322)=0,"",(N322/H322))</f>
        <v/>
      </c>
      <c r="P322" s="706"/>
    </row>
    <row r="323" spans="1:16">
      <c r="A323" s="706"/>
      <c r="B323" s="909" t="s">
        <v>1117</v>
      </c>
      <c r="C323" s="909"/>
      <c r="D323" s="910" t="s">
        <v>1088</v>
      </c>
      <c r="E323" s="911"/>
      <c r="F323" s="912">
        <v>4.2709000000000001</v>
      </c>
      <c r="G323" s="913">
        <v>190</v>
      </c>
      <c r="H323" s="914">
        <f t="shared" si="44"/>
        <v>811.471</v>
      </c>
      <c r="I323" s="915"/>
      <c r="J323" s="916">
        <v>4.1821000000000002</v>
      </c>
      <c r="K323" s="913">
        <v>190</v>
      </c>
      <c r="L323" s="914">
        <f t="shared" si="45"/>
        <v>794.59900000000005</v>
      </c>
      <c r="M323" s="915"/>
      <c r="N323" s="918">
        <f t="shared" si="46"/>
        <v>-16.871999999999957</v>
      </c>
      <c r="O323" s="919">
        <f t="shared" si="47"/>
        <v>-2.079187056592282E-2</v>
      </c>
      <c r="P323" s="706"/>
    </row>
    <row r="324" spans="1:16">
      <c r="A324" s="706"/>
      <c r="B324" s="909" t="s">
        <v>1118</v>
      </c>
      <c r="C324" s="909"/>
      <c r="D324" s="910" t="s">
        <v>1114</v>
      </c>
      <c r="E324" s="911"/>
      <c r="F324" s="912">
        <v>0</v>
      </c>
      <c r="G324" s="913">
        <v>1</v>
      </c>
      <c r="H324" s="914">
        <f t="shared" si="44"/>
        <v>0</v>
      </c>
      <c r="I324" s="915"/>
      <c r="J324" s="916">
        <v>0</v>
      </c>
      <c r="K324" s="913">
        <v>1</v>
      </c>
      <c r="L324" s="914">
        <f t="shared" si="45"/>
        <v>0</v>
      </c>
      <c r="M324" s="915"/>
      <c r="N324" s="918">
        <f t="shared" si="46"/>
        <v>0</v>
      </c>
      <c r="O324" s="919" t="str">
        <f t="shared" si="47"/>
        <v/>
      </c>
      <c r="P324" s="706"/>
    </row>
    <row r="325" spans="1:16">
      <c r="A325" s="706"/>
      <c r="B325" s="909" t="s">
        <v>1119</v>
      </c>
      <c r="C325" s="909"/>
      <c r="D325" s="910" t="s">
        <v>1088</v>
      </c>
      <c r="E325" s="911"/>
      <c r="F325" s="912">
        <v>2.12E-2</v>
      </c>
      <c r="G325" s="913">
        <v>190</v>
      </c>
      <c r="H325" s="914">
        <f t="shared" si="44"/>
        <v>4.0279999999999996</v>
      </c>
      <c r="I325" s="915"/>
      <c r="J325" s="916">
        <v>0</v>
      </c>
      <c r="K325" s="913">
        <v>190</v>
      </c>
      <c r="L325" s="914">
        <f t="shared" si="45"/>
        <v>0</v>
      </c>
      <c r="M325" s="915"/>
      <c r="N325" s="918">
        <f t="shared" si="46"/>
        <v>-4.0279999999999996</v>
      </c>
      <c r="O325" s="919">
        <f t="shared" si="47"/>
        <v>-1</v>
      </c>
      <c r="P325" s="706"/>
    </row>
    <row r="326" spans="1:16">
      <c r="A326" s="706"/>
      <c r="B326" s="921" t="s">
        <v>1120</v>
      </c>
      <c r="C326" s="909"/>
      <c r="D326" s="910" t="s">
        <v>1088</v>
      </c>
      <c r="E326" s="911"/>
      <c r="F326" s="912">
        <v>-8.7900000000000006E-2</v>
      </c>
      <c r="G326" s="913">
        <v>190</v>
      </c>
      <c r="H326" s="914">
        <f t="shared" si="44"/>
        <v>-16.701000000000001</v>
      </c>
      <c r="I326" s="915"/>
      <c r="J326" s="916">
        <v>0</v>
      </c>
      <c r="K326" s="913">
        <v>190</v>
      </c>
      <c r="L326" s="914">
        <f t="shared" si="45"/>
        <v>0</v>
      </c>
      <c r="M326" s="915"/>
      <c r="N326" s="918">
        <f t="shared" si="46"/>
        <v>16.701000000000001</v>
      </c>
      <c r="O326" s="919">
        <f t="shared" si="47"/>
        <v>-1</v>
      </c>
      <c r="P326" s="706"/>
    </row>
    <row r="327" spans="1:16">
      <c r="A327" s="706"/>
      <c r="B327" s="921" t="s">
        <v>1121</v>
      </c>
      <c r="C327" s="909"/>
      <c r="D327" s="910" t="s">
        <v>1114</v>
      </c>
      <c r="E327" s="911"/>
      <c r="F327" s="912">
        <v>0</v>
      </c>
      <c r="G327" s="913">
        <v>1</v>
      </c>
      <c r="H327" s="914">
        <f t="shared" si="44"/>
        <v>0</v>
      </c>
      <c r="I327" s="915"/>
      <c r="J327" s="916">
        <v>0</v>
      </c>
      <c r="K327" s="913">
        <v>1</v>
      </c>
      <c r="L327" s="914">
        <f t="shared" si="45"/>
        <v>0</v>
      </c>
      <c r="M327" s="915"/>
      <c r="N327" s="918">
        <f t="shared" si="46"/>
        <v>0</v>
      </c>
      <c r="O327" s="919" t="str">
        <f t="shared" si="47"/>
        <v/>
      </c>
      <c r="P327" s="706"/>
    </row>
    <row r="328" spans="1:16">
      <c r="A328" s="755"/>
      <c r="B328" s="922" t="s">
        <v>1122</v>
      </c>
      <c r="C328" s="923"/>
      <c r="D328" s="924"/>
      <c r="E328" s="923"/>
      <c r="F328" s="925"/>
      <c r="G328" s="926"/>
      <c r="H328" s="927">
        <f>SUM(H321:H327)</f>
        <v>963.28800000000001</v>
      </c>
      <c r="I328" s="928"/>
      <c r="J328" s="929"/>
      <c r="K328" s="930"/>
      <c r="L328" s="927">
        <f>SUM(L321:L327)</f>
        <v>955.55900000000008</v>
      </c>
      <c r="M328" s="928"/>
      <c r="N328" s="931">
        <f t="shared" si="46"/>
        <v>-7.7289999999999281</v>
      </c>
      <c r="O328" s="932">
        <f t="shared" si="47"/>
        <v>-8.023560970343166E-3</v>
      </c>
      <c r="P328" s="755"/>
    </row>
    <row r="329" spans="1:16">
      <c r="A329" s="706"/>
      <c r="B329" s="1025" t="s">
        <v>1123</v>
      </c>
      <c r="C329" s="909"/>
      <c r="D329" s="910" t="s">
        <v>1088</v>
      </c>
      <c r="E329" s="911"/>
      <c r="F329" s="912">
        <v>-3.0800000000000001E-2</v>
      </c>
      <c r="G329" s="913">
        <v>190</v>
      </c>
      <c r="H329" s="914">
        <f>G329*F329</f>
        <v>-5.8520000000000003</v>
      </c>
      <c r="I329" s="915"/>
      <c r="J329" s="916">
        <v>-0.2908</v>
      </c>
      <c r="K329" s="913">
        <v>190</v>
      </c>
      <c r="L329" s="914">
        <f t="shared" ref="L329:L331" si="48">K329*J329</f>
        <v>-55.252000000000002</v>
      </c>
      <c r="M329" s="915"/>
      <c r="N329" s="918">
        <f t="shared" si="46"/>
        <v>-49.400000000000006</v>
      </c>
      <c r="O329" s="919">
        <f>IF((H329)=0,"",(N329/H329))</f>
        <v>8.4415584415584419</v>
      </c>
      <c r="P329" s="706"/>
    </row>
    <row r="330" spans="1:16">
      <c r="A330" s="706"/>
      <c r="B330" s="934" t="s">
        <v>1124</v>
      </c>
      <c r="C330" s="909"/>
      <c r="D330" s="910" t="s">
        <v>1088</v>
      </c>
      <c r="E330" s="911"/>
      <c r="F330" s="912">
        <v>9.3700000000000006E-2</v>
      </c>
      <c r="G330" s="913">
        <v>190</v>
      </c>
      <c r="H330" s="914">
        <f>G330*F330</f>
        <v>17.803000000000001</v>
      </c>
      <c r="I330" s="915"/>
      <c r="J330" s="916">
        <v>0.10199999999999999</v>
      </c>
      <c r="K330" s="913">
        <v>190</v>
      </c>
      <c r="L330" s="914">
        <f t="shared" si="48"/>
        <v>19.38</v>
      </c>
      <c r="M330" s="915"/>
      <c r="N330" s="918">
        <f t="shared" si="46"/>
        <v>1.5769999999999982</v>
      </c>
      <c r="O330" s="919">
        <f>IF((H330)=0,"",(N330/H330))</f>
        <v>8.8580576307363823E-2</v>
      </c>
      <c r="P330" s="706"/>
    </row>
    <row r="331" spans="1:16">
      <c r="A331" s="706"/>
      <c r="B331" s="934" t="s">
        <v>1125</v>
      </c>
      <c r="C331" s="909"/>
      <c r="D331" s="910"/>
      <c r="E331" s="911"/>
      <c r="F331" s="935"/>
      <c r="G331" s="936"/>
      <c r="H331" s="937"/>
      <c r="I331" s="915"/>
      <c r="J331" s="916"/>
      <c r="K331" s="913">
        <f>F316</f>
        <v>68500</v>
      </c>
      <c r="L331" s="914">
        <f t="shared" si="48"/>
        <v>0</v>
      </c>
      <c r="M331" s="915"/>
      <c r="N331" s="918">
        <f t="shared" si="46"/>
        <v>0</v>
      </c>
      <c r="O331" s="919"/>
      <c r="P331" s="706"/>
    </row>
    <row r="332" spans="1:16">
      <c r="A332" s="706"/>
      <c r="B332" s="938" t="s">
        <v>1126</v>
      </c>
      <c r="C332" s="939"/>
      <c r="D332" s="939"/>
      <c r="E332" s="939"/>
      <c r="F332" s="940"/>
      <c r="G332" s="941"/>
      <c r="H332" s="942">
        <f>SUM(H328:H331)</f>
        <v>975.23900000000003</v>
      </c>
      <c r="I332" s="928"/>
      <c r="J332" s="941"/>
      <c r="K332" s="943"/>
      <c r="L332" s="942">
        <f>SUM(L328:L331)</f>
        <v>919.68700000000013</v>
      </c>
      <c r="M332" s="928"/>
      <c r="N332" s="931">
        <f>L332-H332</f>
        <v>-55.551999999999907</v>
      </c>
      <c r="O332" s="932">
        <f t="shared" ref="O332:O356" si="49">IF((H332)=0,"",(N332/H332))</f>
        <v>-5.6962447153979592E-2</v>
      </c>
      <c r="P332" s="706"/>
    </row>
    <row r="333" spans="1:16">
      <c r="A333" s="706"/>
      <c r="B333" s="915" t="s">
        <v>1127</v>
      </c>
      <c r="C333" s="915"/>
      <c r="D333" s="944" t="s">
        <v>1088</v>
      </c>
      <c r="E333" s="945"/>
      <c r="F333" s="916">
        <v>3.2978999999999998</v>
      </c>
      <c r="G333" s="946">
        <f>190</f>
        <v>190</v>
      </c>
      <c r="H333" s="914">
        <f>G333*F333</f>
        <v>626.601</v>
      </c>
      <c r="I333" s="915"/>
      <c r="J333" s="916">
        <v>3.2787999999999999</v>
      </c>
      <c r="K333" s="947">
        <f>190</f>
        <v>190</v>
      </c>
      <c r="L333" s="914">
        <f>K333*J333</f>
        <v>622.97199999999998</v>
      </c>
      <c r="M333" s="915"/>
      <c r="N333" s="918">
        <f t="shared" si="46"/>
        <v>-3.6290000000000191</v>
      </c>
      <c r="O333" s="919">
        <f t="shared" si="49"/>
        <v>-5.7915643288153369E-3</v>
      </c>
      <c r="P333" s="706"/>
    </row>
    <row r="334" spans="1:16">
      <c r="A334" s="706"/>
      <c r="B334" s="948" t="s">
        <v>1128</v>
      </c>
      <c r="C334" s="915"/>
      <c r="D334" s="944" t="s">
        <v>1088</v>
      </c>
      <c r="E334" s="945"/>
      <c r="F334" s="916">
        <v>2.0400999999999998</v>
      </c>
      <c r="G334" s="946">
        <f>G333</f>
        <v>190</v>
      </c>
      <c r="H334" s="914">
        <f>G334*F334</f>
        <v>387.61899999999997</v>
      </c>
      <c r="I334" s="915"/>
      <c r="J334" s="916">
        <v>1.9738</v>
      </c>
      <c r="K334" s="947">
        <f>K333</f>
        <v>190</v>
      </c>
      <c r="L334" s="914">
        <f>K334*J334</f>
        <v>375.02199999999999</v>
      </c>
      <c r="M334" s="915"/>
      <c r="N334" s="918">
        <f t="shared" si="46"/>
        <v>-12.59699999999998</v>
      </c>
      <c r="O334" s="919">
        <f t="shared" si="49"/>
        <v>-3.2498406940836187E-2</v>
      </c>
      <c r="P334" s="706"/>
    </row>
    <row r="335" spans="1:16">
      <c r="A335" s="706"/>
      <c r="B335" s="938" t="s">
        <v>1129</v>
      </c>
      <c r="C335" s="923"/>
      <c r="D335" s="923"/>
      <c r="E335" s="923"/>
      <c r="F335" s="949"/>
      <c r="G335" s="941"/>
      <c r="H335" s="942">
        <f>SUM(H332:H334)</f>
        <v>1989.4590000000001</v>
      </c>
      <c r="I335" s="950"/>
      <c r="J335" s="951"/>
      <c r="K335" s="952"/>
      <c r="L335" s="942">
        <f>SUM(L332:L334)</f>
        <v>1917.681</v>
      </c>
      <c r="M335" s="950"/>
      <c r="N335" s="931">
        <f t="shared" si="46"/>
        <v>-71.77800000000002</v>
      </c>
      <c r="O335" s="932">
        <f t="shared" si="49"/>
        <v>-3.6079155187415279E-2</v>
      </c>
      <c r="P335" s="706"/>
    </row>
    <row r="336" spans="1:16">
      <c r="A336" s="706"/>
      <c r="B336" s="953" t="s">
        <v>1130</v>
      </c>
      <c r="C336" s="909"/>
      <c r="D336" s="910" t="s">
        <v>1087</v>
      </c>
      <c r="E336" s="911"/>
      <c r="F336" s="956">
        <v>4.4000000000000003E-3</v>
      </c>
      <c r="G336" s="946">
        <f>F316*(1+F359)</f>
        <v>72109.95</v>
      </c>
      <c r="H336" s="955">
        <f t="shared" ref="H336:H344" si="50">G336*F336</f>
        <v>317.28377999999998</v>
      </c>
      <c r="I336" s="915"/>
      <c r="J336" s="956">
        <v>4.4000000000000003E-3</v>
      </c>
      <c r="K336" s="947">
        <f>F316*(1+J359)</f>
        <v>72199</v>
      </c>
      <c r="L336" s="955">
        <f t="shared" ref="L336:L344" si="51">K336*J336</f>
        <v>317.67560000000003</v>
      </c>
      <c r="M336" s="915"/>
      <c r="N336" s="918">
        <f t="shared" si="46"/>
        <v>0.39182000000005246</v>
      </c>
      <c r="O336" s="957">
        <f t="shared" si="49"/>
        <v>1.2349197302177013E-3</v>
      </c>
      <c r="P336" s="706"/>
    </row>
    <row r="337" spans="1:16">
      <c r="A337" s="706"/>
      <c r="B337" s="953" t="s">
        <v>1131</v>
      </c>
      <c r="C337" s="909"/>
      <c r="D337" s="910" t="s">
        <v>1087</v>
      </c>
      <c r="E337" s="911"/>
      <c r="F337" s="956">
        <v>1.1999999999999999E-3</v>
      </c>
      <c r="G337" s="946">
        <f>F316*(1+F359)</f>
        <v>72109.95</v>
      </c>
      <c r="H337" s="955">
        <f t="shared" si="50"/>
        <v>86.531939999999992</v>
      </c>
      <c r="I337" s="915"/>
      <c r="J337" s="956">
        <v>1.1999999999999999E-3</v>
      </c>
      <c r="K337" s="947">
        <f>F316*(1+J359)</f>
        <v>72199</v>
      </c>
      <c r="L337" s="955">
        <f t="shared" si="51"/>
        <v>86.638799999999989</v>
      </c>
      <c r="M337" s="915"/>
      <c r="N337" s="918">
        <f t="shared" si="46"/>
        <v>0.10685999999999751</v>
      </c>
      <c r="O337" s="957">
        <f t="shared" si="49"/>
        <v>1.2349197302175072E-3</v>
      </c>
      <c r="P337" s="706"/>
    </row>
    <row r="338" spans="1:16">
      <c r="A338" s="706"/>
      <c r="B338" s="909" t="s">
        <v>1132</v>
      </c>
      <c r="C338" s="909"/>
      <c r="D338" s="910" t="s">
        <v>1114</v>
      </c>
      <c r="E338" s="911"/>
      <c r="F338" s="954">
        <v>0.25</v>
      </c>
      <c r="G338" s="913">
        <v>1</v>
      </c>
      <c r="H338" s="955">
        <f t="shared" si="50"/>
        <v>0.25</v>
      </c>
      <c r="I338" s="915"/>
      <c r="J338" s="956">
        <v>0.25</v>
      </c>
      <c r="K338" s="917">
        <v>1</v>
      </c>
      <c r="L338" s="955">
        <f t="shared" si="51"/>
        <v>0.25</v>
      </c>
      <c r="M338" s="915"/>
      <c r="N338" s="918">
        <f t="shared" si="46"/>
        <v>0</v>
      </c>
      <c r="O338" s="957">
        <f t="shared" si="49"/>
        <v>0</v>
      </c>
      <c r="P338" s="706"/>
    </row>
    <row r="339" spans="1:16">
      <c r="A339" s="706"/>
      <c r="B339" s="909" t="s">
        <v>1133</v>
      </c>
      <c r="C339" s="909"/>
      <c r="D339" s="910" t="s">
        <v>1087</v>
      </c>
      <c r="E339" s="911"/>
      <c r="F339" s="954">
        <v>7.0000000000000001E-3</v>
      </c>
      <c r="G339" s="946">
        <f>F316</f>
        <v>68500</v>
      </c>
      <c r="H339" s="955">
        <f t="shared" si="50"/>
        <v>479.5</v>
      </c>
      <c r="I339" s="915"/>
      <c r="J339" s="956">
        <v>7.0000000000000001E-3</v>
      </c>
      <c r="K339" s="947">
        <f>F316</f>
        <v>68500</v>
      </c>
      <c r="L339" s="955">
        <f t="shared" si="51"/>
        <v>479.5</v>
      </c>
      <c r="M339" s="915"/>
      <c r="N339" s="918">
        <f t="shared" si="46"/>
        <v>0</v>
      </c>
      <c r="O339" s="957">
        <f t="shared" si="49"/>
        <v>0</v>
      </c>
      <c r="P339" s="706"/>
    </row>
    <row r="340" spans="1:16">
      <c r="A340" s="706"/>
      <c r="B340" s="934" t="s">
        <v>1134</v>
      </c>
      <c r="C340" s="909"/>
      <c r="D340" s="910" t="s">
        <v>1087</v>
      </c>
      <c r="E340" s="911"/>
      <c r="F340" s="958">
        <v>7.3999999999999996E-2</v>
      </c>
      <c r="G340" s="946">
        <f>IF($F$316&gt;=750,750,$G$336)</f>
        <v>750</v>
      </c>
      <c r="H340" s="955">
        <f>G340*F340</f>
        <v>55.5</v>
      </c>
      <c r="I340" s="915"/>
      <c r="J340" s="958">
        <v>7.3999999999999996E-2</v>
      </c>
      <c r="K340" s="946">
        <f>IF($F$316&gt;=750,750,$G$336)</f>
        <v>750</v>
      </c>
      <c r="L340" s="955">
        <f>K340*J340</f>
        <v>55.5</v>
      </c>
      <c r="M340" s="915"/>
      <c r="N340" s="918">
        <f t="shared" si="46"/>
        <v>0</v>
      </c>
      <c r="O340" s="957">
        <f t="shared" si="49"/>
        <v>0</v>
      </c>
      <c r="P340" s="706"/>
    </row>
    <row r="341" spans="1:16">
      <c r="A341" s="706"/>
      <c r="B341" s="934" t="s">
        <v>1135</v>
      </c>
      <c r="C341" s="909"/>
      <c r="D341" s="910" t="s">
        <v>1087</v>
      </c>
      <c r="E341" s="911"/>
      <c r="F341" s="958">
        <v>8.6999999999999994E-2</v>
      </c>
      <c r="G341" s="946">
        <f>IF($F$316&gt;=750,$F$316*(1+F359)-750,0)</f>
        <v>71359.95</v>
      </c>
      <c r="H341" s="955">
        <f>G341*F341</f>
        <v>6208.3156499999996</v>
      </c>
      <c r="I341" s="915"/>
      <c r="J341" s="958">
        <v>8.6999999999999994E-2</v>
      </c>
      <c r="K341" s="946">
        <f>IF($F$316&gt;=750,$F$316*(1+J359)-750,0)</f>
        <v>71449</v>
      </c>
      <c r="L341" s="955">
        <f>K341*J341</f>
        <v>6216.0629999999992</v>
      </c>
      <c r="M341" s="915"/>
      <c r="N341" s="918">
        <f t="shared" si="46"/>
        <v>7.747349999999642</v>
      </c>
      <c r="O341" s="957">
        <f t="shared" si="49"/>
        <v>1.2478988564313159E-3</v>
      </c>
      <c r="P341" s="706"/>
    </row>
    <row r="342" spans="1:16">
      <c r="A342" s="706"/>
      <c r="B342" s="934" t="s">
        <v>1136</v>
      </c>
      <c r="C342" s="909"/>
      <c r="D342" s="910" t="s">
        <v>1087</v>
      </c>
      <c r="E342" s="911"/>
      <c r="F342" s="958">
        <v>6.3E-2</v>
      </c>
      <c r="G342" s="959">
        <f>0.64*$F$316*(1+F359)</f>
        <v>46150.368000000002</v>
      </c>
      <c r="H342" s="955">
        <f t="shared" si="50"/>
        <v>2907.4731839999999</v>
      </c>
      <c r="I342" s="915"/>
      <c r="J342" s="958">
        <v>6.3E-2</v>
      </c>
      <c r="K342" s="959">
        <f>0.64*$F$316*(1+J359)</f>
        <v>46207.360000000001</v>
      </c>
      <c r="L342" s="955">
        <f t="shared" si="51"/>
        <v>2911.0636800000002</v>
      </c>
      <c r="M342" s="915"/>
      <c r="N342" s="918">
        <f t="shared" si="46"/>
        <v>3.5904960000002575</v>
      </c>
      <c r="O342" s="957">
        <f t="shared" si="49"/>
        <v>1.2349197302176243E-3</v>
      </c>
      <c r="P342" s="706"/>
    </row>
    <row r="343" spans="1:16">
      <c r="A343" s="706"/>
      <c r="B343" s="934" t="s">
        <v>1137</v>
      </c>
      <c r="C343" s="909"/>
      <c r="D343" s="910" t="s">
        <v>1087</v>
      </c>
      <c r="E343" s="911"/>
      <c r="F343" s="958">
        <v>9.9000000000000005E-2</v>
      </c>
      <c r="G343" s="959">
        <f>0.18*$F$316*(1+F359)</f>
        <v>12979.790999999999</v>
      </c>
      <c r="H343" s="955">
        <f t="shared" si="50"/>
        <v>1284.999309</v>
      </c>
      <c r="I343" s="915"/>
      <c r="J343" s="958">
        <v>9.9000000000000005E-2</v>
      </c>
      <c r="K343" s="959">
        <f>0.18*$F$316*(1+J359)</f>
        <v>12995.82</v>
      </c>
      <c r="L343" s="955">
        <f t="shared" si="51"/>
        <v>1286.58618</v>
      </c>
      <c r="M343" s="915"/>
      <c r="N343" s="918">
        <f t="shared" si="46"/>
        <v>1.5868709999999737</v>
      </c>
      <c r="O343" s="957">
        <f t="shared" si="49"/>
        <v>1.2349197302175153E-3</v>
      </c>
      <c r="P343" s="706"/>
    </row>
    <row r="344" spans="1:16" ht="13.5" thickBot="1">
      <c r="A344" s="706"/>
      <c r="B344" s="900" t="s">
        <v>1138</v>
      </c>
      <c r="C344" s="909"/>
      <c r="D344" s="910" t="s">
        <v>1087</v>
      </c>
      <c r="E344" s="911"/>
      <c r="F344" s="958">
        <v>0.11799999999999999</v>
      </c>
      <c r="G344" s="959">
        <f>0.18*$F$316*(1+F359)</f>
        <v>12979.790999999999</v>
      </c>
      <c r="H344" s="955">
        <f t="shared" si="50"/>
        <v>1531.6153379999998</v>
      </c>
      <c r="I344" s="915"/>
      <c r="J344" s="958">
        <v>0.11799999999999999</v>
      </c>
      <c r="K344" s="959">
        <f>0.18*$F$316*(1+J359)</f>
        <v>12995.82</v>
      </c>
      <c r="L344" s="955">
        <f t="shared" si="51"/>
        <v>1533.50676</v>
      </c>
      <c r="M344" s="915"/>
      <c r="N344" s="918">
        <f t="shared" si="46"/>
        <v>1.8914220000001478</v>
      </c>
      <c r="O344" s="957">
        <f t="shared" si="49"/>
        <v>1.2349197302176326E-3</v>
      </c>
      <c r="P344" s="706"/>
    </row>
    <row r="345" spans="1:16" ht="13.5" thickBot="1">
      <c r="A345" s="706"/>
      <c r="B345" s="960"/>
      <c r="C345" s="961"/>
      <c r="D345" s="962"/>
      <c r="E345" s="961"/>
      <c r="F345" s="963"/>
      <c r="G345" s="964"/>
      <c r="H345" s="965"/>
      <c r="I345" s="966"/>
      <c r="J345" s="963"/>
      <c r="K345" s="967"/>
      <c r="L345" s="965"/>
      <c r="M345" s="966"/>
      <c r="N345" s="968"/>
      <c r="O345" s="969"/>
      <c r="P345" s="706"/>
    </row>
    <row r="346" spans="1:16">
      <c r="A346" s="706"/>
      <c r="B346" s="970" t="s">
        <v>1139</v>
      </c>
      <c r="C346" s="909"/>
      <c r="D346" s="909"/>
      <c r="E346" s="909"/>
      <c r="F346" s="971"/>
      <c r="G346" s="972"/>
      <c r="H346" s="973">
        <f>SUM(H335:H341)</f>
        <v>9136.8403699999999</v>
      </c>
      <c r="I346" s="974"/>
      <c r="J346" s="975"/>
      <c r="K346" s="975"/>
      <c r="L346" s="976">
        <f>SUM(L335:L341)</f>
        <v>9073.3083999999999</v>
      </c>
      <c r="M346" s="977"/>
      <c r="N346" s="978">
        <f t="shared" si="46"/>
        <v>-63.531970000000001</v>
      </c>
      <c r="O346" s="979">
        <f t="shared" si="49"/>
        <v>-6.953385133946474E-3</v>
      </c>
      <c r="P346" s="706"/>
    </row>
    <row r="347" spans="1:16">
      <c r="A347" s="706"/>
      <c r="B347" s="980" t="s">
        <v>1140</v>
      </c>
      <c r="C347" s="909"/>
      <c r="D347" s="909"/>
      <c r="E347" s="909"/>
      <c r="F347" s="981">
        <v>0.13</v>
      </c>
      <c r="G347" s="972"/>
      <c r="H347" s="982">
        <f>H346*F347</f>
        <v>1187.7892481000001</v>
      </c>
      <c r="I347" s="983"/>
      <c r="J347" s="984">
        <v>0.13</v>
      </c>
      <c r="K347" s="985"/>
      <c r="L347" s="986">
        <f>L346*J347</f>
        <v>1179.530092</v>
      </c>
      <c r="M347" s="987"/>
      <c r="N347" s="988">
        <f t="shared" si="46"/>
        <v>-8.2591561000001548</v>
      </c>
      <c r="O347" s="989">
        <f t="shared" si="49"/>
        <v>-6.9533851339466032E-3</v>
      </c>
      <c r="P347" s="706"/>
    </row>
    <row r="348" spans="1:16">
      <c r="A348" s="706"/>
      <c r="B348" s="990" t="s">
        <v>1141</v>
      </c>
      <c r="C348" s="909"/>
      <c r="D348" s="909"/>
      <c r="E348" s="909"/>
      <c r="F348" s="991"/>
      <c r="G348" s="992"/>
      <c r="H348" s="982">
        <f>H346+H347</f>
        <v>10324.6296181</v>
      </c>
      <c r="I348" s="983"/>
      <c r="J348" s="983"/>
      <c r="K348" s="983"/>
      <c r="L348" s="986">
        <f>L346+L347</f>
        <v>10252.838491999999</v>
      </c>
      <c r="M348" s="987"/>
      <c r="N348" s="988">
        <f t="shared" si="46"/>
        <v>-71.791126100000838</v>
      </c>
      <c r="O348" s="989">
        <f t="shared" si="49"/>
        <v>-6.9533851339465555E-3</v>
      </c>
      <c r="P348" s="706"/>
    </row>
    <row r="349" spans="1:16" ht="12.75" customHeight="1">
      <c r="A349" s="706"/>
      <c r="B349" s="1491" t="s">
        <v>1142</v>
      </c>
      <c r="C349" s="1491"/>
      <c r="D349" s="1491"/>
      <c r="E349" s="909"/>
      <c r="F349" s="991"/>
      <c r="G349" s="992"/>
      <c r="H349" s="993">
        <f>ROUND(-H348*10%,2)</f>
        <v>-1032.46</v>
      </c>
      <c r="I349" s="983"/>
      <c r="J349" s="983"/>
      <c r="K349" s="983"/>
      <c r="L349" s="994">
        <f>ROUND(-L348*10%,2)</f>
        <v>-1025.28</v>
      </c>
      <c r="M349" s="987"/>
      <c r="N349" s="995">
        <f t="shared" si="46"/>
        <v>7.1800000000000637</v>
      </c>
      <c r="O349" s="996">
        <f t="shared" si="49"/>
        <v>-6.9542645719931654E-3</v>
      </c>
      <c r="P349" s="706"/>
    </row>
    <row r="350" spans="1:16" ht="13.5" customHeight="1" thickBot="1">
      <c r="A350" s="706"/>
      <c r="B350" s="1484" t="s">
        <v>1143</v>
      </c>
      <c r="C350" s="1484"/>
      <c r="D350" s="1484"/>
      <c r="E350" s="997"/>
      <c r="F350" s="998"/>
      <c r="G350" s="999"/>
      <c r="H350" s="1000">
        <f>SUM(H348:H349)</f>
        <v>9292.1696181000007</v>
      </c>
      <c r="I350" s="1001"/>
      <c r="J350" s="1001"/>
      <c r="K350" s="1001"/>
      <c r="L350" s="1002">
        <f>SUM(L348:L349)</f>
        <v>9227.5584919999983</v>
      </c>
      <c r="M350" s="1003"/>
      <c r="N350" s="1004">
        <f t="shared" si="46"/>
        <v>-64.611126100002366</v>
      </c>
      <c r="O350" s="1005">
        <f t="shared" si="49"/>
        <v>-6.953287418919674E-3</v>
      </c>
      <c r="P350" s="706"/>
    </row>
    <row r="351" spans="1:16" ht="13.5" thickBot="1">
      <c r="A351" s="706"/>
      <c r="B351" s="960"/>
      <c r="C351" s="961"/>
      <c r="D351" s="962"/>
      <c r="E351" s="961"/>
      <c r="F351" s="1006"/>
      <c r="G351" s="1007"/>
      <c r="H351" s="1008"/>
      <c r="I351" s="1009"/>
      <c r="J351" s="1006"/>
      <c r="K351" s="964"/>
      <c r="L351" s="1010"/>
      <c r="M351" s="966"/>
      <c r="N351" s="1011"/>
      <c r="O351" s="969"/>
      <c r="P351" s="706"/>
    </row>
    <row r="352" spans="1:16">
      <c r="A352" s="706"/>
      <c r="B352" s="970" t="s">
        <v>1144</v>
      </c>
      <c r="C352" s="909"/>
      <c r="D352" s="909"/>
      <c r="E352" s="909"/>
      <c r="F352" s="971"/>
      <c r="G352" s="972"/>
      <c r="H352" s="973">
        <f>SUM(H335:H339,H342:H344)</f>
        <v>8597.1125510000002</v>
      </c>
      <c r="I352" s="974"/>
      <c r="J352" s="975"/>
      <c r="K352" s="975"/>
      <c r="L352" s="1012">
        <f>SUM(L335:L339,L342:L344)</f>
        <v>8532.9020200000014</v>
      </c>
      <c r="M352" s="977"/>
      <c r="N352" s="978">
        <f>L352-H352</f>
        <v>-64.210530999998809</v>
      </c>
      <c r="O352" s="979">
        <f>IF((H352)=0,"",(N352/H352))</f>
        <v>-7.4688484789616908E-3</v>
      </c>
      <c r="P352" s="706"/>
    </row>
    <row r="353" spans="1:16">
      <c r="A353" s="706"/>
      <c r="B353" s="980" t="s">
        <v>1140</v>
      </c>
      <c r="C353" s="909"/>
      <c r="D353" s="909"/>
      <c r="E353" s="909"/>
      <c r="F353" s="981">
        <v>0.13</v>
      </c>
      <c r="G353" s="992"/>
      <c r="H353" s="982">
        <f>H352*F353</f>
        <v>1117.6246316300001</v>
      </c>
      <c r="I353" s="983"/>
      <c r="J353" s="1013">
        <v>0.13</v>
      </c>
      <c r="K353" s="983"/>
      <c r="L353" s="986">
        <f>L352*J353</f>
        <v>1109.2772626000003</v>
      </c>
      <c r="M353" s="987"/>
      <c r="N353" s="988">
        <f t="shared" si="46"/>
        <v>-8.3473690299997543</v>
      </c>
      <c r="O353" s="989">
        <f t="shared" si="49"/>
        <v>-7.4688484789616084E-3</v>
      </c>
      <c r="P353" s="706"/>
    </row>
    <row r="354" spans="1:16">
      <c r="A354" s="706"/>
      <c r="B354" s="990" t="s">
        <v>1141</v>
      </c>
      <c r="C354" s="909"/>
      <c r="D354" s="909"/>
      <c r="E354" s="909"/>
      <c r="F354" s="991"/>
      <c r="G354" s="992"/>
      <c r="H354" s="982">
        <f>H352+H353</f>
        <v>9714.7371826300005</v>
      </c>
      <c r="I354" s="983"/>
      <c r="J354" s="983"/>
      <c r="K354" s="983"/>
      <c r="L354" s="986">
        <f>L352+L353</f>
        <v>9642.1792826000019</v>
      </c>
      <c r="M354" s="987"/>
      <c r="N354" s="988">
        <f t="shared" si="46"/>
        <v>-72.557900029998564</v>
      </c>
      <c r="O354" s="989">
        <f t="shared" si="49"/>
        <v>-7.4688484789616812E-3</v>
      </c>
      <c r="P354" s="706"/>
    </row>
    <row r="355" spans="1:16" ht="12.75" customHeight="1">
      <c r="A355" s="706"/>
      <c r="B355" s="1491" t="s">
        <v>1142</v>
      </c>
      <c r="C355" s="1491"/>
      <c r="D355" s="1491"/>
      <c r="E355" s="909"/>
      <c r="F355" s="991"/>
      <c r="G355" s="992"/>
      <c r="H355" s="993">
        <f>ROUND(-H354*10%,2)</f>
        <v>-971.47</v>
      </c>
      <c r="I355" s="983"/>
      <c r="J355" s="983"/>
      <c r="K355" s="983"/>
      <c r="L355" s="994">
        <f>ROUND(-L354*10%,2)</f>
        <v>-964.22</v>
      </c>
      <c r="M355" s="987"/>
      <c r="N355" s="995">
        <f t="shared" si="46"/>
        <v>7.25</v>
      </c>
      <c r="O355" s="996">
        <f t="shared" si="49"/>
        <v>-7.4629170226563867E-3</v>
      </c>
      <c r="P355" s="706"/>
    </row>
    <row r="356" spans="1:16" ht="13.5" customHeight="1" thickBot="1">
      <c r="A356" s="706"/>
      <c r="B356" s="1484" t="s">
        <v>1145</v>
      </c>
      <c r="C356" s="1484"/>
      <c r="D356" s="1484"/>
      <c r="E356" s="997"/>
      <c r="F356" s="1014"/>
      <c r="G356" s="1015"/>
      <c r="H356" s="1016">
        <f>H354+H355</f>
        <v>8743.2671826300011</v>
      </c>
      <c r="I356" s="1017"/>
      <c r="J356" s="1017"/>
      <c r="K356" s="1017"/>
      <c r="L356" s="1018">
        <f>L354+L355</f>
        <v>8677.9592826000026</v>
      </c>
      <c r="M356" s="1019"/>
      <c r="N356" s="1020">
        <f t="shared" si="46"/>
        <v>-65.307900029998564</v>
      </c>
      <c r="O356" s="1021">
        <f t="shared" si="49"/>
        <v>-7.4695075268595128E-3</v>
      </c>
      <c r="P356" s="706"/>
    </row>
    <row r="357" spans="1:16" ht="13.5" thickBot="1">
      <c r="A357" s="706"/>
      <c r="B357" s="960"/>
      <c r="C357" s="961"/>
      <c r="D357" s="962"/>
      <c r="E357" s="961"/>
      <c r="F357" s="1006"/>
      <c r="G357" s="1007"/>
      <c r="H357" s="1008"/>
      <c r="I357" s="1009"/>
      <c r="J357" s="1006"/>
      <c r="K357" s="964"/>
      <c r="L357" s="1010"/>
      <c r="M357" s="966"/>
      <c r="N357" s="1011"/>
      <c r="O357" s="969"/>
      <c r="P357" s="706"/>
    </row>
    <row r="358" spans="1:16">
      <c r="A358" s="706"/>
      <c r="B358" s="706"/>
      <c r="C358" s="706"/>
      <c r="D358" s="706"/>
      <c r="E358" s="706"/>
      <c r="F358" s="706"/>
      <c r="G358" s="706"/>
      <c r="H358" s="706"/>
      <c r="I358" s="706"/>
      <c r="J358" s="706"/>
      <c r="K358" s="706"/>
      <c r="L358" s="1022"/>
      <c r="M358" s="706"/>
      <c r="N358" s="706"/>
      <c r="O358" s="706"/>
      <c r="P358" s="706"/>
    </row>
    <row r="359" spans="1:16">
      <c r="A359" s="706"/>
      <c r="B359" s="711" t="s">
        <v>1146</v>
      </c>
      <c r="C359" s="706"/>
      <c r="D359" s="706"/>
      <c r="E359" s="706"/>
      <c r="F359" s="1023">
        <v>5.2699999999999969E-2</v>
      </c>
      <c r="G359" s="706"/>
      <c r="H359" s="706"/>
      <c r="I359" s="706"/>
      <c r="J359" s="1023">
        <v>5.3999999999999999E-2</v>
      </c>
      <c r="K359" s="706"/>
      <c r="L359" s="706"/>
      <c r="M359" s="706"/>
      <c r="N359" s="706"/>
      <c r="O359" s="706"/>
      <c r="P359" s="706"/>
    </row>
    <row r="360" spans="1:16">
      <c r="A360" s="706"/>
      <c r="B360" s="706"/>
      <c r="C360" s="706"/>
      <c r="D360" s="706"/>
      <c r="E360" s="706"/>
      <c r="F360" s="706"/>
      <c r="G360" s="706"/>
      <c r="H360" s="706"/>
      <c r="I360" s="706"/>
      <c r="J360" s="706"/>
      <c r="K360" s="706"/>
      <c r="L360" s="706"/>
      <c r="M360" s="706"/>
      <c r="N360" s="706"/>
      <c r="O360" s="706"/>
      <c r="P360" s="706"/>
    </row>
    <row r="361" spans="1:16" ht="14.25">
      <c r="A361" s="1024" t="s">
        <v>1147</v>
      </c>
      <c r="B361" s="706"/>
      <c r="C361" s="706"/>
      <c r="D361" s="706"/>
      <c r="E361" s="706"/>
      <c r="F361" s="706"/>
      <c r="G361" s="706"/>
      <c r="H361" s="706"/>
      <c r="I361" s="706"/>
      <c r="J361" s="706"/>
      <c r="K361" s="706"/>
      <c r="L361" s="706"/>
      <c r="M361" s="706"/>
      <c r="N361" s="706"/>
      <c r="O361" s="706"/>
      <c r="P361" s="706"/>
    </row>
    <row r="362" spans="1:16">
      <c r="A362" s="706"/>
      <c r="B362" s="706"/>
      <c r="C362" s="706"/>
      <c r="D362" s="706"/>
      <c r="E362" s="706"/>
      <c r="F362" s="706"/>
      <c r="G362" s="706"/>
      <c r="H362" s="706"/>
      <c r="I362" s="706"/>
      <c r="J362" s="706"/>
      <c r="K362" s="706"/>
      <c r="L362" s="706"/>
      <c r="M362" s="706"/>
      <c r="N362" s="706"/>
      <c r="O362" s="706"/>
      <c r="P362" s="706"/>
    </row>
    <row r="363" spans="1:16">
      <c r="A363" s="706" t="s">
        <v>1148</v>
      </c>
      <c r="B363" s="706"/>
      <c r="C363" s="706"/>
      <c r="D363" s="706"/>
      <c r="E363" s="706"/>
      <c r="F363" s="706"/>
      <c r="G363" s="706"/>
      <c r="H363" s="706"/>
      <c r="I363" s="706"/>
      <c r="J363" s="706"/>
      <c r="K363" s="706"/>
      <c r="L363" s="706"/>
      <c r="M363" s="706"/>
      <c r="N363" s="706"/>
      <c r="O363" s="706"/>
      <c r="P363" s="706"/>
    </row>
    <row r="364" spans="1:16">
      <c r="A364" s="706" t="s">
        <v>1149</v>
      </c>
      <c r="B364" s="706"/>
      <c r="C364" s="706"/>
      <c r="D364" s="706"/>
      <c r="E364" s="706"/>
      <c r="F364" s="706"/>
      <c r="G364" s="706"/>
      <c r="H364" s="706"/>
      <c r="I364" s="706"/>
      <c r="J364" s="706"/>
      <c r="K364" s="706"/>
      <c r="L364" s="706"/>
      <c r="M364" s="706"/>
      <c r="N364" s="706"/>
      <c r="O364" s="706"/>
      <c r="P364" s="706"/>
    </row>
    <row r="365" spans="1:16">
      <c r="A365" s="706"/>
      <c r="B365" s="706"/>
      <c r="C365" s="706"/>
      <c r="D365" s="706"/>
      <c r="E365" s="706"/>
      <c r="F365" s="706"/>
      <c r="G365" s="706"/>
      <c r="H365" s="706"/>
      <c r="I365" s="706"/>
      <c r="J365" s="706"/>
      <c r="K365" s="706"/>
      <c r="L365" s="706"/>
      <c r="M365" s="706"/>
      <c r="N365" s="706"/>
      <c r="O365" s="706"/>
      <c r="P365" s="706"/>
    </row>
    <row r="366" spans="1:16">
      <c r="A366" s="706" t="s">
        <v>1150</v>
      </c>
      <c r="B366" s="706"/>
      <c r="C366" s="706"/>
      <c r="D366" s="706"/>
      <c r="E366" s="706"/>
      <c r="F366" s="706"/>
      <c r="G366" s="706"/>
      <c r="H366" s="706"/>
      <c r="I366" s="706"/>
      <c r="J366" s="706"/>
      <c r="K366" s="706"/>
      <c r="L366" s="706"/>
      <c r="M366" s="706"/>
      <c r="N366" s="706"/>
      <c r="O366" s="706"/>
      <c r="P366" s="706"/>
    </row>
    <row r="367" spans="1:16">
      <c r="A367" s="706" t="s">
        <v>1151</v>
      </c>
      <c r="B367" s="706"/>
      <c r="C367" s="706"/>
      <c r="D367" s="706"/>
      <c r="E367" s="706"/>
      <c r="F367" s="706"/>
      <c r="G367" s="706"/>
      <c r="H367" s="706"/>
      <c r="I367" s="706"/>
      <c r="J367" s="706"/>
      <c r="K367" s="706"/>
      <c r="L367" s="706"/>
      <c r="M367" s="706"/>
      <c r="N367" s="706"/>
      <c r="O367" s="706"/>
      <c r="P367" s="706"/>
    </row>
    <row r="368" spans="1:16">
      <c r="A368" s="706"/>
      <c r="B368" s="706"/>
      <c r="C368" s="706"/>
      <c r="D368" s="706"/>
      <c r="E368" s="706"/>
      <c r="F368" s="706"/>
      <c r="G368" s="706"/>
      <c r="H368" s="706"/>
      <c r="I368" s="706"/>
      <c r="J368" s="706"/>
      <c r="K368" s="706"/>
      <c r="L368" s="706"/>
      <c r="M368" s="706"/>
      <c r="N368" s="706"/>
      <c r="O368" s="706"/>
      <c r="P368" s="706"/>
    </row>
    <row r="369" spans="1:16">
      <c r="A369" s="706" t="s">
        <v>1152</v>
      </c>
      <c r="B369" s="706"/>
      <c r="C369" s="706"/>
      <c r="D369" s="706"/>
      <c r="E369" s="706"/>
      <c r="F369" s="706"/>
      <c r="G369" s="706"/>
      <c r="H369" s="706"/>
      <c r="I369" s="706"/>
      <c r="J369" s="706"/>
      <c r="K369" s="706"/>
      <c r="L369" s="706"/>
      <c r="M369" s="706"/>
      <c r="N369" s="706"/>
      <c r="O369" s="706"/>
      <c r="P369" s="706"/>
    </row>
    <row r="370" spans="1:16">
      <c r="A370" s="706" t="s">
        <v>1153</v>
      </c>
      <c r="B370" s="706"/>
      <c r="C370" s="706"/>
      <c r="D370" s="706"/>
      <c r="E370" s="706"/>
      <c r="F370" s="706"/>
      <c r="G370" s="706"/>
      <c r="H370" s="706"/>
      <c r="I370" s="706"/>
      <c r="J370" s="706"/>
      <c r="K370" s="706"/>
      <c r="L370" s="706"/>
      <c r="M370" s="706"/>
      <c r="N370" s="706"/>
      <c r="O370" s="706"/>
      <c r="P370" s="706"/>
    </row>
    <row r="371" spans="1:16">
      <c r="A371" s="706" t="s">
        <v>1154</v>
      </c>
      <c r="B371" s="706"/>
      <c r="C371" s="706"/>
      <c r="D371" s="706"/>
      <c r="E371" s="706"/>
      <c r="F371" s="706"/>
      <c r="G371" s="706"/>
      <c r="H371" s="706"/>
      <c r="I371" s="706"/>
      <c r="J371" s="706"/>
      <c r="K371" s="706"/>
      <c r="L371" s="706"/>
      <c r="M371" s="706"/>
      <c r="N371" s="706"/>
      <c r="O371" s="706"/>
      <c r="P371" s="706"/>
    </row>
    <row r="372" spans="1:16">
      <c r="A372" s="706" t="s">
        <v>1155</v>
      </c>
      <c r="B372" s="706"/>
      <c r="C372" s="706"/>
      <c r="D372" s="706"/>
      <c r="E372" s="706"/>
      <c r="F372" s="706"/>
      <c r="G372" s="706"/>
      <c r="H372" s="706"/>
      <c r="I372" s="706"/>
      <c r="J372" s="706"/>
      <c r="K372" s="706"/>
      <c r="L372" s="706"/>
      <c r="M372" s="706"/>
      <c r="N372" s="706"/>
      <c r="O372" s="706"/>
      <c r="P372" s="706"/>
    </row>
    <row r="373" spans="1:16">
      <c r="A373" s="706" t="s">
        <v>1156</v>
      </c>
      <c r="B373" s="706"/>
      <c r="C373" s="706"/>
      <c r="D373" s="706"/>
      <c r="E373" s="706"/>
      <c r="F373" s="706"/>
      <c r="G373" s="706"/>
      <c r="H373" s="706"/>
      <c r="I373" s="706"/>
      <c r="J373" s="706"/>
      <c r="K373" s="706"/>
      <c r="L373" s="706"/>
      <c r="M373" s="706"/>
      <c r="N373" s="706"/>
      <c r="O373" s="706"/>
      <c r="P373" s="706"/>
    </row>
    <row r="375" spans="1:16" ht="21.75">
      <c r="A375" s="892"/>
      <c r="B375" s="892"/>
      <c r="C375" s="892"/>
      <c r="D375" s="892"/>
      <c r="E375" s="892"/>
      <c r="F375" s="892"/>
      <c r="G375" s="892"/>
      <c r="H375" s="892"/>
      <c r="I375" s="892"/>
      <c r="J375" s="892"/>
      <c r="K375" s="892"/>
      <c r="L375" s="893"/>
      <c r="M375" s="893"/>
      <c r="N375" s="31" t="s">
        <v>131</v>
      </c>
      <c r="O375" s="32" t="s">
        <v>20</v>
      </c>
    </row>
    <row r="376" spans="1:16" ht="18">
      <c r="A376" s="894"/>
      <c r="B376" s="894"/>
      <c r="C376" s="894"/>
      <c r="D376" s="894"/>
      <c r="E376" s="894"/>
      <c r="F376" s="894"/>
      <c r="G376" s="894"/>
      <c r="H376" s="894"/>
      <c r="I376" s="894"/>
      <c r="J376" s="894"/>
      <c r="K376" s="894"/>
      <c r="L376" s="893"/>
      <c r="M376" s="893"/>
      <c r="N376" s="31" t="s">
        <v>132</v>
      </c>
      <c r="O376" s="33"/>
    </row>
    <row r="377" spans="1:16" ht="18">
      <c r="A377" s="1492"/>
      <c r="B377" s="1492"/>
      <c r="C377" s="1492"/>
      <c r="D377" s="1492"/>
      <c r="E377" s="1492"/>
      <c r="F377" s="1492"/>
      <c r="G377" s="1492"/>
      <c r="H377" s="1492"/>
      <c r="I377" s="1492"/>
      <c r="J377" s="1492"/>
      <c r="K377" s="1492"/>
      <c r="L377" s="893"/>
      <c r="M377" s="893"/>
      <c r="N377" s="31" t="s">
        <v>133</v>
      </c>
      <c r="O377" s="33"/>
    </row>
    <row r="378" spans="1:16" ht="18">
      <c r="A378" s="894"/>
      <c r="B378" s="894"/>
      <c r="C378" s="894"/>
      <c r="D378" s="894"/>
      <c r="E378" s="894"/>
      <c r="F378" s="894"/>
      <c r="G378" s="894"/>
      <c r="H378" s="894"/>
      <c r="I378" s="895"/>
      <c r="J378" s="895"/>
      <c r="K378" s="895"/>
      <c r="L378" s="893"/>
      <c r="M378" s="893"/>
      <c r="N378" s="31" t="s">
        <v>134</v>
      </c>
      <c r="O378" s="33"/>
    </row>
    <row r="379" spans="1:16" ht="15.75">
      <c r="A379" s="893"/>
      <c r="B379" s="893"/>
      <c r="C379" s="896"/>
      <c r="D379" s="896"/>
      <c r="E379" s="896"/>
      <c r="F379" s="893"/>
      <c r="G379" s="893"/>
      <c r="H379" s="893"/>
      <c r="I379" s="893"/>
      <c r="J379" s="893"/>
      <c r="K379" s="893"/>
      <c r="L379" s="893"/>
      <c r="M379" s="893"/>
      <c r="N379" s="31" t="s">
        <v>439</v>
      </c>
      <c r="O379" s="34" t="s">
        <v>1163</v>
      </c>
    </row>
    <row r="380" spans="1:16">
      <c r="A380" s="893"/>
      <c r="B380" s="893"/>
      <c r="C380" s="893"/>
      <c r="D380" s="893"/>
      <c r="E380" s="893"/>
      <c r="F380" s="893"/>
      <c r="G380" s="893"/>
      <c r="H380" s="893"/>
      <c r="I380" s="893"/>
      <c r="J380" s="893"/>
      <c r="K380" s="893"/>
      <c r="L380" s="893"/>
      <c r="M380" s="893"/>
      <c r="N380" s="31"/>
      <c r="O380" s="32"/>
    </row>
    <row r="381" spans="1:16">
      <c r="A381" s="893"/>
      <c r="B381" s="893"/>
      <c r="C381" s="893"/>
      <c r="D381" s="893"/>
      <c r="E381" s="893"/>
      <c r="F381" s="893"/>
      <c r="G381" s="893"/>
      <c r="H381" s="893"/>
      <c r="I381" s="893"/>
      <c r="J381" s="893"/>
      <c r="K381" s="893"/>
      <c r="L381" s="893"/>
      <c r="M381" s="893"/>
      <c r="N381" s="31" t="s">
        <v>136</v>
      </c>
      <c r="O381" s="35" t="s">
        <v>1171</v>
      </c>
    </row>
    <row r="382" spans="1:16">
      <c r="A382" s="893"/>
      <c r="B382" s="893"/>
      <c r="C382" s="893"/>
      <c r="D382" s="893"/>
      <c r="E382" s="893"/>
      <c r="F382" s="893"/>
      <c r="G382" s="893"/>
      <c r="H382" s="893"/>
      <c r="I382" s="893"/>
      <c r="J382" s="893"/>
      <c r="K382" s="893"/>
      <c r="L382" s="893"/>
      <c r="M382" s="893"/>
      <c r="N382" s="706"/>
    </row>
    <row r="383" spans="1:16">
      <c r="A383" s="706"/>
      <c r="B383" s="706"/>
      <c r="C383" s="706"/>
      <c r="D383" s="706"/>
      <c r="E383" s="706"/>
      <c r="F383" s="706"/>
      <c r="G383" s="706"/>
      <c r="H383" s="706"/>
      <c r="I383" s="706"/>
      <c r="J383" s="706"/>
      <c r="K383" s="706"/>
    </row>
    <row r="384" spans="1:16" ht="18">
      <c r="A384" s="706"/>
      <c r="B384" s="1493" t="s">
        <v>1100</v>
      </c>
      <c r="C384" s="1493"/>
      <c r="D384" s="1493"/>
      <c r="E384" s="1493"/>
      <c r="F384" s="1493"/>
      <c r="G384" s="1493"/>
      <c r="H384" s="1493"/>
      <c r="I384" s="1493"/>
      <c r="J384" s="1493"/>
      <c r="K384" s="1493"/>
      <c r="L384" s="1493"/>
      <c r="M384" s="1493"/>
      <c r="N384" s="1493"/>
      <c r="O384" s="1493"/>
    </row>
    <row r="385" spans="1:16" ht="18">
      <c r="A385" s="706"/>
      <c r="B385" s="1493" t="s">
        <v>1101</v>
      </c>
      <c r="C385" s="1493"/>
      <c r="D385" s="1493"/>
      <c r="E385" s="1493"/>
      <c r="F385" s="1493"/>
      <c r="G385" s="1493"/>
      <c r="H385" s="1493"/>
      <c r="I385" s="1493"/>
      <c r="J385" s="1493"/>
      <c r="K385" s="1493"/>
      <c r="L385" s="1493"/>
      <c r="M385" s="1493"/>
      <c r="N385" s="1493"/>
      <c r="O385" s="1493"/>
    </row>
    <row r="386" spans="1:16">
      <c r="A386" s="706"/>
      <c r="B386" s="706"/>
      <c r="C386" s="706"/>
      <c r="D386" s="706"/>
      <c r="E386" s="706"/>
      <c r="F386" s="706"/>
      <c r="G386" s="706"/>
      <c r="H386" s="706"/>
      <c r="I386" s="706"/>
      <c r="J386" s="706"/>
      <c r="K386" s="706"/>
    </row>
    <row r="387" spans="1:16">
      <c r="A387" s="706"/>
      <c r="B387" s="706"/>
      <c r="C387" s="706"/>
      <c r="D387" s="706"/>
      <c r="E387" s="706"/>
      <c r="F387" s="706"/>
      <c r="G387" s="706"/>
      <c r="H387" s="706"/>
      <c r="I387" s="706"/>
      <c r="J387" s="706"/>
      <c r="K387" s="706"/>
    </row>
    <row r="388" spans="1:16" ht="15.75">
      <c r="A388" s="706"/>
      <c r="B388" s="897" t="s">
        <v>1102</v>
      </c>
      <c r="C388" s="706"/>
      <c r="D388" s="1494" t="s">
        <v>481</v>
      </c>
      <c r="E388" s="1494"/>
      <c r="F388" s="1494"/>
      <c r="G388" s="1494"/>
      <c r="H388" s="1494"/>
      <c r="I388" s="1494"/>
      <c r="J388" s="1494"/>
      <c r="K388" s="1494"/>
      <c r="L388" s="1494"/>
      <c r="M388" s="1494"/>
      <c r="N388" s="1494"/>
      <c r="O388" s="1494"/>
      <c r="P388" s="706"/>
    </row>
    <row r="389" spans="1:16" ht="15.75">
      <c r="A389" s="706"/>
      <c r="B389" s="898"/>
      <c r="C389" s="706"/>
      <c r="D389" s="899"/>
      <c r="E389" s="899"/>
      <c r="F389" s="899"/>
      <c r="G389" s="899"/>
      <c r="H389" s="899"/>
      <c r="I389" s="899"/>
      <c r="J389" s="899"/>
      <c r="K389" s="899"/>
      <c r="L389" s="899"/>
      <c r="M389" s="899"/>
      <c r="N389" s="899"/>
      <c r="O389" s="899"/>
      <c r="P389" s="706"/>
    </row>
    <row r="390" spans="1:16">
      <c r="A390" s="706"/>
      <c r="B390" s="900"/>
      <c r="C390" s="706"/>
      <c r="D390" s="711" t="s">
        <v>1103</v>
      </c>
      <c r="E390" s="711"/>
      <c r="F390" s="901">
        <v>397</v>
      </c>
      <c r="G390" s="711" t="s">
        <v>1104</v>
      </c>
      <c r="H390" s="706"/>
      <c r="I390" s="706"/>
      <c r="J390" s="706"/>
      <c r="K390" s="706"/>
      <c r="L390" s="706"/>
      <c r="M390" s="706"/>
      <c r="N390" s="706"/>
      <c r="O390" s="706"/>
      <c r="P390" s="706"/>
    </row>
    <row r="391" spans="1:16">
      <c r="A391" s="706"/>
      <c r="B391" s="900"/>
      <c r="C391" s="706"/>
      <c r="D391" s="706"/>
      <c r="E391" s="706"/>
      <c r="F391" s="706"/>
      <c r="G391" s="706"/>
      <c r="H391" s="706"/>
      <c r="I391" s="706"/>
      <c r="J391" s="706"/>
      <c r="K391" s="706"/>
      <c r="L391" s="706"/>
      <c r="M391" s="706"/>
      <c r="N391" s="706"/>
      <c r="O391" s="706"/>
      <c r="P391" s="706"/>
    </row>
    <row r="392" spans="1:16">
      <c r="A392" s="706"/>
      <c r="B392" s="900"/>
      <c r="C392" s="706"/>
      <c r="D392" s="902"/>
      <c r="E392" s="902"/>
      <c r="F392" s="1495" t="s">
        <v>1105</v>
      </c>
      <c r="G392" s="1496"/>
      <c r="H392" s="1497"/>
      <c r="I392" s="706"/>
      <c r="J392" s="1495" t="s">
        <v>1106</v>
      </c>
      <c r="K392" s="1496"/>
      <c r="L392" s="1497"/>
      <c r="M392" s="706"/>
      <c r="N392" s="1495" t="s">
        <v>1107</v>
      </c>
      <c r="O392" s="1497"/>
      <c r="P392" s="706"/>
    </row>
    <row r="393" spans="1:16" ht="12.75" customHeight="1">
      <c r="A393" s="706"/>
      <c r="B393" s="900"/>
      <c r="C393" s="706"/>
      <c r="D393" s="1485" t="s">
        <v>1108</v>
      </c>
      <c r="E393" s="903"/>
      <c r="F393" s="904" t="s">
        <v>1109</v>
      </c>
      <c r="G393" s="904" t="s">
        <v>1110</v>
      </c>
      <c r="H393" s="905" t="s">
        <v>1111</v>
      </c>
      <c r="I393" s="706"/>
      <c r="J393" s="904" t="s">
        <v>1109</v>
      </c>
      <c r="K393" s="906" t="s">
        <v>1110</v>
      </c>
      <c r="L393" s="905" t="s">
        <v>1111</v>
      </c>
      <c r="M393" s="706"/>
      <c r="N393" s="1487" t="s">
        <v>1112</v>
      </c>
      <c r="O393" s="1489" t="s">
        <v>1113</v>
      </c>
      <c r="P393" s="706"/>
    </row>
    <row r="394" spans="1:16">
      <c r="A394" s="706"/>
      <c r="B394" s="900"/>
      <c r="C394" s="706"/>
      <c r="D394" s="1486"/>
      <c r="E394" s="903"/>
      <c r="F394" s="907" t="s">
        <v>831</v>
      </c>
      <c r="G394" s="907"/>
      <c r="H394" s="908" t="s">
        <v>831</v>
      </c>
      <c r="I394" s="706"/>
      <c r="J394" s="907" t="s">
        <v>831</v>
      </c>
      <c r="K394" s="908"/>
      <c r="L394" s="908" t="s">
        <v>831</v>
      </c>
      <c r="M394" s="706"/>
      <c r="N394" s="1488"/>
      <c r="O394" s="1490"/>
      <c r="P394" s="706"/>
    </row>
    <row r="395" spans="1:16">
      <c r="A395" s="706"/>
      <c r="B395" s="909" t="s">
        <v>1089</v>
      </c>
      <c r="C395" s="909"/>
      <c r="D395" s="910" t="s">
        <v>1114</v>
      </c>
      <c r="E395" s="911"/>
      <c r="F395" s="912">
        <v>8.0500000000000007</v>
      </c>
      <c r="G395" s="913">
        <v>1</v>
      </c>
      <c r="H395" s="914">
        <f>G395*F395</f>
        <v>8.0500000000000007</v>
      </c>
      <c r="I395" s="915"/>
      <c r="J395" s="916">
        <v>6.9</v>
      </c>
      <c r="K395" s="917">
        <v>1</v>
      </c>
      <c r="L395" s="914">
        <f>K395*J395</f>
        <v>6.9</v>
      </c>
      <c r="M395" s="915"/>
      <c r="N395" s="918">
        <f>L395-H395</f>
        <v>-1.1500000000000004</v>
      </c>
      <c r="O395" s="919">
        <f>IF((H395)=0,"",(N395/H395))</f>
        <v>-0.14285714285714288</v>
      </c>
      <c r="P395" s="706"/>
    </row>
    <row r="396" spans="1:16">
      <c r="A396" s="706"/>
      <c r="B396" s="909" t="s">
        <v>1115</v>
      </c>
      <c r="C396" s="909"/>
      <c r="D396" s="910" t="s">
        <v>1114</v>
      </c>
      <c r="E396" s="911"/>
      <c r="F396" s="912">
        <v>0</v>
      </c>
      <c r="G396" s="913">
        <v>1</v>
      </c>
      <c r="H396" s="914">
        <f t="shared" ref="H396:H402" si="52">G396*F396</f>
        <v>0</v>
      </c>
      <c r="I396" s="915"/>
      <c r="J396" s="916">
        <v>0</v>
      </c>
      <c r="K396" s="917">
        <v>1</v>
      </c>
      <c r="L396" s="914">
        <f>K396*J396</f>
        <v>0</v>
      </c>
      <c r="M396" s="915"/>
      <c r="N396" s="918">
        <f>L396-H396</f>
        <v>0</v>
      </c>
      <c r="O396" s="919" t="str">
        <f>IF((H396)=0,"",(N396/H396))</f>
        <v/>
      </c>
      <c r="P396" s="706"/>
    </row>
    <row r="397" spans="1:16" hidden="1">
      <c r="A397" s="706"/>
      <c r="B397" s="920" t="s">
        <v>1116</v>
      </c>
      <c r="C397" s="909"/>
      <c r="D397" s="910" t="s">
        <v>1114</v>
      </c>
      <c r="E397" s="911"/>
      <c r="F397" s="912">
        <v>0</v>
      </c>
      <c r="G397" s="913">
        <v>1</v>
      </c>
      <c r="H397" s="914">
        <f t="shared" si="52"/>
        <v>0</v>
      </c>
      <c r="I397" s="915"/>
      <c r="J397" s="916">
        <v>0</v>
      </c>
      <c r="K397" s="917">
        <v>1</v>
      </c>
      <c r="L397" s="914">
        <f t="shared" ref="L397:L402" si="53">K397*J397</f>
        <v>0</v>
      </c>
      <c r="M397" s="915"/>
      <c r="N397" s="918">
        <f t="shared" ref="N397:N431" si="54">L397-H397</f>
        <v>0</v>
      </c>
      <c r="O397" s="919" t="str">
        <f t="shared" ref="O397:O403" si="55">IF((H397)=0,"",(N397/H397))</f>
        <v/>
      </c>
      <c r="P397" s="706"/>
    </row>
    <row r="398" spans="1:16">
      <c r="A398" s="706"/>
      <c r="B398" s="909" t="s">
        <v>1117</v>
      </c>
      <c r="C398" s="909"/>
      <c r="D398" s="910" t="s">
        <v>1087</v>
      </c>
      <c r="E398" s="911"/>
      <c r="F398" s="912">
        <v>1.23E-2</v>
      </c>
      <c r="G398" s="913">
        <f>F390</f>
        <v>397</v>
      </c>
      <c r="H398" s="914">
        <f t="shared" si="52"/>
        <v>4.8830999999999998</v>
      </c>
      <c r="I398" s="915"/>
      <c r="J398" s="916">
        <v>1.0500000000000001E-2</v>
      </c>
      <c r="K398" s="913">
        <f>F390</f>
        <v>397</v>
      </c>
      <c r="L398" s="914">
        <f t="shared" si="53"/>
        <v>4.1684999999999999</v>
      </c>
      <c r="M398" s="915"/>
      <c r="N398" s="918">
        <f t="shared" si="54"/>
        <v>-0.7145999999999999</v>
      </c>
      <c r="O398" s="919">
        <f t="shared" si="55"/>
        <v>-0.14634146341463414</v>
      </c>
      <c r="P398" s="706"/>
    </row>
    <row r="399" spans="1:16">
      <c r="A399" s="706"/>
      <c r="B399" s="909" t="s">
        <v>1118</v>
      </c>
      <c r="C399" s="909"/>
      <c r="D399" s="910" t="s">
        <v>1114</v>
      </c>
      <c r="E399" s="911"/>
      <c r="F399" s="912">
        <v>0</v>
      </c>
      <c r="G399" s="913">
        <v>1</v>
      </c>
      <c r="H399" s="914">
        <f t="shared" si="52"/>
        <v>0</v>
      </c>
      <c r="I399" s="915"/>
      <c r="J399" s="916">
        <v>0</v>
      </c>
      <c r="K399" s="913">
        <v>1</v>
      </c>
      <c r="L399" s="914">
        <f t="shared" si="53"/>
        <v>0</v>
      </c>
      <c r="M399" s="915"/>
      <c r="N399" s="918">
        <f t="shared" si="54"/>
        <v>0</v>
      </c>
      <c r="O399" s="919" t="str">
        <f t="shared" si="55"/>
        <v/>
      </c>
      <c r="P399" s="706"/>
    </row>
    <row r="400" spans="1:16">
      <c r="A400" s="706"/>
      <c r="B400" s="909" t="s">
        <v>1119</v>
      </c>
      <c r="C400" s="909"/>
      <c r="D400" s="910" t="s">
        <v>1088</v>
      </c>
      <c r="E400" s="911"/>
      <c r="F400" s="912">
        <v>0</v>
      </c>
      <c r="G400" s="913">
        <f>F390</f>
        <v>397</v>
      </c>
      <c r="H400" s="914">
        <f t="shared" si="52"/>
        <v>0</v>
      </c>
      <c r="I400" s="915"/>
      <c r="J400" s="916">
        <v>0</v>
      </c>
      <c r="K400" s="913">
        <f>F390</f>
        <v>397</v>
      </c>
      <c r="L400" s="914">
        <f t="shared" si="53"/>
        <v>0</v>
      </c>
      <c r="M400" s="915"/>
      <c r="N400" s="918">
        <f t="shared" si="54"/>
        <v>0</v>
      </c>
      <c r="O400" s="919" t="str">
        <f t="shared" si="55"/>
        <v/>
      </c>
      <c r="P400" s="706"/>
    </row>
    <row r="401" spans="1:16">
      <c r="A401" s="706"/>
      <c r="B401" s="921" t="s">
        <v>1120</v>
      </c>
      <c r="C401" s="909"/>
      <c r="D401" s="910" t="s">
        <v>1088</v>
      </c>
      <c r="E401" s="911"/>
      <c r="F401" s="912">
        <v>-4.0000000000000002E-4</v>
      </c>
      <c r="G401" s="913">
        <f>F390</f>
        <v>397</v>
      </c>
      <c r="H401" s="914">
        <f t="shared" si="52"/>
        <v>-0.1588</v>
      </c>
      <c r="I401" s="915"/>
      <c r="J401" s="916">
        <v>0</v>
      </c>
      <c r="K401" s="913">
        <f>F390</f>
        <v>397</v>
      </c>
      <c r="L401" s="914">
        <f t="shared" si="53"/>
        <v>0</v>
      </c>
      <c r="M401" s="915"/>
      <c r="N401" s="918">
        <f t="shared" si="54"/>
        <v>0.1588</v>
      </c>
      <c r="O401" s="919">
        <f t="shared" si="55"/>
        <v>-1</v>
      </c>
      <c r="P401" s="706"/>
    </row>
    <row r="402" spans="1:16">
      <c r="A402" s="706"/>
      <c r="B402" s="921" t="s">
        <v>1121</v>
      </c>
      <c r="C402" s="909"/>
      <c r="D402" s="910" t="s">
        <v>1114</v>
      </c>
      <c r="E402" s="911"/>
      <c r="F402" s="912">
        <v>0</v>
      </c>
      <c r="G402" s="913">
        <v>1</v>
      </c>
      <c r="H402" s="914">
        <f t="shared" si="52"/>
        <v>0</v>
      </c>
      <c r="I402" s="915"/>
      <c r="J402" s="916">
        <v>0</v>
      </c>
      <c r="K402" s="913">
        <v>1</v>
      </c>
      <c r="L402" s="914">
        <f t="shared" si="53"/>
        <v>0</v>
      </c>
      <c r="M402" s="915"/>
      <c r="N402" s="918">
        <f t="shared" si="54"/>
        <v>0</v>
      </c>
      <c r="O402" s="919" t="str">
        <f t="shared" si="55"/>
        <v/>
      </c>
      <c r="P402" s="706"/>
    </row>
    <row r="403" spans="1:16">
      <c r="A403" s="755"/>
      <c r="B403" s="922" t="s">
        <v>1122</v>
      </c>
      <c r="C403" s="923"/>
      <c r="D403" s="924"/>
      <c r="E403" s="923"/>
      <c r="F403" s="925"/>
      <c r="G403" s="926"/>
      <c r="H403" s="927">
        <f>SUM(H395:H402)</f>
        <v>12.7743</v>
      </c>
      <c r="I403" s="928"/>
      <c r="J403" s="929"/>
      <c r="K403" s="930"/>
      <c r="L403" s="927">
        <f>SUM(L395:L402)</f>
        <v>11.0685</v>
      </c>
      <c r="M403" s="928"/>
      <c r="N403" s="931">
        <f t="shared" si="54"/>
        <v>-1.7058</v>
      </c>
      <c r="O403" s="932">
        <f t="shared" si="55"/>
        <v>-0.13353373570371763</v>
      </c>
      <c r="P403" s="755"/>
    </row>
    <row r="404" spans="1:16">
      <c r="A404" s="706"/>
      <c r="B404" s="933" t="s">
        <v>1123</v>
      </c>
      <c r="C404" s="909"/>
      <c r="D404" s="910" t="s">
        <v>1088</v>
      </c>
      <c r="E404" s="911"/>
      <c r="F404" s="912">
        <v>-2.0000000000000001E-4</v>
      </c>
      <c r="G404" s="913">
        <f>F390</f>
        <v>397</v>
      </c>
      <c r="H404" s="914">
        <f>G404*F404</f>
        <v>-7.9399999999999998E-2</v>
      </c>
      <c r="I404" s="915"/>
      <c r="J404" s="916">
        <v>-1.8E-3</v>
      </c>
      <c r="K404" s="913">
        <f>F390</f>
        <v>397</v>
      </c>
      <c r="L404" s="914">
        <f t="shared" ref="L404:L406" si="56">K404*J404</f>
        <v>-0.71460000000000001</v>
      </c>
      <c r="M404" s="915"/>
      <c r="N404" s="918">
        <f t="shared" si="54"/>
        <v>-0.63519999999999999</v>
      </c>
      <c r="O404" s="919">
        <f>IF((H404)=0,"",(N404/H404))</f>
        <v>8</v>
      </c>
      <c r="P404" s="706"/>
    </row>
    <row r="405" spans="1:16">
      <c r="A405" s="706"/>
      <c r="B405" s="934" t="s">
        <v>1124</v>
      </c>
      <c r="C405" s="909"/>
      <c r="D405" s="910" t="s">
        <v>1087</v>
      </c>
      <c r="E405" s="911"/>
      <c r="F405" s="912">
        <v>1E-4</v>
      </c>
      <c r="G405" s="913">
        <f>F390</f>
        <v>397</v>
      </c>
      <c r="H405" s="914">
        <f>G405*F405</f>
        <v>3.9699999999999999E-2</v>
      </c>
      <c r="I405" s="915"/>
      <c r="J405" s="916">
        <v>1E-4</v>
      </c>
      <c r="K405" s="913">
        <f>F390</f>
        <v>397</v>
      </c>
      <c r="L405" s="914">
        <f t="shared" si="56"/>
        <v>3.9699999999999999E-2</v>
      </c>
      <c r="M405" s="915"/>
      <c r="N405" s="918">
        <f t="shared" si="54"/>
        <v>0</v>
      </c>
      <c r="O405" s="919">
        <f>IF((H405)=0,"",(N405/H405))</f>
        <v>0</v>
      </c>
      <c r="P405" s="706"/>
    </row>
    <row r="406" spans="1:16">
      <c r="A406" s="706"/>
      <c r="B406" s="934" t="s">
        <v>1125</v>
      </c>
      <c r="C406" s="909"/>
      <c r="D406" s="910"/>
      <c r="E406" s="911"/>
      <c r="F406" s="935"/>
      <c r="G406" s="936"/>
      <c r="H406" s="937"/>
      <c r="I406" s="915"/>
      <c r="J406" s="916"/>
      <c r="K406" s="913">
        <f>F390</f>
        <v>397</v>
      </c>
      <c r="L406" s="914">
        <f t="shared" si="56"/>
        <v>0</v>
      </c>
      <c r="M406" s="915"/>
      <c r="N406" s="918">
        <f t="shared" si="54"/>
        <v>0</v>
      </c>
      <c r="O406" s="919"/>
      <c r="P406" s="706"/>
    </row>
    <row r="407" spans="1:16">
      <c r="A407" s="706"/>
      <c r="B407" s="938" t="s">
        <v>1126</v>
      </c>
      <c r="C407" s="939"/>
      <c r="D407" s="939"/>
      <c r="E407" s="939"/>
      <c r="F407" s="940"/>
      <c r="G407" s="941"/>
      <c r="H407" s="942">
        <f>SUM(H403:H406)</f>
        <v>12.7346</v>
      </c>
      <c r="I407" s="928"/>
      <c r="J407" s="941"/>
      <c r="K407" s="943"/>
      <c r="L407" s="942">
        <f>SUM(L403:L406)</f>
        <v>10.393599999999999</v>
      </c>
      <c r="M407" s="928"/>
      <c r="N407" s="931">
        <f t="shared" si="54"/>
        <v>-2.3410000000000011</v>
      </c>
      <c r="O407" s="932">
        <f t="shared" ref="O407:O431" si="57">IF((H407)=0,"",(N407/H407))</f>
        <v>-0.18382988079719825</v>
      </c>
      <c r="P407" s="706"/>
    </row>
    <row r="408" spans="1:16">
      <c r="A408" s="706"/>
      <c r="B408" s="915" t="s">
        <v>1127</v>
      </c>
      <c r="C408" s="915"/>
      <c r="D408" s="944" t="s">
        <v>1087</v>
      </c>
      <c r="E408" s="945"/>
      <c r="F408" s="916">
        <v>4.3E-3</v>
      </c>
      <c r="G408" s="946">
        <f>F390*(1+F434)</f>
        <v>417.92189999999999</v>
      </c>
      <c r="H408" s="914">
        <f>G408*F408</f>
        <v>1.7970641700000001</v>
      </c>
      <c r="I408" s="915"/>
      <c r="J408" s="916">
        <v>4.3E-3</v>
      </c>
      <c r="K408" s="947">
        <f>F390*(1+J434)</f>
        <v>418.43800000000005</v>
      </c>
      <c r="L408" s="914">
        <f>K408*J408</f>
        <v>1.7992834000000002</v>
      </c>
      <c r="M408" s="915"/>
      <c r="N408" s="918">
        <f t="shared" si="54"/>
        <v>2.2192300000001275E-3</v>
      </c>
      <c r="O408" s="919">
        <f t="shared" si="57"/>
        <v>1.2349197302176068E-3</v>
      </c>
      <c r="P408" s="706"/>
    </row>
    <row r="409" spans="1:16">
      <c r="A409" s="706"/>
      <c r="B409" s="948" t="s">
        <v>1128</v>
      </c>
      <c r="C409" s="915"/>
      <c r="D409" s="944" t="s">
        <v>1087</v>
      </c>
      <c r="E409" s="945"/>
      <c r="F409" s="916">
        <v>2.7000000000000001E-3</v>
      </c>
      <c r="G409" s="946">
        <f>G408</f>
        <v>417.92189999999999</v>
      </c>
      <c r="H409" s="914">
        <f>G409*F409</f>
        <v>1.12838913</v>
      </c>
      <c r="I409" s="915"/>
      <c r="J409" s="916">
        <v>2.5999999999999999E-3</v>
      </c>
      <c r="K409" s="947">
        <f>K408</f>
        <v>418.43800000000005</v>
      </c>
      <c r="L409" s="914">
        <f>K409*J409</f>
        <v>1.0879388000000001</v>
      </c>
      <c r="M409" s="915"/>
      <c r="N409" s="918">
        <f t="shared" si="54"/>
        <v>-4.0450329999999868E-2</v>
      </c>
      <c r="O409" s="919">
        <f t="shared" si="57"/>
        <v>-3.5847855074605223E-2</v>
      </c>
      <c r="P409" s="706"/>
    </row>
    <row r="410" spans="1:16">
      <c r="A410" s="706"/>
      <c r="B410" s="938" t="s">
        <v>1129</v>
      </c>
      <c r="C410" s="923"/>
      <c r="D410" s="923"/>
      <c r="E410" s="923"/>
      <c r="F410" s="949"/>
      <c r="G410" s="941"/>
      <c r="H410" s="942">
        <f>SUM(H407:H409)</f>
        <v>15.660053300000001</v>
      </c>
      <c r="I410" s="950"/>
      <c r="J410" s="951"/>
      <c r="K410" s="952"/>
      <c r="L410" s="942">
        <f>SUM(L407:L409)</f>
        <v>13.280822199999999</v>
      </c>
      <c r="M410" s="950"/>
      <c r="N410" s="931">
        <f t="shared" si="54"/>
        <v>-2.3792311000000019</v>
      </c>
      <c r="O410" s="932">
        <f t="shared" si="57"/>
        <v>-0.15192994905068438</v>
      </c>
      <c r="P410" s="706"/>
    </row>
    <row r="411" spans="1:16">
      <c r="A411" s="706"/>
      <c r="B411" s="953" t="s">
        <v>1130</v>
      </c>
      <c r="C411" s="909"/>
      <c r="D411" s="910" t="s">
        <v>1087</v>
      </c>
      <c r="E411" s="911"/>
      <c r="F411" s="956">
        <v>4.4000000000000003E-3</v>
      </c>
      <c r="G411" s="946">
        <f>F390*(1+F434)</f>
        <v>417.92189999999999</v>
      </c>
      <c r="H411" s="955">
        <f t="shared" ref="H411:H419" si="58">G411*F411</f>
        <v>1.8388563600000001</v>
      </c>
      <c r="I411" s="915"/>
      <c r="J411" s="956">
        <v>4.4000000000000003E-3</v>
      </c>
      <c r="K411" s="947">
        <f>F390*(1+J434)</f>
        <v>418.43800000000005</v>
      </c>
      <c r="L411" s="955">
        <f t="shared" ref="L411:L419" si="59">K411*J411</f>
        <v>1.8411272000000003</v>
      </c>
      <c r="M411" s="915"/>
      <c r="N411" s="918">
        <f t="shared" si="54"/>
        <v>2.2708400000002182E-3</v>
      </c>
      <c r="O411" s="957">
        <f t="shared" si="57"/>
        <v>1.2349197302176545E-3</v>
      </c>
      <c r="P411" s="706"/>
    </row>
    <row r="412" spans="1:16">
      <c r="A412" s="706"/>
      <c r="B412" s="953" t="s">
        <v>1131</v>
      </c>
      <c r="C412" s="909"/>
      <c r="D412" s="910" t="s">
        <v>1087</v>
      </c>
      <c r="E412" s="911"/>
      <c r="F412" s="956">
        <v>1.1999999999999999E-3</v>
      </c>
      <c r="G412" s="946">
        <f>F390*(1+F434)</f>
        <v>417.92189999999999</v>
      </c>
      <c r="H412" s="955">
        <f t="shared" si="58"/>
        <v>0.50150627999999997</v>
      </c>
      <c r="I412" s="915"/>
      <c r="J412" s="956">
        <v>1.1999999999999999E-3</v>
      </c>
      <c r="K412" s="947">
        <f>F390*(1+J434)</f>
        <v>418.43800000000005</v>
      </c>
      <c r="L412" s="955">
        <f t="shared" si="59"/>
        <v>0.50212560000000006</v>
      </c>
      <c r="M412" s="915"/>
      <c r="N412" s="918">
        <f t="shared" si="54"/>
        <v>6.193200000000898E-4</v>
      </c>
      <c r="O412" s="957">
        <f t="shared" si="57"/>
        <v>1.234919730217715E-3</v>
      </c>
      <c r="P412" s="706"/>
    </row>
    <row r="413" spans="1:16">
      <c r="A413" s="706"/>
      <c r="B413" s="909" t="s">
        <v>1132</v>
      </c>
      <c r="C413" s="909"/>
      <c r="D413" s="910" t="s">
        <v>1114</v>
      </c>
      <c r="E413" s="911"/>
      <c r="F413" s="954">
        <v>0.25</v>
      </c>
      <c r="G413" s="913">
        <v>1</v>
      </c>
      <c r="H413" s="955">
        <f t="shared" si="58"/>
        <v>0.25</v>
      </c>
      <c r="I413" s="915"/>
      <c r="J413" s="956">
        <v>0.25</v>
      </c>
      <c r="K413" s="917">
        <v>1</v>
      </c>
      <c r="L413" s="955">
        <f t="shared" si="59"/>
        <v>0.25</v>
      </c>
      <c r="M413" s="915"/>
      <c r="N413" s="918">
        <f t="shared" si="54"/>
        <v>0</v>
      </c>
      <c r="O413" s="957">
        <f t="shared" si="57"/>
        <v>0</v>
      </c>
      <c r="P413" s="706"/>
    </row>
    <row r="414" spans="1:16">
      <c r="A414" s="706"/>
      <c r="B414" s="909" t="s">
        <v>1133</v>
      </c>
      <c r="C414" s="909"/>
      <c r="D414" s="910" t="s">
        <v>1087</v>
      </c>
      <c r="E414" s="911"/>
      <c r="F414" s="954">
        <v>7.0000000000000001E-3</v>
      </c>
      <c r="G414" s="946">
        <f>F390</f>
        <v>397</v>
      </c>
      <c r="H414" s="955">
        <f t="shared" si="58"/>
        <v>2.7789999999999999</v>
      </c>
      <c r="I414" s="915"/>
      <c r="J414" s="956">
        <v>7.0000000000000001E-3</v>
      </c>
      <c r="K414" s="947">
        <f>F390</f>
        <v>397</v>
      </c>
      <c r="L414" s="955">
        <f t="shared" si="59"/>
        <v>2.7789999999999999</v>
      </c>
      <c r="M414" s="915"/>
      <c r="N414" s="918">
        <f t="shared" si="54"/>
        <v>0</v>
      </c>
      <c r="O414" s="957">
        <f t="shared" si="57"/>
        <v>0</v>
      </c>
      <c r="P414" s="706"/>
    </row>
    <row r="415" spans="1:16">
      <c r="A415" s="706"/>
      <c r="B415" s="934" t="s">
        <v>1134</v>
      </c>
      <c r="C415" s="909"/>
      <c r="D415" s="910" t="s">
        <v>1087</v>
      </c>
      <c r="E415" s="911"/>
      <c r="F415" s="958">
        <v>7.3999999999999996E-2</v>
      </c>
      <c r="G415" s="946">
        <f>IF($F$390&gt;=750,750,$F$390)</f>
        <v>397</v>
      </c>
      <c r="H415" s="955">
        <f>G415*F415</f>
        <v>29.378</v>
      </c>
      <c r="I415" s="915"/>
      <c r="J415" s="958">
        <v>7.3999999999999996E-2</v>
      </c>
      <c r="K415" s="946">
        <f>IF($F$390&gt;=750,750,$F$390)</f>
        <v>397</v>
      </c>
      <c r="L415" s="955">
        <f>K415*J415</f>
        <v>29.378</v>
      </c>
      <c r="M415" s="915"/>
      <c r="N415" s="918">
        <f t="shared" si="54"/>
        <v>0</v>
      </c>
      <c r="O415" s="957">
        <f t="shared" si="57"/>
        <v>0</v>
      </c>
      <c r="P415" s="706"/>
    </row>
    <row r="416" spans="1:16">
      <c r="A416" s="706"/>
      <c r="B416" s="934" t="s">
        <v>1135</v>
      </c>
      <c r="C416" s="909"/>
      <c r="D416" s="910" t="s">
        <v>1087</v>
      </c>
      <c r="E416" s="911"/>
      <c r="F416" s="958">
        <v>8.6999999999999994E-2</v>
      </c>
      <c r="G416" s="946">
        <f>IF($F$390&gt;=750,$F$390*(1+F434)-750,0)</f>
        <v>0</v>
      </c>
      <c r="H416" s="955">
        <f>G416*F416</f>
        <v>0</v>
      </c>
      <c r="I416" s="915"/>
      <c r="J416" s="958">
        <v>8.6999999999999994E-2</v>
      </c>
      <c r="K416" s="946">
        <f>IF($F$390&gt;=750,$F$390*(1+J434)-750,0)</f>
        <v>0</v>
      </c>
      <c r="L416" s="955">
        <f>K416*J416</f>
        <v>0</v>
      </c>
      <c r="M416" s="915"/>
      <c r="N416" s="918">
        <f t="shared" si="54"/>
        <v>0</v>
      </c>
      <c r="O416" s="957" t="str">
        <f t="shared" si="57"/>
        <v/>
      </c>
      <c r="P416" s="706"/>
    </row>
    <row r="417" spans="1:16">
      <c r="A417" s="706"/>
      <c r="B417" s="934" t="s">
        <v>1136</v>
      </c>
      <c r="C417" s="909"/>
      <c r="D417" s="910" t="s">
        <v>1087</v>
      </c>
      <c r="E417" s="911"/>
      <c r="F417" s="958">
        <v>6.3E-2</v>
      </c>
      <c r="G417" s="959">
        <f>0.64*$F$390*(1+F434)</f>
        <v>267.47001599999999</v>
      </c>
      <c r="H417" s="955">
        <f t="shared" si="58"/>
        <v>16.850611007999998</v>
      </c>
      <c r="I417" s="915"/>
      <c r="J417" s="958">
        <v>6.3E-2</v>
      </c>
      <c r="K417" s="959">
        <f>0.64*$F$390*(1+J434)</f>
        <v>267.80032</v>
      </c>
      <c r="L417" s="955">
        <f t="shared" si="59"/>
        <v>16.87142016</v>
      </c>
      <c r="M417" s="915"/>
      <c r="N417" s="918">
        <f t="shared" si="54"/>
        <v>2.0809152000001774E-2</v>
      </c>
      <c r="O417" s="957">
        <f t="shared" si="57"/>
        <v>1.2349197302176412E-3</v>
      </c>
      <c r="P417" s="706"/>
    </row>
    <row r="418" spans="1:16">
      <c r="A418" s="706"/>
      <c r="B418" s="934" t="s">
        <v>1137</v>
      </c>
      <c r="C418" s="909"/>
      <c r="D418" s="910" t="s">
        <v>1087</v>
      </c>
      <c r="E418" s="911"/>
      <c r="F418" s="958">
        <v>9.9000000000000005E-2</v>
      </c>
      <c r="G418" s="959">
        <f>0.18*$F$390*(1+F434)</f>
        <v>75.225941999999989</v>
      </c>
      <c r="H418" s="955">
        <f t="shared" si="58"/>
        <v>7.4473682579999991</v>
      </c>
      <c r="I418" s="915"/>
      <c r="J418" s="958">
        <v>9.9000000000000005E-2</v>
      </c>
      <c r="K418" s="959">
        <f>0.18*$F$390*(1+J434)</f>
        <v>75.318839999999994</v>
      </c>
      <c r="L418" s="955">
        <f t="shared" si="59"/>
        <v>7.4565651599999994</v>
      </c>
      <c r="M418" s="915"/>
      <c r="N418" s="918">
        <f t="shared" si="54"/>
        <v>9.1969020000002288E-3</v>
      </c>
      <c r="O418" s="957">
        <f t="shared" si="57"/>
        <v>1.2349197302175667E-3</v>
      </c>
      <c r="P418" s="706"/>
    </row>
    <row r="419" spans="1:16" ht="13.5" thickBot="1">
      <c r="A419" s="706"/>
      <c r="B419" s="900" t="s">
        <v>1138</v>
      </c>
      <c r="C419" s="909"/>
      <c r="D419" s="910" t="s">
        <v>1087</v>
      </c>
      <c r="E419" s="911"/>
      <c r="F419" s="958">
        <v>0.11799999999999999</v>
      </c>
      <c r="G419" s="959">
        <f>0.18*$F$390*(1+F434)</f>
        <v>75.225941999999989</v>
      </c>
      <c r="H419" s="955">
        <f t="shared" si="58"/>
        <v>8.8766611559999991</v>
      </c>
      <c r="I419" s="915"/>
      <c r="J419" s="958">
        <v>0.11799999999999999</v>
      </c>
      <c r="K419" s="959">
        <f>0.18*$F$390*(1+J434)</f>
        <v>75.318839999999994</v>
      </c>
      <c r="L419" s="955">
        <f t="shared" si="59"/>
        <v>8.8876231199999989</v>
      </c>
      <c r="M419" s="915"/>
      <c r="N419" s="918">
        <f t="shared" si="54"/>
        <v>1.0961963999999824E-2</v>
      </c>
      <c r="O419" s="957">
        <f t="shared" si="57"/>
        <v>1.2349197302175161E-3</v>
      </c>
      <c r="P419" s="706"/>
    </row>
    <row r="420" spans="1:16" ht="13.5" thickBot="1">
      <c r="A420" s="706"/>
      <c r="B420" s="960"/>
      <c r="C420" s="961"/>
      <c r="D420" s="962"/>
      <c r="E420" s="961"/>
      <c r="F420" s="963"/>
      <c r="G420" s="964"/>
      <c r="H420" s="965"/>
      <c r="I420" s="966"/>
      <c r="J420" s="963"/>
      <c r="K420" s="967"/>
      <c r="L420" s="965"/>
      <c r="M420" s="966"/>
      <c r="N420" s="968"/>
      <c r="O420" s="969"/>
      <c r="P420" s="706"/>
    </row>
    <row r="421" spans="1:16">
      <c r="A421" s="706"/>
      <c r="B421" s="970" t="s">
        <v>1139</v>
      </c>
      <c r="C421" s="909"/>
      <c r="D421" s="909"/>
      <c r="E421" s="909"/>
      <c r="F421" s="971"/>
      <c r="G421" s="972"/>
      <c r="H421" s="973">
        <f>SUM(H410:H416)</f>
        <v>50.407415940000007</v>
      </c>
      <c r="I421" s="974"/>
      <c r="J421" s="975"/>
      <c r="K421" s="975"/>
      <c r="L421" s="976">
        <f>SUM(L410:L416)</f>
        <v>48.031075000000001</v>
      </c>
      <c r="M421" s="977"/>
      <c r="N421" s="978">
        <f t="shared" si="54"/>
        <v>-2.3763409400000057</v>
      </c>
      <c r="O421" s="979">
        <f t="shared" si="57"/>
        <v>-4.7142685172129564E-2</v>
      </c>
      <c r="P421" s="706"/>
    </row>
    <row r="422" spans="1:16">
      <c r="A422" s="706"/>
      <c r="B422" s="980" t="s">
        <v>1140</v>
      </c>
      <c r="C422" s="909"/>
      <c r="D422" s="909"/>
      <c r="E422" s="909"/>
      <c r="F422" s="981">
        <v>0.13</v>
      </c>
      <c r="G422" s="972"/>
      <c r="H422" s="982">
        <f>H421*F422</f>
        <v>6.5529640722000009</v>
      </c>
      <c r="I422" s="983"/>
      <c r="J422" s="984">
        <v>0.13</v>
      </c>
      <c r="K422" s="985"/>
      <c r="L422" s="986">
        <f>L421*J422</f>
        <v>6.2440397500000007</v>
      </c>
      <c r="M422" s="987"/>
      <c r="N422" s="988">
        <f t="shared" si="54"/>
        <v>-0.30892432220000021</v>
      </c>
      <c r="O422" s="989">
        <f t="shared" si="57"/>
        <v>-4.7142685172129481E-2</v>
      </c>
      <c r="P422" s="706"/>
    </row>
    <row r="423" spans="1:16">
      <c r="A423" s="706"/>
      <c r="B423" s="990" t="s">
        <v>1141</v>
      </c>
      <c r="C423" s="909"/>
      <c r="D423" s="909"/>
      <c r="E423" s="909"/>
      <c r="F423" s="991"/>
      <c r="G423" s="992"/>
      <c r="H423" s="982">
        <f>H421+H422</f>
        <v>56.960380012200005</v>
      </c>
      <c r="I423" s="983"/>
      <c r="J423" s="983"/>
      <c r="K423" s="983"/>
      <c r="L423" s="986">
        <f>L421+L422</f>
        <v>54.27511475</v>
      </c>
      <c r="M423" s="987"/>
      <c r="N423" s="988">
        <f t="shared" si="54"/>
        <v>-2.6852652622000051</v>
      </c>
      <c r="O423" s="989">
        <f t="shared" si="57"/>
        <v>-4.7142685172129543E-2</v>
      </c>
      <c r="P423" s="706"/>
    </row>
    <row r="424" spans="1:16" ht="12.75" customHeight="1">
      <c r="A424" s="706"/>
      <c r="B424" s="1491" t="s">
        <v>1142</v>
      </c>
      <c r="C424" s="1491"/>
      <c r="D424" s="1491"/>
      <c r="E424" s="909"/>
      <c r="F424" s="991"/>
      <c r="G424" s="992"/>
      <c r="H424" s="993">
        <f>ROUND(-H423*10%,2)</f>
        <v>-5.7</v>
      </c>
      <c r="I424" s="983"/>
      <c r="J424" s="983"/>
      <c r="K424" s="983"/>
      <c r="L424" s="994">
        <f>ROUND(-L423*10%,2)</f>
        <v>-5.43</v>
      </c>
      <c r="M424" s="987"/>
      <c r="N424" s="995">
        <f t="shared" si="54"/>
        <v>0.27000000000000046</v>
      </c>
      <c r="O424" s="996">
        <f t="shared" si="57"/>
        <v>-4.7368421052631657E-2</v>
      </c>
      <c r="P424" s="706"/>
    </row>
    <row r="425" spans="1:16" ht="13.5" customHeight="1" thickBot="1">
      <c r="A425" s="706"/>
      <c r="B425" s="1484" t="s">
        <v>1143</v>
      </c>
      <c r="C425" s="1484"/>
      <c r="D425" s="1484"/>
      <c r="E425" s="997"/>
      <c r="F425" s="998"/>
      <c r="G425" s="999"/>
      <c r="H425" s="1000">
        <f>SUM(H423:H424)</f>
        <v>51.260380012200002</v>
      </c>
      <c r="I425" s="1001"/>
      <c r="J425" s="1001"/>
      <c r="K425" s="1001"/>
      <c r="L425" s="1002">
        <f>SUM(L423:L424)</f>
        <v>48.84511475</v>
      </c>
      <c r="M425" s="1003"/>
      <c r="N425" s="1004">
        <f t="shared" si="54"/>
        <v>-2.4152652622000019</v>
      </c>
      <c r="O425" s="1005">
        <f t="shared" si="57"/>
        <v>-4.711758402152242E-2</v>
      </c>
      <c r="P425" s="706"/>
    </row>
    <row r="426" spans="1:16" ht="13.5" thickBot="1">
      <c r="A426" s="706"/>
      <c r="B426" s="960"/>
      <c r="C426" s="961"/>
      <c r="D426" s="962"/>
      <c r="E426" s="961"/>
      <c r="F426" s="1006"/>
      <c r="G426" s="1007"/>
      <c r="H426" s="1008"/>
      <c r="I426" s="1009"/>
      <c r="J426" s="1006"/>
      <c r="K426" s="964"/>
      <c r="L426" s="1010"/>
      <c r="M426" s="966"/>
      <c r="N426" s="1011"/>
      <c r="O426" s="969"/>
      <c r="P426" s="706"/>
    </row>
    <row r="427" spans="1:16">
      <c r="A427" s="706"/>
      <c r="B427" s="970" t="s">
        <v>1144</v>
      </c>
      <c r="C427" s="909"/>
      <c r="D427" s="909"/>
      <c r="E427" s="909"/>
      <c r="F427" s="971"/>
      <c r="G427" s="972"/>
      <c r="H427" s="973">
        <f>SUM(H410:H414,H417:H419)</f>
        <v>54.204056361999996</v>
      </c>
      <c r="I427" s="974"/>
      <c r="J427" s="975"/>
      <c r="K427" s="975"/>
      <c r="L427" s="1012">
        <f>SUM(L410:L414,L417:L419)</f>
        <v>51.868683439999998</v>
      </c>
      <c r="M427" s="977"/>
      <c r="N427" s="978">
        <f>L427-H427</f>
        <v>-2.3353729219999977</v>
      </c>
      <c r="O427" s="979">
        <f>IF((H427)=0,"",(N427/H427))</f>
        <v>-4.308483679529973E-2</v>
      </c>
      <c r="P427" s="706"/>
    </row>
    <row r="428" spans="1:16">
      <c r="A428" s="706"/>
      <c r="B428" s="980" t="s">
        <v>1140</v>
      </c>
      <c r="C428" s="909"/>
      <c r="D428" s="909"/>
      <c r="E428" s="909"/>
      <c r="F428" s="981">
        <v>0.13</v>
      </c>
      <c r="G428" s="992"/>
      <c r="H428" s="982">
        <f>H427*F428</f>
        <v>7.0465273270599997</v>
      </c>
      <c r="I428" s="983"/>
      <c r="J428" s="1013">
        <v>0.13</v>
      </c>
      <c r="K428" s="983"/>
      <c r="L428" s="986">
        <f>L427*J428</f>
        <v>6.7429288472</v>
      </c>
      <c r="M428" s="987"/>
      <c r="N428" s="988">
        <f t="shared" si="54"/>
        <v>-0.30359847985999977</v>
      </c>
      <c r="O428" s="989">
        <f t="shared" si="57"/>
        <v>-4.3084836795299737E-2</v>
      </c>
      <c r="P428" s="706"/>
    </row>
    <row r="429" spans="1:16">
      <c r="A429" s="706"/>
      <c r="B429" s="990" t="s">
        <v>1141</v>
      </c>
      <c r="C429" s="909"/>
      <c r="D429" s="909"/>
      <c r="E429" s="909"/>
      <c r="F429" s="991"/>
      <c r="G429" s="992"/>
      <c r="H429" s="982">
        <f>H427+H428</f>
        <v>61.250583689059994</v>
      </c>
      <c r="I429" s="983"/>
      <c r="J429" s="983"/>
      <c r="K429" s="983"/>
      <c r="L429" s="986">
        <f>L427+L428</f>
        <v>58.611612287199996</v>
      </c>
      <c r="M429" s="987"/>
      <c r="N429" s="988">
        <f t="shared" si="54"/>
        <v>-2.6389714018599975</v>
      </c>
      <c r="O429" s="989">
        <f t="shared" si="57"/>
        <v>-4.308483679529973E-2</v>
      </c>
      <c r="P429" s="706"/>
    </row>
    <row r="430" spans="1:16" ht="12.75" customHeight="1">
      <c r="A430" s="706"/>
      <c r="B430" s="1491" t="s">
        <v>1142</v>
      </c>
      <c r="C430" s="1491"/>
      <c r="D430" s="1491"/>
      <c r="E430" s="909"/>
      <c r="F430" s="991"/>
      <c r="G430" s="992"/>
      <c r="H430" s="993">
        <f>ROUND(-H429*10%,2)</f>
        <v>-6.13</v>
      </c>
      <c r="I430" s="983"/>
      <c r="J430" s="983"/>
      <c r="K430" s="983"/>
      <c r="L430" s="994">
        <f>ROUND(-L429*10%,2)</f>
        <v>-5.86</v>
      </c>
      <c r="M430" s="987"/>
      <c r="N430" s="995">
        <f t="shared" si="54"/>
        <v>0.26999999999999957</v>
      </c>
      <c r="O430" s="996">
        <f t="shared" si="57"/>
        <v>-4.4045676998368609E-2</v>
      </c>
      <c r="P430" s="706"/>
    </row>
    <row r="431" spans="1:16" ht="13.5" customHeight="1" thickBot="1">
      <c r="A431" s="706"/>
      <c r="B431" s="1484" t="s">
        <v>1145</v>
      </c>
      <c r="C431" s="1484"/>
      <c r="D431" s="1484"/>
      <c r="E431" s="997"/>
      <c r="F431" s="1014"/>
      <c r="G431" s="1015"/>
      <c r="H431" s="1016">
        <f>H429+H430</f>
        <v>55.120583689059991</v>
      </c>
      <c r="I431" s="1017"/>
      <c r="J431" s="1017"/>
      <c r="K431" s="1017"/>
      <c r="L431" s="1018">
        <f>L429+L430</f>
        <v>52.751612287199997</v>
      </c>
      <c r="M431" s="1019"/>
      <c r="N431" s="1020">
        <f t="shared" si="54"/>
        <v>-2.3689714018599943</v>
      </c>
      <c r="O431" s="1021">
        <f t="shared" si="57"/>
        <v>-4.2977981061005595E-2</v>
      </c>
      <c r="P431" s="706"/>
    </row>
    <row r="432" spans="1:16" ht="13.5" thickBot="1">
      <c r="A432" s="706"/>
      <c r="B432" s="960"/>
      <c r="C432" s="961"/>
      <c r="D432" s="962"/>
      <c r="E432" s="961"/>
      <c r="F432" s="1006"/>
      <c r="G432" s="1007"/>
      <c r="H432" s="1008"/>
      <c r="I432" s="1009"/>
      <c r="J432" s="1006"/>
      <c r="K432" s="964"/>
      <c r="L432" s="1010"/>
      <c r="M432" s="966"/>
      <c r="N432" s="1011"/>
      <c r="O432" s="969"/>
      <c r="P432" s="706"/>
    </row>
    <row r="433" spans="1:16">
      <c r="A433" s="706"/>
      <c r="B433" s="706"/>
      <c r="C433" s="706"/>
      <c r="D433" s="706"/>
      <c r="E433" s="706"/>
      <c r="F433" s="706"/>
      <c r="G433" s="706"/>
      <c r="H433" s="706"/>
      <c r="I433" s="706"/>
      <c r="J433" s="706"/>
      <c r="K433" s="706"/>
      <c r="L433" s="1022"/>
      <c r="M433" s="706"/>
      <c r="N433" s="706"/>
      <c r="O433" s="706"/>
      <c r="P433" s="706"/>
    </row>
    <row r="434" spans="1:16">
      <c r="A434" s="706"/>
      <c r="B434" s="711" t="s">
        <v>1146</v>
      </c>
      <c r="C434" s="706"/>
      <c r="D434" s="706"/>
      <c r="E434" s="706"/>
      <c r="F434" s="1023">
        <v>5.2699999999999969E-2</v>
      </c>
      <c r="G434" s="706"/>
      <c r="H434" s="706"/>
      <c r="I434" s="706"/>
      <c r="J434" s="1023">
        <v>5.3999999999999999E-2</v>
      </c>
      <c r="K434" s="706"/>
      <c r="L434" s="706"/>
      <c r="M434" s="706"/>
      <c r="N434" s="706"/>
      <c r="O434" s="706"/>
      <c r="P434" s="706"/>
    </row>
    <row r="435" spans="1:16">
      <c r="A435" s="706"/>
      <c r="B435" s="706"/>
      <c r="C435" s="706"/>
      <c r="D435" s="706"/>
      <c r="E435" s="706"/>
      <c r="F435" s="706"/>
      <c r="G435" s="706"/>
      <c r="H435" s="706"/>
      <c r="I435" s="706"/>
      <c r="J435" s="706"/>
      <c r="K435" s="706"/>
      <c r="L435" s="706"/>
      <c r="M435" s="706"/>
      <c r="N435" s="706"/>
      <c r="O435" s="706"/>
      <c r="P435" s="706"/>
    </row>
    <row r="436" spans="1:16" ht="14.25">
      <c r="A436" s="1024" t="s">
        <v>1147</v>
      </c>
      <c r="B436" s="706"/>
      <c r="C436" s="706"/>
      <c r="D436" s="706"/>
      <c r="E436" s="706"/>
      <c r="F436" s="706"/>
      <c r="G436" s="706"/>
      <c r="H436" s="706"/>
      <c r="I436" s="706"/>
      <c r="J436" s="706"/>
      <c r="K436" s="706"/>
      <c r="L436" s="706"/>
      <c r="M436" s="706"/>
      <c r="N436" s="706"/>
      <c r="O436" s="706"/>
      <c r="P436" s="706"/>
    </row>
    <row r="437" spans="1:16">
      <c r="A437" s="706"/>
      <c r="B437" s="706"/>
      <c r="C437" s="706"/>
      <c r="D437" s="706"/>
      <c r="E437" s="706"/>
      <c r="F437" s="706"/>
      <c r="G437" s="706"/>
      <c r="H437" s="706"/>
      <c r="I437" s="706"/>
      <c r="J437" s="706"/>
      <c r="K437" s="706"/>
      <c r="L437" s="706"/>
      <c r="M437" s="706"/>
      <c r="N437" s="706"/>
      <c r="O437" s="706"/>
      <c r="P437" s="706"/>
    </row>
    <row r="438" spans="1:16">
      <c r="A438" s="706" t="s">
        <v>1148</v>
      </c>
      <c r="B438" s="706"/>
      <c r="C438" s="706"/>
      <c r="D438" s="706"/>
      <c r="E438" s="706"/>
      <c r="F438" s="706"/>
      <c r="G438" s="706"/>
      <c r="H438" s="706"/>
      <c r="I438" s="706"/>
      <c r="J438" s="706"/>
      <c r="K438" s="706"/>
      <c r="L438" s="706"/>
      <c r="M438" s="706"/>
      <c r="N438" s="706"/>
      <c r="O438" s="706"/>
      <c r="P438" s="706"/>
    </row>
    <row r="439" spans="1:16">
      <c r="A439" s="706" t="s">
        <v>1149</v>
      </c>
      <c r="B439" s="706"/>
      <c r="C439" s="706"/>
      <c r="D439" s="706"/>
      <c r="E439" s="706"/>
      <c r="F439" s="706"/>
      <c r="G439" s="706"/>
      <c r="H439" s="706"/>
      <c r="I439" s="706"/>
      <c r="J439" s="706"/>
      <c r="K439" s="706"/>
      <c r="L439" s="706"/>
      <c r="M439" s="706"/>
      <c r="N439" s="706"/>
      <c r="O439" s="706"/>
      <c r="P439" s="706"/>
    </row>
    <row r="440" spans="1:16">
      <c r="A440" s="706"/>
      <c r="B440" s="706"/>
      <c r="C440" s="706"/>
      <c r="D440" s="706"/>
      <c r="E440" s="706"/>
      <c r="F440" s="706"/>
      <c r="G440" s="706"/>
      <c r="H440" s="706"/>
      <c r="I440" s="706"/>
      <c r="J440" s="706"/>
      <c r="K440" s="706"/>
      <c r="L440" s="706"/>
      <c r="M440" s="706"/>
      <c r="N440" s="706"/>
      <c r="O440" s="706"/>
      <c r="P440" s="706"/>
    </row>
    <row r="441" spans="1:16">
      <c r="A441" s="706" t="s">
        <v>1150</v>
      </c>
      <c r="B441" s="706"/>
      <c r="C441" s="706"/>
      <c r="D441" s="706"/>
      <c r="E441" s="706"/>
      <c r="F441" s="706"/>
      <c r="G441" s="706"/>
      <c r="H441" s="706"/>
      <c r="I441" s="706"/>
      <c r="J441" s="706"/>
      <c r="K441" s="706"/>
      <c r="L441" s="706"/>
      <c r="M441" s="706"/>
      <c r="N441" s="706"/>
      <c r="O441" s="706"/>
      <c r="P441" s="706"/>
    </row>
    <row r="442" spans="1:16">
      <c r="A442" s="706" t="s">
        <v>1151</v>
      </c>
      <c r="B442" s="706"/>
      <c r="C442" s="706"/>
      <c r="D442" s="706"/>
      <c r="E442" s="706"/>
      <c r="F442" s="706"/>
      <c r="G442" s="706"/>
      <c r="H442" s="706"/>
      <c r="I442" s="706"/>
      <c r="J442" s="706"/>
      <c r="K442" s="706"/>
      <c r="L442" s="706"/>
      <c r="M442" s="706"/>
      <c r="N442" s="706"/>
      <c r="O442" s="706"/>
      <c r="P442" s="706"/>
    </row>
    <row r="443" spans="1:16">
      <c r="A443" s="706"/>
      <c r="B443" s="706"/>
      <c r="C443" s="706"/>
      <c r="D443" s="706"/>
      <c r="E443" s="706"/>
      <c r="F443" s="706"/>
      <c r="G443" s="706"/>
      <c r="H443" s="706"/>
      <c r="I443" s="706"/>
      <c r="J443" s="706"/>
      <c r="K443" s="706"/>
      <c r="L443" s="706"/>
      <c r="M443" s="706"/>
      <c r="N443" s="706"/>
      <c r="O443" s="706"/>
      <c r="P443" s="706"/>
    </row>
    <row r="444" spans="1:16">
      <c r="A444" s="706" t="s">
        <v>1152</v>
      </c>
      <c r="B444" s="706"/>
      <c r="C444" s="706"/>
      <c r="D444" s="706"/>
      <c r="E444" s="706"/>
      <c r="F444" s="706"/>
      <c r="G444" s="706"/>
      <c r="H444" s="706"/>
      <c r="I444" s="706"/>
      <c r="J444" s="706"/>
      <c r="K444" s="706"/>
      <c r="L444" s="706"/>
      <c r="M444" s="706"/>
      <c r="N444" s="706"/>
      <c r="O444" s="706"/>
      <c r="P444" s="706"/>
    </row>
    <row r="445" spans="1:16">
      <c r="A445" s="706" t="s">
        <v>1153</v>
      </c>
      <c r="B445" s="706"/>
      <c r="C445" s="706"/>
      <c r="D445" s="706"/>
      <c r="E445" s="706"/>
      <c r="F445" s="706"/>
      <c r="G445" s="706"/>
      <c r="H445" s="706"/>
      <c r="I445" s="706"/>
      <c r="J445" s="706"/>
      <c r="K445" s="706"/>
      <c r="L445" s="706"/>
      <c r="M445" s="706"/>
      <c r="N445" s="706"/>
      <c r="O445" s="706"/>
      <c r="P445" s="706"/>
    </row>
    <row r="446" spans="1:16">
      <c r="A446" s="706" t="s">
        <v>1154</v>
      </c>
      <c r="B446" s="706"/>
      <c r="C446" s="706"/>
      <c r="D446" s="706"/>
      <c r="E446" s="706"/>
      <c r="F446" s="706"/>
      <c r="G446" s="706"/>
      <c r="H446" s="706"/>
      <c r="I446" s="706"/>
      <c r="J446" s="706"/>
      <c r="K446" s="706"/>
      <c r="L446" s="706"/>
      <c r="M446" s="706"/>
      <c r="N446" s="706"/>
      <c r="O446" s="706"/>
      <c r="P446" s="706"/>
    </row>
    <row r="447" spans="1:16">
      <c r="A447" s="706" t="s">
        <v>1155</v>
      </c>
      <c r="B447" s="706"/>
      <c r="C447" s="706"/>
      <c r="D447" s="706"/>
      <c r="E447" s="706"/>
      <c r="F447" s="706"/>
      <c r="G447" s="706"/>
      <c r="H447" s="706"/>
      <c r="I447" s="706"/>
      <c r="J447" s="706"/>
      <c r="K447" s="706"/>
      <c r="L447" s="706"/>
      <c r="M447" s="706"/>
      <c r="N447" s="706"/>
      <c r="O447" s="706"/>
      <c r="P447" s="706"/>
    </row>
    <row r="448" spans="1:16">
      <c r="A448" s="706" t="s">
        <v>1156</v>
      </c>
      <c r="B448" s="706"/>
      <c r="C448" s="706"/>
      <c r="D448" s="706"/>
      <c r="E448" s="706"/>
      <c r="F448" s="706"/>
      <c r="G448" s="706"/>
      <c r="H448" s="706"/>
      <c r="I448" s="706"/>
      <c r="J448" s="706"/>
      <c r="K448" s="706"/>
      <c r="L448" s="706"/>
      <c r="M448" s="706"/>
      <c r="N448" s="706"/>
      <c r="O448" s="706"/>
      <c r="P448" s="706"/>
    </row>
    <row r="450" spans="1:16" ht="21.75">
      <c r="A450" s="892"/>
      <c r="B450" s="892"/>
      <c r="C450" s="892"/>
      <c r="D450" s="892"/>
      <c r="E450" s="892"/>
      <c r="F450" s="892"/>
      <c r="G450" s="892"/>
      <c r="H450" s="892"/>
      <c r="I450" s="892"/>
      <c r="J450" s="892"/>
      <c r="K450" s="892"/>
      <c r="L450" s="893"/>
      <c r="M450" s="893"/>
      <c r="N450" s="31" t="s">
        <v>131</v>
      </c>
      <c r="O450" s="32" t="s">
        <v>20</v>
      </c>
    </row>
    <row r="451" spans="1:16" ht="18">
      <c r="A451" s="894"/>
      <c r="B451" s="894"/>
      <c r="C451" s="894"/>
      <c r="D451" s="894"/>
      <c r="E451" s="894"/>
      <c r="F451" s="894"/>
      <c r="G451" s="894"/>
      <c r="H451" s="894"/>
      <c r="I451" s="894"/>
      <c r="J451" s="894"/>
      <c r="K451" s="894"/>
      <c r="L451" s="893"/>
      <c r="M451" s="893"/>
      <c r="N451" s="31" t="s">
        <v>132</v>
      </c>
      <c r="O451" s="33"/>
    </row>
    <row r="452" spans="1:16" ht="18">
      <c r="A452" s="1492"/>
      <c r="B452" s="1492"/>
      <c r="C452" s="1492"/>
      <c r="D452" s="1492"/>
      <c r="E452" s="1492"/>
      <c r="F452" s="1492"/>
      <c r="G452" s="1492"/>
      <c r="H452" s="1492"/>
      <c r="I452" s="1492"/>
      <c r="J452" s="1492"/>
      <c r="K452" s="1492"/>
      <c r="L452" s="893"/>
      <c r="M452" s="893"/>
      <c r="N452" s="31" t="s">
        <v>133</v>
      </c>
      <c r="O452" s="33"/>
    </row>
    <row r="453" spans="1:16" ht="18">
      <c r="A453" s="894"/>
      <c r="B453" s="894"/>
      <c r="C453" s="894"/>
      <c r="D453" s="894"/>
      <c r="E453" s="894"/>
      <c r="F453" s="894"/>
      <c r="G453" s="894"/>
      <c r="H453" s="894"/>
      <c r="I453" s="895"/>
      <c r="J453" s="895"/>
      <c r="K453" s="895"/>
      <c r="L453" s="893"/>
      <c r="M453" s="893"/>
      <c r="N453" s="31" t="s">
        <v>134</v>
      </c>
      <c r="O453" s="33"/>
    </row>
    <row r="454" spans="1:16" ht="15.75">
      <c r="A454" s="893"/>
      <c r="B454" s="893"/>
      <c r="C454" s="896"/>
      <c r="D454" s="896"/>
      <c r="E454" s="896"/>
      <c r="F454" s="893"/>
      <c r="G454" s="893"/>
      <c r="H454" s="893"/>
      <c r="I454" s="893"/>
      <c r="J454" s="893"/>
      <c r="K454" s="893"/>
      <c r="L454" s="893"/>
      <c r="M454" s="893"/>
      <c r="N454" s="31" t="s">
        <v>439</v>
      </c>
      <c r="O454" s="34" t="s">
        <v>1164</v>
      </c>
    </row>
    <row r="455" spans="1:16">
      <c r="A455" s="893"/>
      <c r="B455" s="893"/>
      <c r="C455" s="893"/>
      <c r="D455" s="893"/>
      <c r="E455" s="893"/>
      <c r="F455" s="893"/>
      <c r="G455" s="893"/>
      <c r="H455" s="893"/>
      <c r="I455" s="893"/>
      <c r="J455" s="893"/>
      <c r="K455" s="893"/>
      <c r="L455" s="893"/>
      <c r="M455" s="893"/>
      <c r="N455" s="31"/>
      <c r="O455" s="32"/>
    </row>
    <row r="456" spans="1:16">
      <c r="A456" s="893"/>
      <c r="B456" s="893"/>
      <c r="C456" s="893"/>
      <c r="D456" s="893"/>
      <c r="E456" s="893"/>
      <c r="F456" s="893"/>
      <c r="G456" s="893"/>
      <c r="H456" s="893"/>
      <c r="I456" s="893"/>
      <c r="J456" s="893"/>
      <c r="K456" s="893"/>
      <c r="L456" s="893"/>
      <c r="M456" s="893"/>
      <c r="N456" s="31" t="s">
        <v>136</v>
      </c>
      <c r="O456" s="35" t="s">
        <v>1171</v>
      </c>
    </row>
    <row r="457" spans="1:16">
      <c r="A457" s="893"/>
      <c r="B457" s="893"/>
      <c r="C457" s="893"/>
      <c r="D457" s="893"/>
      <c r="E457" s="893"/>
      <c r="F457" s="893"/>
      <c r="G457" s="893"/>
      <c r="H457" s="893"/>
      <c r="I457" s="893"/>
      <c r="J457" s="893"/>
      <c r="K457" s="893"/>
      <c r="L457" s="893"/>
      <c r="M457" s="893"/>
      <c r="N457" s="706"/>
    </row>
    <row r="458" spans="1:16">
      <c r="A458" s="706"/>
      <c r="B458" s="706"/>
      <c r="C458" s="706"/>
      <c r="D458" s="706"/>
      <c r="E458" s="706"/>
      <c r="F458" s="706"/>
      <c r="G458" s="706"/>
      <c r="H458" s="706"/>
      <c r="I458" s="706"/>
      <c r="J458" s="706"/>
      <c r="K458" s="706"/>
    </row>
    <row r="459" spans="1:16" ht="18">
      <c r="A459" s="706"/>
      <c r="B459" s="1493" t="s">
        <v>1100</v>
      </c>
      <c r="C459" s="1493"/>
      <c r="D459" s="1493"/>
      <c r="E459" s="1493"/>
      <c r="F459" s="1493"/>
      <c r="G459" s="1493"/>
      <c r="H459" s="1493"/>
      <c r="I459" s="1493"/>
      <c r="J459" s="1493"/>
      <c r="K459" s="1493"/>
      <c r="L459" s="1493"/>
      <c r="M459" s="1493"/>
      <c r="N459" s="1493"/>
      <c r="O459" s="1493"/>
    </row>
    <row r="460" spans="1:16" ht="18">
      <c r="A460" s="706"/>
      <c r="B460" s="1493" t="s">
        <v>1101</v>
      </c>
      <c r="C460" s="1493"/>
      <c r="D460" s="1493"/>
      <c r="E460" s="1493"/>
      <c r="F460" s="1493"/>
      <c r="G460" s="1493"/>
      <c r="H460" s="1493"/>
      <c r="I460" s="1493"/>
      <c r="J460" s="1493"/>
      <c r="K460" s="1493"/>
      <c r="L460" s="1493"/>
      <c r="M460" s="1493"/>
      <c r="N460" s="1493"/>
      <c r="O460" s="1493"/>
    </row>
    <row r="461" spans="1:16">
      <c r="A461" s="706"/>
      <c r="B461" s="706"/>
      <c r="C461" s="706"/>
      <c r="D461" s="706"/>
      <c r="E461" s="706"/>
      <c r="F461" s="706"/>
      <c r="G461" s="706"/>
      <c r="H461" s="706"/>
      <c r="I461" s="706"/>
      <c r="J461" s="706"/>
      <c r="K461" s="706"/>
    </row>
    <row r="462" spans="1:16">
      <c r="A462" s="706"/>
      <c r="B462" s="706"/>
      <c r="C462" s="706"/>
      <c r="D462" s="706"/>
      <c r="E462" s="706"/>
      <c r="F462" s="706"/>
      <c r="G462" s="706"/>
      <c r="H462" s="706"/>
      <c r="I462" s="706"/>
      <c r="J462" s="706"/>
      <c r="K462" s="706"/>
    </row>
    <row r="463" spans="1:16" ht="15.75">
      <c r="A463" s="706"/>
      <c r="B463" s="897" t="s">
        <v>1102</v>
      </c>
      <c r="C463" s="706"/>
      <c r="D463" s="1494" t="s">
        <v>483</v>
      </c>
      <c r="E463" s="1494"/>
      <c r="F463" s="1494"/>
      <c r="G463" s="1494"/>
      <c r="H463" s="1494"/>
      <c r="I463" s="1494"/>
      <c r="J463" s="1494"/>
      <c r="K463" s="1494"/>
      <c r="L463" s="1494"/>
      <c r="M463" s="1494"/>
      <c r="N463" s="1494"/>
      <c r="O463" s="1494"/>
      <c r="P463" s="706"/>
    </row>
    <row r="464" spans="1:16" ht="15.75">
      <c r="A464" s="706"/>
      <c r="B464" s="898"/>
      <c r="C464" s="706"/>
      <c r="D464" s="899"/>
      <c r="E464" s="899"/>
      <c r="F464" s="899"/>
      <c r="G464" s="899"/>
      <c r="H464" s="899"/>
      <c r="I464" s="899"/>
      <c r="J464" s="899"/>
      <c r="K464" s="899"/>
      <c r="L464" s="899"/>
      <c r="M464" s="899"/>
      <c r="N464" s="899"/>
      <c r="O464" s="899"/>
      <c r="P464" s="706"/>
    </row>
    <row r="465" spans="1:16">
      <c r="A465" s="706"/>
      <c r="B465" s="900"/>
      <c r="C465" s="706"/>
      <c r="D465" s="711" t="s">
        <v>1103</v>
      </c>
      <c r="E465" s="711"/>
      <c r="F465" s="901">
        <v>72.000000000000014</v>
      </c>
      <c r="G465" s="711" t="s">
        <v>1104</v>
      </c>
      <c r="H465" s="706"/>
      <c r="I465" s="706"/>
      <c r="J465" s="706"/>
      <c r="K465" s="706"/>
      <c r="L465" s="706"/>
      <c r="M465" s="706"/>
      <c r="N465" s="706"/>
      <c r="O465" s="706"/>
      <c r="P465" s="706"/>
    </row>
    <row r="466" spans="1:16">
      <c r="A466" s="706"/>
      <c r="B466" s="900"/>
      <c r="C466" s="706"/>
      <c r="D466" s="706"/>
      <c r="E466" s="706"/>
      <c r="F466" s="706"/>
      <c r="G466" s="706"/>
      <c r="H466" s="706"/>
      <c r="I466" s="706"/>
      <c r="J466" s="706"/>
      <c r="K466" s="706"/>
      <c r="L466" s="706"/>
      <c r="M466" s="706"/>
      <c r="N466" s="706"/>
      <c r="O466" s="706"/>
      <c r="P466" s="706"/>
    </row>
    <row r="467" spans="1:16">
      <c r="A467" s="706"/>
      <c r="B467" s="900"/>
      <c r="C467" s="706"/>
      <c r="D467" s="902"/>
      <c r="E467" s="902"/>
      <c r="F467" s="1495" t="s">
        <v>1105</v>
      </c>
      <c r="G467" s="1496"/>
      <c r="H467" s="1497"/>
      <c r="I467" s="706"/>
      <c r="J467" s="1495" t="s">
        <v>1106</v>
      </c>
      <c r="K467" s="1496"/>
      <c r="L467" s="1497"/>
      <c r="M467" s="706"/>
      <c r="N467" s="1495" t="s">
        <v>1107</v>
      </c>
      <c r="O467" s="1497"/>
      <c r="P467" s="706"/>
    </row>
    <row r="468" spans="1:16" ht="12.75" customHeight="1">
      <c r="A468" s="706"/>
      <c r="B468" s="900"/>
      <c r="C468" s="706"/>
      <c r="D468" s="1485" t="s">
        <v>1108</v>
      </c>
      <c r="E468" s="903"/>
      <c r="F468" s="904" t="s">
        <v>1109</v>
      </c>
      <c r="G468" s="904" t="s">
        <v>1110</v>
      </c>
      <c r="H468" s="905" t="s">
        <v>1111</v>
      </c>
      <c r="I468" s="706"/>
      <c r="J468" s="904" t="s">
        <v>1109</v>
      </c>
      <c r="K468" s="906" t="s">
        <v>1110</v>
      </c>
      <c r="L468" s="905" t="s">
        <v>1111</v>
      </c>
      <c r="M468" s="706"/>
      <c r="N468" s="1487" t="s">
        <v>1112</v>
      </c>
      <c r="O468" s="1489" t="s">
        <v>1113</v>
      </c>
      <c r="P468" s="706"/>
    </row>
    <row r="469" spans="1:16">
      <c r="A469" s="706"/>
      <c r="B469" s="900"/>
      <c r="C469" s="706"/>
      <c r="D469" s="1486"/>
      <c r="E469" s="903"/>
      <c r="F469" s="907" t="s">
        <v>831</v>
      </c>
      <c r="G469" s="907"/>
      <c r="H469" s="908" t="s">
        <v>831</v>
      </c>
      <c r="I469" s="706"/>
      <c r="J469" s="907" t="s">
        <v>831</v>
      </c>
      <c r="K469" s="908"/>
      <c r="L469" s="908" t="s">
        <v>831</v>
      </c>
      <c r="M469" s="706"/>
      <c r="N469" s="1488"/>
      <c r="O469" s="1490"/>
      <c r="P469" s="706"/>
    </row>
    <row r="470" spans="1:16">
      <c r="A470" s="706"/>
      <c r="B470" s="909" t="s">
        <v>1089</v>
      </c>
      <c r="C470" s="909"/>
      <c r="D470" s="910" t="s">
        <v>1114</v>
      </c>
      <c r="E470" s="911"/>
      <c r="F470" s="912">
        <v>3.72</v>
      </c>
      <c r="G470" s="913">
        <v>1</v>
      </c>
      <c r="H470" s="914">
        <f>G470*F470</f>
        <v>3.72</v>
      </c>
      <c r="I470" s="915"/>
      <c r="J470" s="916">
        <v>5.25</v>
      </c>
      <c r="K470" s="917">
        <v>1</v>
      </c>
      <c r="L470" s="914">
        <f>K470*J470</f>
        <v>5.25</v>
      </c>
      <c r="M470" s="915"/>
      <c r="N470" s="918">
        <f>L470-H470</f>
        <v>1.5299999999999998</v>
      </c>
      <c r="O470" s="919">
        <f>IF((H470)=0,"",(N470/H470))</f>
        <v>0.41129032258064507</v>
      </c>
      <c r="P470" s="706"/>
    </row>
    <row r="471" spans="1:16">
      <c r="A471" s="706"/>
      <c r="B471" s="909" t="s">
        <v>1115</v>
      </c>
      <c r="C471" s="909"/>
      <c r="D471" s="910" t="s">
        <v>1114</v>
      </c>
      <c r="E471" s="911"/>
      <c r="F471" s="912">
        <v>0</v>
      </c>
      <c r="G471" s="913">
        <v>1</v>
      </c>
      <c r="H471" s="914">
        <f t="shared" ref="H471:H477" si="60">G471*F471</f>
        <v>0</v>
      </c>
      <c r="I471" s="915"/>
      <c r="J471" s="916">
        <v>0</v>
      </c>
      <c r="K471" s="917">
        <v>1</v>
      </c>
      <c r="L471" s="914">
        <f>K471*J471</f>
        <v>0</v>
      </c>
      <c r="M471" s="915"/>
      <c r="N471" s="918">
        <f>L471-H471</f>
        <v>0</v>
      </c>
      <c r="O471" s="919" t="str">
        <f>IF((H471)=0,"",(N471/H471))</f>
        <v/>
      </c>
      <c r="P471" s="706"/>
    </row>
    <row r="472" spans="1:16">
      <c r="A472" s="706"/>
      <c r="B472" s="920" t="s">
        <v>1116</v>
      </c>
      <c r="C472" s="909"/>
      <c r="D472" s="910" t="s">
        <v>1114</v>
      </c>
      <c r="E472" s="911"/>
      <c r="F472" s="912">
        <v>0</v>
      </c>
      <c r="G472" s="913">
        <v>1</v>
      </c>
      <c r="H472" s="914">
        <f t="shared" si="60"/>
        <v>0</v>
      </c>
      <c r="I472" s="915"/>
      <c r="J472" s="916">
        <v>0</v>
      </c>
      <c r="K472" s="917">
        <v>1</v>
      </c>
      <c r="L472" s="914">
        <f t="shared" ref="L472:L477" si="61">K472*J472</f>
        <v>0</v>
      </c>
      <c r="M472" s="915"/>
      <c r="N472" s="918">
        <f t="shared" ref="N472:N506" si="62">L472-H472</f>
        <v>0</v>
      </c>
      <c r="O472" s="919" t="str">
        <f t="shared" ref="O472:O478" si="63">IF((H472)=0,"",(N472/H472))</f>
        <v/>
      </c>
      <c r="P472" s="706"/>
    </row>
    <row r="473" spans="1:16">
      <c r="A473" s="706"/>
      <c r="B473" s="909" t="s">
        <v>1117</v>
      </c>
      <c r="C473" s="909"/>
      <c r="D473" s="910" t="s">
        <v>1088</v>
      </c>
      <c r="E473" s="911"/>
      <c r="F473" s="912">
        <v>10.8171</v>
      </c>
      <c r="G473" s="913">
        <v>0.2</v>
      </c>
      <c r="H473" s="914">
        <f t="shared" si="60"/>
        <v>2.1634199999999999</v>
      </c>
      <c r="I473" s="915"/>
      <c r="J473" s="916">
        <v>2.5766</v>
      </c>
      <c r="K473" s="913">
        <v>0.2</v>
      </c>
      <c r="L473" s="914">
        <f t="shared" si="61"/>
        <v>0.51532</v>
      </c>
      <c r="M473" s="915"/>
      <c r="N473" s="918">
        <f t="shared" si="62"/>
        <v>-1.6480999999999999</v>
      </c>
      <c r="O473" s="919">
        <f t="shared" si="63"/>
        <v>-0.76180307106340883</v>
      </c>
      <c r="P473" s="706"/>
    </row>
    <row r="474" spans="1:16">
      <c r="A474" s="706"/>
      <c r="B474" s="909" t="s">
        <v>1118</v>
      </c>
      <c r="C474" s="909"/>
      <c r="D474" s="910" t="s">
        <v>1114</v>
      </c>
      <c r="E474" s="911"/>
      <c r="F474" s="912">
        <v>0</v>
      </c>
      <c r="G474" s="913">
        <v>1</v>
      </c>
      <c r="H474" s="914">
        <f t="shared" si="60"/>
        <v>0</v>
      </c>
      <c r="I474" s="915"/>
      <c r="J474" s="916">
        <v>0</v>
      </c>
      <c r="K474" s="913">
        <v>1</v>
      </c>
      <c r="L474" s="914">
        <f t="shared" si="61"/>
        <v>0</v>
      </c>
      <c r="M474" s="915"/>
      <c r="N474" s="918">
        <f t="shared" si="62"/>
        <v>0</v>
      </c>
      <c r="O474" s="919" t="str">
        <f t="shared" si="63"/>
        <v/>
      </c>
      <c r="P474" s="706"/>
    </row>
    <row r="475" spans="1:16">
      <c r="A475" s="706"/>
      <c r="B475" s="909" t="s">
        <v>1119</v>
      </c>
      <c r="C475" s="909"/>
      <c r="D475" s="910" t="s">
        <v>1088</v>
      </c>
      <c r="E475" s="911"/>
      <c r="F475" s="912">
        <v>0</v>
      </c>
      <c r="G475" s="913">
        <v>0.2</v>
      </c>
      <c r="H475" s="914">
        <f t="shared" si="60"/>
        <v>0</v>
      </c>
      <c r="I475" s="915"/>
      <c r="J475" s="916">
        <v>0</v>
      </c>
      <c r="K475" s="913">
        <v>0.2</v>
      </c>
      <c r="L475" s="914">
        <f t="shared" si="61"/>
        <v>0</v>
      </c>
      <c r="M475" s="915"/>
      <c r="N475" s="918">
        <f t="shared" si="62"/>
        <v>0</v>
      </c>
      <c r="O475" s="919" t="str">
        <f t="shared" si="63"/>
        <v/>
      </c>
      <c r="P475" s="706"/>
    </row>
    <row r="476" spans="1:16">
      <c r="A476" s="706"/>
      <c r="B476" s="921" t="s">
        <v>1120</v>
      </c>
      <c r="C476" s="909"/>
      <c r="D476" s="910" t="s">
        <v>1088</v>
      </c>
      <c r="E476" s="911"/>
      <c r="F476" s="912">
        <v>-0.47149999999999997</v>
      </c>
      <c r="G476" s="913">
        <v>0.2</v>
      </c>
      <c r="H476" s="914">
        <f t="shared" si="60"/>
        <v>-9.4299999999999995E-2</v>
      </c>
      <c r="I476" s="915"/>
      <c r="J476" s="916">
        <v>0</v>
      </c>
      <c r="K476" s="913">
        <v>0.2</v>
      </c>
      <c r="L476" s="914">
        <f t="shared" si="61"/>
        <v>0</v>
      </c>
      <c r="M476" s="915"/>
      <c r="N476" s="918">
        <f t="shared" si="62"/>
        <v>9.4299999999999995E-2</v>
      </c>
      <c r="O476" s="919">
        <f t="shared" si="63"/>
        <v>-1</v>
      </c>
      <c r="P476" s="706"/>
    </row>
    <row r="477" spans="1:16">
      <c r="A477" s="706"/>
      <c r="B477" s="921" t="s">
        <v>1121</v>
      </c>
      <c r="C477" s="909"/>
      <c r="D477" s="910" t="s">
        <v>1114</v>
      </c>
      <c r="E477" s="911"/>
      <c r="F477" s="912">
        <v>0</v>
      </c>
      <c r="G477" s="913">
        <v>1</v>
      </c>
      <c r="H477" s="914">
        <f t="shared" si="60"/>
        <v>0</v>
      </c>
      <c r="I477" s="915"/>
      <c r="J477" s="916">
        <v>0</v>
      </c>
      <c r="K477" s="913">
        <v>1</v>
      </c>
      <c r="L477" s="914">
        <f t="shared" si="61"/>
        <v>0</v>
      </c>
      <c r="M477" s="915"/>
      <c r="N477" s="918">
        <f t="shared" si="62"/>
        <v>0</v>
      </c>
      <c r="O477" s="919" t="str">
        <f t="shared" si="63"/>
        <v/>
      </c>
      <c r="P477" s="706"/>
    </row>
    <row r="478" spans="1:16">
      <c r="A478" s="755"/>
      <c r="B478" s="922" t="s">
        <v>1122</v>
      </c>
      <c r="C478" s="923"/>
      <c r="D478" s="924"/>
      <c r="E478" s="923"/>
      <c r="F478" s="925"/>
      <c r="G478" s="926"/>
      <c r="H478" s="927">
        <f>SUM(H470:H477)</f>
        <v>5.7891200000000005</v>
      </c>
      <c r="I478" s="928"/>
      <c r="J478" s="929"/>
      <c r="K478" s="930"/>
      <c r="L478" s="927">
        <f>SUM(L470:L477)</f>
        <v>5.76532</v>
      </c>
      <c r="M478" s="928"/>
      <c r="N478" s="931">
        <f t="shared" si="62"/>
        <v>-2.3800000000000487E-2</v>
      </c>
      <c r="O478" s="932">
        <f t="shared" si="63"/>
        <v>-4.1111602454259859E-3</v>
      </c>
      <c r="P478" s="755"/>
    </row>
    <row r="479" spans="1:16">
      <c r="A479" s="706"/>
      <c r="B479" s="1025" t="s">
        <v>1123</v>
      </c>
      <c r="C479" s="909"/>
      <c r="D479" s="910" t="s">
        <v>1088</v>
      </c>
      <c r="E479" s="911"/>
      <c r="F479" s="912">
        <v>-0.19389999999999999</v>
      </c>
      <c r="G479" s="913">
        <v>0.2</v>
      </c>
      <c r="H479" s="914">
        <f>G479*F479</f>
        <v>-3.8780000000000002E-2</v>
      </c>
      <c r="I479" s="915"/>
      <c r="J479" s="916">
        <v>-3.0137999999999998</v>
      </c>
      <c r="K479" s="913">
        <v>0.2</v>
      </c>
      <c r="L479" s="914">
        <f t="shared" ref="L479:L481" si="64">K479*J479</f>
        <v>-0.60275999999999996</v>
      </c>
      <c r="M479" s="915"/>
      <c r="N479" s="918">
        <f t="shared" si="62"/>
        <v>-0.56397999999999993</v>
      </c>
      <c r="O479" s="919">
        <f>IF((H479)=0,"",(N479/H479))</f>
        <v>14.543063434760183</v>
      </c>
      <c r="P479" s="706"/>
    </row>
    <row r="480" spans="1:16">
      <c r="A480" s="706"/>
      <c r="B480" s="934" t="s">
        <v>1124</v>
      </c>
      <c r="C480" s="909"/>
      <c r="D480" s="910" t="s">
        <v>1088</v>
      </c>
      <c r="E480" s="911"/>
      <c r="F480" s="912">
        <v>4.7500000000000001E-2</v>
      </c>
      <c r="G480" s="913">
        <v>0.2</v>
      </c>
      <c r="H480" s="914">
        <f>G480*F480</f>
        <v>9.5000000000000015E-3</v>
      </c>
      <c r="I480" s="915"/>
      <c r="J480" s="916">
        <v>5.1799999999999999E-2</v>
      </c>
      <c r="K480" s="913">
        <v>0.2</v>
      </c>
      <c r="L480" s="914">
        <f t="shared" si="64"/>
        <v>1.0360000000000001E-2</v>
      </c>
      <c r="M480" s="915"/>
      <c r="N480" s="918">
        <f t="shared" si="62"/>
        <v>8.5999999999999965E-4</v>
      </c>
      <c r="O480" s="919">
        <f>IF((H480)=0,"",(N480/H480))</f>
        <v>9.0526315789473635E-2</v>
      </c>
      <c r="P480" s="706"/>
    </row>
    <row r="481" spans="1:16">
      <c r="A481" s="706"/>
      <c r="B481" s="934" t="s">
        <v>1125</v>
      </c>
      <c r="C481" s="909"/>
      <c r="D481" s="910"/>
      <c r="E481" s="911"/>
      <c r="F481" s="935"/>
      <c r="G481" s="936"/>
      <c r="H481" s="937"/>
      <c r="I481" s="915"/>
      <c r="J481" s="916"/>
      <c r="K481" s="913">
        <f>F465</f>
        <v>72.000000000000014</v>
      </c>
      <c r="L481" s="914">
        <f t="shared" si="64"/>
        <v>0</v>
      </c>
      <c r="M481" s="915"/>
      <c r="N481" s="918">
        <f t="shared" si="62"/>
        <v>0</v>
      </c>
      <c r="O481" s="919"/>
      <c r="P481" s="706"/>
    </row>
    <row r="482" spans="1:16">
      <c r="A482" s="706"/>
      <c r="B482" s="938" t="s">
        <v>1126</v>
      </c>
      <c r="C482" s="939"/>
      <c r="D482" s="939"/>
      <c r="E482" s="939"/>
      <c r="F482" s="940"/>
      <c r="G482" s="941"/>
      <c r="H482" s="942">
        <f>SUM(H478:H481)</f>
        <v>5.7598400000000005</v>
      </c>
      <c r="I482" s="928"/>
      <c r="J482" s="941"/>
      <c r="K482" s="943"/>
      <c r="L482" s="942">
        <f>SUM(L478:L481)</f>
        <v>5.1729200000000004</v>
      </c>
      <c r="M482" s="928"/>
      <c r="N482" s="931">
        <f t="shared" si="62"/>
        <v>-0.58692000000000011</v>
      </c>
      <c r="O482" s="932">
        <f t="shared" ref="O482:O506" si="65">IF((H482)=0,"",(N482/H482))</f>
        <v>-0.10189866385177367</v>
      </c>
      <c r="P482" s="706"/>
    </row>
    <row r="483" spans="1:16">
      <c r="A483" s="706"/>
      <c r="B483" s="915" t="s">
        <v>1127</v>
      </c>
      <c r="C483" s="915"/>
      <c r="D483" s="944" t="s">
        <v>1088</v>
      </c>
      <c r="E483" s="945"/>
      <c r="F483" s="916">
        <v>1.6741999999999999</v>
      </c>
      <c r="G483" s="946">
        <f>0.2</f>
        <v>0.2</v>
      </c>
      <c r="H483" s="914">
        <f>G483*F483</f>
        <v>0.33484000000000003</v>
      </c>
      <c r="I483" s="915"/>
      <c r="J483" s="916">
        <v>1.6645000000000001</v>
      </c>
      <c r="K483" s="947">
        <f>0.2</f>
        <v>0.2</v>
      </c>
      <c r="L483" s="914">
        <f>K483*J483</f>
        <v>0.33290000000000003</v>
      </c>
      <c r="M483" s="915"/>
      <c r="N483" s="918">
        <f t="shared" si="62"/>
        <v>-1.9399999999999973E-3</v>
      </c>
      <c r="O483" s="919">
        <f t="shared" si="65"/>
        <v>-5.7938119698960613E-3</v>
      </c>
      <c r="P483" s="706"/>
    </row>
    <row r="484" spans="1:16">
      <c r="A484" s="706"/>
      <c r="B484" s="948" t="s">
        <v>1128</v>
      </c>
      <c r="C484" s="915"/>
      <c r="D484" s="944" t="s">
        <v>1088</v>
      </c>
      <c r="E484" s="945"/>
      <c r="F484" s="916">
        <v>1.0355000000000001</v>
      </c>
      <c r="G484" s="946">
        <f>G483</f>
        <v>0.2</v>
      </c>
      <c r="H484" s="914">
        <f>G484*F484</f>
        <v>0.20710000000000003</v>
      </c>
      <c r="I484" s="915"/>
      <c r="J484" s="916">
        <v>1.0018</v>
      </c>
      <c r="K484" s="947">
        <f>K483</f>
        <v>0.2</v>
      </c>
      <c r="L484" s="914">
        <f>K484*J484</f>
        <v>0.20036000000000001</v>
      </c>
      <c r="M484" s="915"/>
      <c r="N484" s="918">
        <f t="shared" si="62"/>
        <v>-6.7400000000000237E-3</v>
      </c>
      <c r="O484" s="919">
        <f t="shared" si="65"/>
        <v>-3.2544664413327005E-2</v>
      </c>
      <c r="P484" s="706"/>
    </row>
    <row r="485" spans="1:16">
      <c r="A485" s="706"/>
      <c r="B485" s="938" t="s">
        <v>1129</v>
      </c>
      <c r="C485" s="923"/>
      <c r="D485" s="923"/>
      <c r="E485" s="923"/>
      <c r="F485" s="949"/>
      <c r="G485" s="941"/>
      <c r="H485" s="942">
        <f>SUM(H482:H484)</f>
        <v>6.3017799999999999</v>
      </c>
      <c r="I485" s="950"/>
      <c r="J485" s="951"/>
      <c r="K485" s="952"/>
      <c r="L485" s="942">
        <f>SUM(L482:L484)</f>
        <v>5.7061800000000007</v>
      </c>
      <c r="M485" s="950"/>
      <c r="N485" s="931">
        <f t="shared" si="62"/>
        <v>-0.59559999999999924</v>
      </c>
      <c r="O485" s="932">
        <f t="shared" si="65"/>
        <v>-9.4512978872635864E-2</v>
      </c>
      <c r="P485" s="706"/>
    </row>
    <row r="486" spans="1:16">
      <c r="A486" s="706"/>
      <c r="B486" s="953" t="s">
        <v>1130</v>
      </c>
      <c r="C486" s="909"/>
      <c r="D486" s="910" t="s">
        <v>1087</v>
      </c>
      <c r="E486" s="911"/>
      <c r="F486" s="956">
        <v>4.4000000000000003E-3</v>
      </c>
      <c r="G486" s="946">
        <f>F465*(1+F509)</f>
        <v>75.79440000000001</v>
      </c>
      <c r="H486" s="955">
        <f t="shared" ref="H486:H494" si="66">G486*F486</f>
        <v>0.33349536000000007</v>
      </c>
      <c r="I486" s="915"/>
      <c r="J486" s="956">
        <v>4.4000000000000003E-3</v>
      </c>
      <c r="K486" s="947">
        <f>F465*(1+J509)</f>
        <v>75.888000000000019</v>
      </c>
      <c r="L486" s="955">
        <f t="shared" ref="L486:L494" si="67">K486*J486</f>
        <v>0.33390720000000013</v>
      </c>
      <c r="M486" s="915"/>
      <c r="N486" s="918">
        <f t="shared" si="62"/>
        <v>4.1184000000005216E-4</v>
      </c>
      <c r="O486" s="957">
        <f t="shared" si="65"/>
        <v>1.234919730217692E-3</v>
      </c>
      <c r="P486" s="706"/>
    </row>
    <row r="487" spans="1:16">
      <c r="A487" s="706"/>
      <c r="B487" s="953" t="s">
        <v>1131</v>
      </c>
      <c r="C487" s="909"/>
      <c r="D487" s="910" t="s">
        <v>1087</v>
      </c>
      <c r="E487" s="911"/>
      <c r="F487" s="956">
        <v>1.1999999999999999E-3</v>
      </c>
      <c r="G487" s="946">
        <f>F465*(1+F509)</f>
        <v>75.79440000000001</v>
      </c>
      <c r="H487" s="955">
        <f t="shared" si="66"/>
        <v>9.0953279999999997E-2</v>
      </c>
      <c r="I487" s="915"/>
      <c r="J487" s="956">
        <v>1.1999999999999999E-3</v>
      </c>
      <c r="K487" s="947">
        <f>F465*(1+J509)</f>
        <v>75.888000000000019</v>
      </c>
      <c r="L487" s="955">
        <f t="shared" si="67"/>
        <v>9.106560000000001E-2</v>
      </c>
      <c r="M487" s="915"/>
      <c r="N487" s="918">
        <f t="shared" si="62"/>
        <v>1.1232000000001297E-4</v>
      </c>
      <c r="O487" s="957">
        <f t="shared" si="65"/>
        <v>1.2349197302176785E-3</v>
      </c>
      <c r="P487" s="706"/>
    </row>
    <row r="488" spans="1:16">
      <c r="A488" s="706"/>
      <c r="B488" s="909" t="s">
        <v>1132</v>
      </c>
      <c r="C488" s="909"/>
      <c r="D488" s="910" t="s">
        <v>1114</v>
      </c>
      <c r="E488" s="911"/>
      <c r="F488" s="954">
        <v>0.25</v>
      </c>
      <c r="G488" s="913">
        <v>1</v>
      </c>
      <c r="H488" s="955">
        <f t="shared" si="66"/>
        <v>0.25</v>
      </c>
      <c r="I488" s="915"/>
      <c r="J488" s="954">
        <v>0.25</v>
      </c>
      <c r="K488" s="917">
        <v>1</v>
      </c>
      <c r="L488" s="955">
        <f t="shared" si="67"/>
        <v>0.25</v>
      </c>
      <c r="M488" s="915"/>
      <c r="N488" s="918">
        <f t="shared" si="62"/>
        <v>0</v>
      </c>
      <c r="O488" s="957">
        <f t="shared" si="65"/>
        <v>0</v>
      </c>
      <c r="P488" s="706"/>
    </row>
    <row r="489" spans="1:16">
      <c r="A489" s="706"/>
      <c r="B489" s="909" t="s">
        <v>1133</v>
      </c>
      <c r="C489" s="909"/>
      <c r="D489" s="910" t="s">
        <v>1087</v>
      </c>
      <c r="E489" s="911"/>
      <c r="F489" s="954">
        <v>7.0000000000000001E-3</v>
      </c>
      <c r="G489" s="946">
        <f>F465</f>
        <v>72.000000000000014</v>
      </c>
      <c r="H489" s="955">
        <f t="shared" si="66"/>
        <v>0.50400000000000011</v>
      </c>
      <c r="I489" s="915"/>
      <c r="J489" s="954">
        <v>7.0000000000000001E-3</v>
      </c>
      <c r="K489" s="947">
        <f>F465</f>
        <v>72.000000000000014</v>
      </c>
      <c r="L489" s="955">
        <f t="shared" si="67"/>
        <v>0.50400000000000011</v>
      </c>
      <c r="M489" s="915"/>
      <c r="N489" s="918">
        <f t="shared" si="62"/>
        <v>0</v>
      </c>
      <c r="O489" s="957">
        <f t="shared" si="65"/>
        <v>0</v>
      </c>
      <c r="P489" s="706"/>
    </row>
    <row r="490" spans="1:16">
      <c r="A490" s="706"/>
      <c r="B490" s="934" t="s">
        <v>1134</v>
      </c>
      <c r="C490" s="909"/>
      <c r="D490" s="910" t="s">
        <v>1087</v>
      </c>
      <c r="E490" s="911"/>
      <c r="F490" s="958">
        <v>7.3999999999999996E-2</v>
      </c>
      <c r="G490" s="946">
        <f>IF($F$465&gt;=750,750,$F$465*(1+F509))</f>
        <v>75.79440000000001</v>
      </c>
      <c r="H490" s="955">
        <f>G490*F490</f>
        <v>5.6087856</v>
      </c>
      <c r="I490" s="915"/>
      <c r="J490" s="958">
        <v>7.3999999999999996E-2</v>
      </c>
      <c r="K490" s="946">
        <f>IF($F$465&gt;=750,750,$F$465*(1+J509))</f>
        <v>75.888000000000019</v>
      </c>
      <c r="L490" s="955">
        <f>K490*J490</f>
        <v>5.6157120000000011</v>
      </c>
      <c r="M490" s="915"/>
      <c r="N490" s="918">
        <f t="shared" si="62"/>
        <v>6.9264000000011094E-3</v>
      </c>
      <c r="O490" s="957">
        <f t="shared" si="65"/>
        <v>1.2349197302177336E-3</v>
      </c>
      <c r="P490" s="706"/>
    </row>
    <row r="491" spans="1:16">
      <c r="A491" s="706"/>
      <c r="B491" s="934" t="s">
        <v>1135</v>
      </c>
      <c r="C491" s="909"/>
      <c r="D491" s="910" t="s">
        <v>1087</v>
      </c>
      <c r="E491" s="911"/>
      <c r="F491" s="958">
        <v>8.6999999999999994E-2</v>
      </c>
      <c r="G491" s="946">
        <f>IF($F$465&gt;=750,$F$465*(1+F509)-750,0)</f>
        <v>0</v>
      </c>
      <c r="H491" s="955">
        <f>G491*F491</f>
        <v>0</v>
      </c>
      <c r="I491" s="915"/>
      <c r="J491" s="958">
        <v>8.6999999999999994E-2</v>
      </c>
      <c r="K491" s="946">
        <f>IF($F$465&gt;=750,$F$465*(1+J509)-750,0)</f>
        <v>0</v>
      </c>
      <c r="L491" s="955">
        <f>K491*J491</f>
        <v>0</v>
      </c>
      <c r="M491" s="915"/>
      <c r="N491" s="918">
        <f t="shared" si="62"/>
        <v>0</v>
      </c>
      <c r="O491" s="957" t="str">
        <f t="shared" si="65"/>
        <v/>
      </c>
      <c r="P491" s="706"/>
    </row>
    <row r="492" spans="1:16">
      <c r="A492" s="706"/>
      <c r="B492" s="934" t="s">
        <v>1136</v>
      </c>
      <c r="C492" s="909"/>
      <c r="D492" s="910" t="s">
        <v>1087</v>
      </c>
      <c r="E492" s="911"/>
      <c r="F492" s="958">
        <v>6.3E-2</v>
      </c>
      <c r="G492" s="959">
        <f>0.64*$F$465*(1+F509)</f>
        <v>48.508416000000011</v>
      </c>
      <c r="H492" s="955">
        <f t="shared" si="66"/>
        <v>3.0560302080000006</v>
      </c>
      <c r="I492" s="915"/>
      <c r="J492" s="958">
        <v>6.3E-2</v>
      </c>
      <c r="K492" s="959">
        <f>0.64*$F$465*(1+J509)</f>
        <v>48.568320000000014</v>
      </c>
      <c r="L492" s="955">
        <f t="shared" si="67"/>
        <v>3.059804160000001</v>
      </c>
      <c r="M492" s="915"/>
      <c r="N492" s="918">
        <f t="shared" si="62"/>
        <v>3.7739520000004134E-3</v>
      </c>
      <c r="O492" s="957">
        <f t="shared" si="65"/>
        <v>1.234919730217671E-3</v>
      </c>
      <c r="P492" s="706"/>
    </row>
    <row r="493" spans="1:16">
      <c r="A493" s="706"/>
      <c r="B493" s="934" t="s">
        <v>1137</v>
      </c>
      <c r="C493" s="909"/>
      <c r="D493" s="910" t="s">
        <v>1087</v>
      </c>
      <c r="E493" s="911"/>
      <c r="F493" s="958">
        <v>9.9000000000000005E-2</v>
      </c>
      <c r="G493" s="959">
        <f>0.18*$F$465*(1+F509)</f>
        <v>13.642992000000003</v>
      </c>
      <c r="H493" s="955">
        <f t="shared" si="66"/>
        <v>1.3506562080000004</v>
      </c>
      <c r="I493" s="915"/>
      <c r="J493" s="958">
        <v>9.9000000000000005E-2</v>
      </c>
      <c r="K493" s="959">
        <f>0.18*$F$465*(1+J509)</f>
        <v>13.659840000000003</v>
      </c>
      <c r="L493" s="955">
        <f t="shared" si="67"/>
        <v>1.3523241600000002</v>
      </c>
      <c r="M493" s="915"/>
      <c r="N493" s="918">
        <f t="shared" si="62"/>
        <v>1.667951999999806E-3</v>
      </c>
      <c r="O493" s="957">
        <f t="shared" si="65"/>
        <v>1.2349197302173919E-3</v>
      </c>
      <c r="P493" s="706"/>
    </row>
    <row r="494" spans="1:16" ht="13.5" thickBot="1">
      <c r="A494" s="706"/>
      <c r="B494" s="900" t="s">
        <v>1138</v>
      </c>
      <c r="C494" s="909"/>
      <c r="D494" s="910" t="s">
        <v>1087</v>
      </c>
      <c r="E494" s="911"/>
      <c r="F494" s="958">
        <v>0.11799999999999999</v>
      </c>
      <c r="G494" s="959">
        <f>0.18*$F$465*(1+F509)</f>
        <v>13.642992000000003</v>
      </c>
      <c r="H494" s="955">
        <f t="shared" si="66"/>
        <v>1.6098730560000003</v>
      </c>
      <c r="I494" s="915"/>
      <c r="J494" s="958">
        <v>0.11799999999999999</v>
      </c>
      <c r="K494" s="959">
        <f>0.18*$F$465*(1+J509)</f>
        <v>13.659840000000003</v>
      </c>
      <c r="L494" s="955">
        <f t="shared" si="67"/>
        <v>1.6118611200000001</v>
      </c>
      <c r="M494" s="915"/>
      <c r="N494" s="918">
        <f t="shared" si="62"/>
        <v>1.9880639999998451E-3</v>
      </c>
      <c r="O494" s="957">
        <f t="shared" si="65"/>
        <v>1.2349197302174394E-3</v>
      </c>
      <c r="P494" s="706"/>
    </row>
    <row r="495" spans="1:16" ht="13.5" thickBot="1">
      <c r="A495" s="706"/>
      <c r="B495" s="960"/>
      <c r="C495" s="961"/>
      <c r="D495" s="962"/>
      <c r="E495" s="961"/>
      <c r="F495" s="963"/>
      <c r="G495" s="964"/>
      <c r="H495" s="965"/>
      <c r="I495" s="966"/>
      <c r="J495" s="963"/>
      <c r="K495" s="967"/>
      <c r="L495" s="965"/>
      <c r="M495" s="966"/>
      <c r="N495" s="968"/>
      <c r="O495" s="969"/>
      <c r="P495" s="706"/>
    </row>
    <row r="496" spans="1:16">
      <c r="A496" s="706"/>
      <c r="B496" s="970" t="s">
        <v>1139</v>
      </c>
      <c r="C496" s="909"/>
      <c r="D496" s="909"/>
      <c r="E496" s="909"/>
      <c r="F496" s="971"/>
      <c r="G496" s="972"/>
      <c r="H496" s="973">
        <f>SUM(H485:H491)</f>
        <v>13.089014240000001</v>
      </c>
      <c r="I496" s="974"/>
      <c r="J496" s="975"/>
      <c r="K496" s="975"/>
      <c r="L496" s="976">
        <f>SUM(L485:L491)</f>
        <v>12.500864800000002</v>
      </c>
      <c r="M496" s="977"/>
      <c r="N496" s="978">
        <f t="shared" si="62"/>
        <v>-0.58814943999999869</v>
      </c>
      <c r="O496" s="979">
        <f t="shared" si="65"/>
        <v>-4.4934586303880336E-2</v>
      </c>
      <c r="P496" s="706"/>
    </row>
    <row r="497" spans="1:16">
      <c r="A497" s="706"/>
      <c r="B497" s="980" t="s">
        <v>1140</v>
      </c>
      <c r="C497" s="909"/>
      <c r="D497" s="909"/>
      <c r="E497" s="909"/>
      <c r="F497" s="981">
        <v>0.13</v>
      </c>
      <c r="G497" s="972"/>
      <c r="H497" s="982">
        <f>H496*F497</f>
        <v>1.7015718512000002</v>
      </c>
      <c r="I497" s="983"/>
      <c r="J497" s="984">
        <v>0.13</v>
      </c>
      <c r="K497" s="985"/>
      <c r="L497" s="986">
        <f>L496*J497</f>
        <v>1.6251124240000003</v>
      </c>
      <c r="M497" s="987"/>
      <c r="N497" s="988">
        <f t="shared" si="62"/>
        <v>-7.6459427199999874E-2</v>
      </c>
      <c r="O497" s="989">
        <f t="shared" si="65"/>
        <v>-4.4934586303880357E-2</v>
      </c>
      <c r="P497" s="706"/>
    </row>
    <row r="498" spans="1:16">
      <c r="A498" s="706"/>
      <c r="B498" s="990" t="s">
        <v>1141</v>
      </c>
      <c r="C498" s="909"/>
      <c r="D498" s="909"/>
      <c r="E498" s="909"/>
      <c r="F498" s="991"/>
      <c r="G498" s="992"/>
      <c r="H498" s="982">
        <f>H496+H497</f>
        <v>14.790586091200002</v>
      </c>
      <c r="I498" s="983"/>
      <c r="J498" s="983"/>
      <c r="K498" s="983"/>
      <c r="L498" s="986">
        <f>L496+L497</f>
        <v>14.125977224000003</v>
      </c>
      <c r="M498" s="987"/>
      <c r="N498" s="988">
        <f t="shared" si="62"/>
        <v>-0.66460886719999834</v>
      </c>
      <c r="O498" s="989">
        <f t="shared" si="65"/>
        <v>-4.4934586303880322E-2</v>
      </c>
      <c r="P498" s="706"/>
    </row>
    <row r="499" spans="1:16" ht="12.75" customHeight="1">
      <c r="A499" s="706"/>
      <c r="B499" s="1491" t="s">
        <v>1142</v>
      </c>
      <c r="C499" s="1491"/>
      <c r="D499" s="1491"/>
      <c r="E499" s="909"/>
      <c r="F499" s="991"/>
      <c r="G499" s="992"/>
      <c r="H499" s="993">
        <f>ROUND(-H498*10%,2)</f>
        <v>-1.48</v>
      </c>
      <c r="I499" s="983"/>
      <c r="J499" s="983"/>
      <c r="K499" s="983"/>
      <c r="L499" s="994">
        <f>ROUND(-L498*10%,2)</f>
        <v>-1.41</v>
      </c>
      <c r="M499" s="987"/>
      <c r="N499" s="995">
        <f t="shared" si="62"/>
        <v>7.0000000000000062E-2</v>
      </c>
      <c r="O499" s="996">
        <f t="shared" si="65"/>
        <v>-4.7297297297297342E-2</v>
      </c>
      <c r="P499" s="706"/>
    </row>
    <row r="500" spans="1:16" ht="13.5" customHeight="1" thickBot="1">
      <c r="A500" s="706"/>
      <c r="B500" s="1484" t="s">
        <v>1143</v>
      </c>
      <c r="C500" s="1484"/>
      <c r="D500" s="1484"/>
      <c r="E500" s="997"/>
      <c r="F500" s="998"/>
      <c r="G500" s="999"/>
      <c r="H500" s="1000">
        <f>SUM(H498:H499)</f>
        <v>13.310586091200001</v>
      </c>
      <c r="I500" s="1001"/>
      <c r="J500" s="1001"/>
      <c r="K500" s="1001"/>
      <c r="L500" s="1002">
        <f>SUM(L498:L499)</f>
        <v>12.715977224000003</v>
      </c>
      <c r="M500" s="1003"/>
      <c r="N500" s="1004">
        <f t="shared" si="62"/>
        <v>-0.59460886719999806</v>
      </c>
      <c r="O500" s="1005">
        <f t="shared" si="65"/>
        <v>-4.4671877190525108E-2</v>
      </c>
      <c r="P500" s="706"/>
    </row>
    <row r="501" spans="1:16" ht="13.5" thickBot="1">
      <c r="A501" s="706"/>
      <c r="B501" s="960"/>
      <c r="C501" s="961"/>
      <c r="D501" s="962"/>
      <c r="E501" s="961"/>
      <c r="F501" s="1006"/>
      <c r="G501" s="1007"/>
      <c r="H501" s="1008"/>
      <c r="I501" s="1009"/>
      <c r="J501" s="1006"/>
      <c r="K501" s="964"/>
      <c r="L501" s="1010"/>
      <c r="M501" s="966"/>
      <c r="N501" s="1011"/>
      <c r="O501" s="969"/>
      <c r="P501" s="706"/>
    </row>
    <row r="502" spans="1:16">
      <c r="A502" s="706"/>
      <c r="B502" s="970" t="s">
        <v>1144</v>
      </c>
      <c r="C502" s="909"/>
      <c r="D502" s="909"/>
      <c r="E502" s="909"/>
      <c r="F502" s="971"/>
      <c r="G502" s="972"/>
      <c r="H502" s="973">
        <f>SUM(H485:H489,H492:H494)</f>
        <v>13.496788112000001</v>
      </c>
      <c r="I502" s="974"/>
      <c r="J502" s="975"/>
      <c r="K502" s="975"/>
      <c r="L502" s="1012">
        <f>SUM(L485:L489,L492:L494)</f>
        <v>12.909142240000003</v>
      </c>
      <c r="M502" s="977"/>
      <c r="N502" s="978">
        <f>L502-H502</f>
        <v>-0.58764587199999774</v>
      </c>
      <c r="O502" s="979">
        <f>IF((H502)=0,"",(N502/H502))</f>
        <v>-4.353968270995686E-2</v>
      </c>
      <c r="P502" s="706"/>
    </row>
    <row r="503" spans="1:16">
      <c r="A503" s="706"/>
      <c r="B503" s="980" t="s">
        <v>1140</v>
      </c>
      <c r="C503" s="909"/>
      <c r="D503" s="909"/>
      <c r="E503" s="909"/>
      <c r="F503" s="981">
        <v>0.13</v>
      </c>
      <c r="G503" s="992"/>
      <c r="H503" s="982">
        <f>H502*F503</f>
        <v>1.7545824545600002</v>
      </c>
      <c r="I503" s="983"/>
      <c r="J503" s="1013">
        <v>0.13</v>
      </c>
      <c r="K503" s="983"/>
      <c r="L503" s="986">
        <f>L502*J503</f>
        <v>1.6781884912000005</v>
      </c>
      <c r="M503" s="987"/>
      <c r="N503" s="988">
        <f t="shared" si="62"/>
        <v>-7.6393963359999706E-2</v>
      </c>
      <c r="O503" s="989">
        <f t="shared" si="65"/>
        <v>-4.353968270995686E-2</v>
      </c>
      <c r="P503" s="706"/>
    </row>
    <row r="504" spans="1:16">
      <c r="A504" s="706"/>
      <c r="B504" s="990" t="s">
        <v>1141</v>
      </c>
      <c r="C504" s="909"/>
      <c r="D504" s="909"/>
      <c r="E504" s="909"/>
      <c r="F504" s="991"/>
      <c r="G504" s="992"/>
      <c r="H504" s="982">
        <f>H502+H503</f>
        <v>15.25137056656</v>
      </c>
      <c r="I504" s="983"/>
      <c r="J504" s="983"/>
      <c r="K504" s="983"/>
      <c r="L504" s="986">
        <f>L502+L503</f>
        <v>14.587330731200003</v>
      </c>
      <c r="M504" s="987"/>
      <c r="N504" s="988">
        <f t="shared" si="62"/>
        <v>-0.664039835359997</v>
      </c>
      <c r="O504" s="989">
        <f t="shared" si="65"/>
        <v>-4.3539682709956833E-2</v>
      </c>
      <c r="P504" s="706"/>
    </row>
    <row r="505" spans="1:16" ht="12.75" customHeight="1">
      <c r="A505" s="706"/>
      <c r="B505" s="1491" t="s">
        <v>1142</v>
      </c>
      <c r="C505" s="1491"/>
      <c r="D505" s="1491"/>
      <c r="E505" s="909"/>
      <c r="F505" s="991"/>
      <c r="G505" s="992"/>
      <c r="H505" s="993">
        <f>ROUND(-H504*10%,2)</f>
        <v>-1.53</v>
      </c>
      <c r="I505" s="983"/>
      <c r="J505" s="983"/>
      <c r="K505" s="983"/>
      <c r="L505" s="994">
        <f>ROUND(-L504*10%,2)</f>
        <v>-1.46</v>
      </c>
      <c r="M505" s="987"/>
      <c r="N505" s="995">
        <f t="shared" si="62"/>
        <v>7.0000000000000062E-2</v>
      </c>
      <c r="O505" s="996">
        <f t="shared" si="65"/>
        <v>-4.5751633986928143E-2</v>
      </c>
      <c r="P505" s="706"/>
    </row>
    <row r="506" spans="1:16" ht="13.5" customHeight="1" thickBot="1">
      <c r="A506" s="706"/>
      <c r="B506" s="1484" t="s">
        <v>1145</v>
      </c>
      <c r="C506" s="1484"/>
      <c r="D506" s="1484"/>
      <c r="E506" s="997"/>
      <c r="F506" s="1014"/>
      <c r="G506" s="1015"/>
      <c r="H506" s="1016">
        <f>H504+H505</f>
        <v>13.721370566560001</v>
      </c>
      <c r="I506" s="1017"/>
      <c r="J506" s="1017"/>
      <c r="K506" s="1017"/>
      <c r="L506" s="1018">
        <f>L504+L505</f>
        <v>13.127330731200004</v>
      </c>
      <c r="M506" s="1019"/>
      <c r="N506" s="1020">
        <f t="shared" si="62"/>
        <v>-0.59403983535999672</v>
      </c>
      <c r="O506" s="1021">
        <f t="shared" si="65"/>
        <v>-4.3293039312538931E-2</v>
      </c>
      <c r="P506" s="706"/>
    </row>
    <row r="507" spans="1:16" ht="13.5" thickBot="1">
      <c r="A507" s="706"/>
      <c r="B507" s="960"/>
      <c r="C507" s="961"/>
      <c r="D507" s="962"/>
      <c r="E507" s="961"/>
      <c r="F507" s="1006"/>
      <c r="G507" s="1007"/>
      <c r="H507" s="1008"/>
      <c r="I507" s="1009"/>
      <c r="J507" s="1006"/>
      <c r="K507" s="964"/>
      <c r="L507" s="1010"/>
      <c r="M507" s="966"/>
      <c r="N507" s="1011"/>
      <c r="O507" s="969"/>
      <c r="P507" s="706"/>
    </row>
    <row r="508" spans="1:16">
      <c r="A508" s="706"/>
      <c r="B508" s="706"/>
      <c r="C508" s="706"/>
      <c r="D508" s="706"/>
      <c r="E508" s="706"/>
      <c r="F508" s="706"/>
      <c r="G508" s="706"/>
      <c r="H508" s="706"/>
      <c r="I508" s="706"/>
      <c r="J508" s="706"/>
      <c r="K508" s="706"/>
      <c r="L508" s="1022"/>
      <c r="M508" s="706"/>
      <c r="N508" s="706"/>
      <c r="O508" s="706"/>
      <c r="P508" s="706"/>
    </row>
    <row r="509" spans="1:16">
      <c r="A509" s="706"/>
      <c r="B509" s="711" t="s">
        <v>1146</v>
      </c>
      <c r="C509" s="706"/>
      <c r="D509" s="706"/>
      <c r="E509" s="706"/>
      <c r="F509" s="1023">
        <v>5.2699999999999969E-2</v>
      </c>
      <c r="G509" s="706"/>
      <c r="H509" s="706"/>
      <c r="I509" s="706"/>
      <c r="J509" s="1023">
        <v>5.3999999999999999E-2</v>
      </c>
      <c r="K509" s="706"/>
      <c r="L509" s="706"/>
      <c r="M509" s="706"/>
      <c r="N509" s="706"/>
      <c r="O509" s="706"/>
      <c r="P509" s="706"/>
    </row>
    <row r="510" spans="1:16">
      <c r="A510" s="706"/>
      <c r="B510" s="706"/>
      <c r="C510" s="706"/>
      <c r="D510" s="706"/>
      <c r="E510" s="706"/>
      <c r="F510" s="706"/>
      <c r="G510" s="706"/>
      <c r="H510" s="706"/>
      <c r="I510" s="706"/>
      <c r="J510" s="706"/>
      <c r="K510" s="706"/>
      <c r="L510" s="706"/>
      <c r="M510" s="706"/>
      <c r="N510" s="706"/>
      <c r="O510" s="706"/>
      <c r="P510" s="706"/>
    </row>
    <row r="511" spans="1:16" ht="14.25">
      <c r="A511" s="1024" t="s">
        <v>1147</v>
      </c>
      <c r="B511" s="706"/>
      <c r="C511" s="706"/>
      <c r="D511" s="706"/>
      <c r="E511" s="706"/>
      <c r="F511" s="706"/>
      <c r="G511" s="706"/>
      <c r="H511" s="706"/>
      <c r="I511" s="706"/>
      <c r="J511" s="706"/>
      <c r="K511" s="706"/>
      <c r="L511" s="706"/>
      <c r="M511" s="706"/>
      <c r="N511" s="706"/>
      <c r="O511" s="706"/>
      <c r="P511" s="706"/>
    </row>
    <row r="512" spans="1:16">
      <c r="A512" s="706"/>
      <c r="B512" s="706"/>
      <c r="C512" s="706"/>
      <c r="D512" s="706"/>
      <c r="E512" s="706"/>
      <c r="F512" s="706"/>
      <c r="G512" s="706"/>
      <c r="H512" s="706"/>
      <c r="I512" s="706"/>
      <c r="J512" s="706"/>
      <c r="K512" s="706"/>
      <c r="L512" s="706"/>
      <c r="M512" s="706"/>
      <c r="N512" s="706"/>
      <c r="O512" s="706"/>
      <c r="P512" s="706"/>
    </row>
    <row r="513" spans="1:16">
      <c r="A513" s="706" t="s">
        <v>1148</v>
      </c>
      <c r="B513" s="706"/>
      <c r="C513" s="706"/>
      <c r="D513" s="706"/>
      <c r="E513" s="706"/>
      <c r="F513" s="706"/>
      <c r="G513" s="706"/>
      <c r="H513" s="706"/>
      <c r="I513" s="706"/>
      <c r="J513" s="706"/>
      <c r="K513" s="706"/>
      <c r="L513" s="706"/>
      <c r="M513" s="706"/>
      <c r="N513" s="706"/>
      <c r="O513" s="706"/>
      <c r="P513" s="706"/>
    </row>
    <row r="514" spans="1:16">
      <c r="A514" s="706" t="s">
        <v>1149</v>
      </c>
      <c r="B514" s="706"/>
      <c r="C514" s="706"/>
      <c r="D514" s="706"/>
      <c r="E514" s="706"/>
      <c r="F514" s="706"/>
      <c r="G514" s="706"/>
      <c r="H514" s="706"/>
      <c r="I514" s="706"/>
      <c r="J514" s="706"/>
      <c r="K514" s="706"/>
      <c r="L514" s="706"/>
      <c r="M514" s="706"/>
      <c r="N514" s="706"/>
      <c r="O514" s="706"/>
      <c r="P514" s="706"/>
    </row>
    <row r="515" spans="1:16">
      <c r="A515" s="706"/>
      <c r="B515" s="706"/>
      <c r="C515" s="706"/>
      <c r="D515" s="706"/>
      <c r="E515" s="706"/>
      <c r="F515" s="706"/>
      <c r="G515" s="706"/>
      <c r="H515" s="706"/>
      <c r="I515" s="706"/>
      <c r="J515" s="706"/>
      <c r="K515" s="706"/>
      <c r="L515" s="706"/>
      <c r="M515" s="706"/>
      <c r="N515" s="706"/>
      <c r="O515" s="706"/>
      <c r="P515" s="706"/>
    </row>
    <row r="516" spans="1:16">
      <c r="A516" s="706" t="s">
        <v>1150</v>
      </c>
      <c r="B516" s="706"/>
      <c r="C516" s="706"/>
      <c r="D516" s="706"/>
      <c r="E516" s="706"/>
      <c r="F516" s="706"/>
      <c r="G516" s="706"/>
      <c r="H516" s="706"/>
      <c r="I516" s="706"/>
      <c r="J516" s="706"/>
      <c r="K516" s="706"/>
      <c r="L516" s="706"/>
      <c r="M516" s="706"/>
      <c r="N516" s="706"/>
      <c r="O516" s="706"/>
      <c r="P516" s="706"/>
    </row>
    <row r="517" spans="1:16">
      <c r="A517" s="706" t="s">
        <v>1151</v>
      </c>
      <c r="B517" s="706"/>
      <c r="C517" s="706"/>
      <c r="D517" s="706"/>
      <c r="E517" s="706"/>
      <c r="F517" s="706"/>
      <c r="G517" s="706"/>
      <c r="H517" s="706"/>
      <c r="I517" s="706"/>
      <c r="J517" s="706"/>
      <c r="K517" s="706"/>
      <c r="L517" s="706"/>
      <c r="M517" s="706"/>
      <c r="N517" s="706"/>
      <c r="O517" s="706"/>
      <c r="P517" s="706"/>
    </row>
    <row r="518" spans="1:16">
      <c r="A518" s="706"/>
      <c r="B518" s="706"/>
      <c r="C518" s="706"/>
      <c r="D518" s="706"/>
      <c r="E518" s="706"/>
      <c r="F518" s="706"/>
      <c r="G518" s="706"/>
      <c r="H518" s="706"/>
      <c r="I518" s="706"/>
      <c r="J518" s="706"/>
      <c r="K518" s="706"/>
      <c r="L518" s="706"/>
      <c r="M518" s="706"/>
      <c r="N518" s="706"/>
      <c r="O518" s="706"/>
      <c r="P518" s="706"/>
    </row>
    <row r="519" spans="1:16">
      <c r="A519" s="706" t="s">
        <v>1152</v>
      </c>
      <c r="B519" s="706"/>
      <c r="C519" s="706"/>
      <c r="D519" s="706"/>
      <c r="E519" s="706"/>
      <c r="F519" s="706"/>
      <c r="G519" s="706"/>
      <c r="H519" s="706"/>
      <c r="I519" s="706"/>
      <c r="J519" s="706"/>
      <c r="K519" s="706"/>
      <c r="L519" s="706"/>
      <c r="M519" s="706"/>
      <c r="N519" s="706"/>
      <c r="O519" s="706"/>
      <c r="P519" s="706"/>
    </row>
    <row r="520" spans="1:16">
      <c r="A520" s="706" t="s">
        <v>1153</v>
      </c>
      <c r="B520" s="706"/>
      <c r="C520" s="706"/>
      <c r="D520" s="706"/>
      <c r="E520" s="706"/>
      <c r="F520" s="706"/>
      <c r="G520" s="706"/>
      <c r="H520" s="706"/>
      <c r="I520" s="706"/>
      <c r="J520" s="706"/>
      <c r="K520" s="706"/>
      <c r="L520" s="706"/>
      <c r="M520" s="706"/>
      <c r="N520" s="706"/>
      <c r="O520" s="706"/>
      <c r="P520" s="706"/>
    </row>
    <row r="521" spans="1:16">
      <c r="A521" s="706" t="s">
        <v>1154</v>
      </c>
      <c r="B521" s="706"/>
      <c r="C521" s="706"/>
      <c r="D521" s="706"/>
      <c r="E521" s="706"/>
      <c r="F521" s="706"/>
      <c r="G521" s="706"/>
      <c r="H521" s="706"/>
      <c r="I521" s="706"/>
      <c r="J521" s="706"/>
      <c r="K521" s="706"/>
      <c r="L521" s="706"/>
      <c r="M521" s="706"/>
      <c r="N521" s="706"/>
      <c r="O521" s="706"/>
      <c r="P521" s="706"/>
    </row>
    <row r="522" spans="1:16">
      <c r="A522" s="706" t="s">
        <v>1155</v>
      </c>
      <c r="B522" s="706"/>
      <c r="C522" s="706"/>
      <c r="D522" s="706"/>
      <c r="E522" s="706"/>
      <c r="F522" s="706"/>
      <c r="G522" s="706"/>
      <c r="H522" s="706"/>
      <c r="I522" s="706"/>
      <c r="J522" s="706"/>
      <c r="K522" s="706"/>
      <c r="L522" s="706"/>
      <c r="M522" s="706"/>
      <c r="N522" s="706"/>
      <c r="O522" s="706"/>
      <c r="P522" s="706"/>
    </row>
    <row r="523" spans="1:16">
      <c r="A523" s="706" t="s">
        <v>1156</v>
      </c>
      <c r="B523" s="706"/>
      <c r="C523" s="706"/>
      <c r="D523" s="706"/>
      <c r="E523" s="706"/>
      <c r="F523" s="706"/>
      <c r="G523" s="706"/>
      <c r="H523" s="706"/>
      <c r="I523" s="706"/>
      <c r="J523" s="706"/>
      <c r="K523" s="706"/>
      <c r="L523" s="706"/>
      <c r="M523" s="706"/>
      <c r="N523" s="706"/>
      <c r="O523" s="706"/>
      <c r="P523" s="706"/>
    </row>
    <row r="525" spans="1:16" ht="21.75">
      <c r="A525" s="892"/>
      <c r="B525" s="892"/>
      <c r="C525" s="892"/>
      <c r="D525" s="892"/>
      <c r="E525" s="892"/>
      <c r="F525" s="892"/>
      <c r="G525" s="892"/>
      <c r="H525" s="892"/>
      <c r="I525" s="892"/>
      <c r="J525" s="892"/>
      <c r="K525" s="892"/>
      <c r="L525" s="893"/>
      <c r="M525" s="893"/>
      <c r="N525" s="31" t="s">
        <v>131</v>
      </c>
      <c r="O525" s="32" t="s">
        <v>20</v>
      </c>
    </row>
    <row r="526" spans="1:16" ht="18">
      <c r="A526" s="894"/>
      <c r="B526" s="894"/>
      <c r="C526" s="894"/>
      <c r="D526" s="894"/>
      <c r="E526" s="894"/>
      <c r="F526" s="894"/>
      <c r="G526" s="894"/>
      <c r="H526" s="894"/>
      <c r="I526" s="894"/>
      <c r="J526" s="894"/>
      <c r="K526" s="894"/>
      <c r="L526" s="893"/>
      <c r="M526" s="893"/>
      <c r="N526" s="31" t="s">
        <v>132</v>
      </c>
      <c r="O526" s="33"/>
    </row>
    <row r="527" spans="1:16" ht="18">
      <c r="A527" s="1492"/>
      <c r="B527" s="1492"/>
      <c r="C527" s="1492"/>
      <c r="D527" s="1492"/>
      <c r="E527" s="1492"/>
      <c r="F527" s="1492"/>
      <c r="G527" s="1492"/>
      <c r="H527" s="1492"/>
      <c r="I527" s="1492"/>
      <c r="J527" s="1492"/>
      <c r="K527" s="1492"/>
      <c r="L527" s="893"/>
      <c r="M527" s="893"/>
      <c r="N527" s="31" t="s">
        <v>133</v>
      </c>
      <c r="O527" s="33"/>
    </row>
    <row r="528" spans="1:16" ht="18">
      <c r="A528" s="894"/>
      <c r="B528" s="894"/>
      <c r="C528" s="894"/>
      <c r="D528" s="894"/>
      <c r="E528" s="894"/>
      <c r="F528" s="894"/>
      <c r="G528" s="894"/>
      <c r="H528" s="894"/>
      <c r="I528" s="895"/>
      <c r="J528" s="895"/>
      <c r="K528" s="895"/>
      <c r="L528" s="893"/>
      <c r="M528" s="893"/>
      <c r="N528" s="31" t="s">
        <v>134</v>
      </c>
      <c r="O528" s="33"/>
    </row>
    <row r="529" spans="1:16" ht="15.75">
      <c r="A529" s="893"/>
      <c r="B529" s="893"/>
      <c r="C529" s="896"/>
      <c r="D529" s="896"/>
      <c r="E529" s="896"/>
      <c r="F529" s="893"/>
      <c r="G529" s="893"/>
      <c r="H529" s="893"/>
      <c r="I529" s="893"/>
      <c r="J529" s="893"/>
      <c r="K529" s="893"/>
      <c r="L529" s="893"/>
      <c r="M529" s="893"/>
      <c r="N529" s="31" t="s">
        <v>439</v>
      </c>
      <c r="O529" s="34" t="s">
        <v>1165</v>
      </c>
    </row>
    <row r="530" spans="1:16">
      <c r="A530" s="893"/>
      <c r="B530" s="893"/>
      <c r="C530" s="893"/>
      <c r="D530" s="893"/>
      <c r="E530" s="893"/>
      <c r="F530" s="893"/>
      <c r="G530" s="893"/>
      <c r="H530" s="893"/>
      <c r="I530" s="893"/>
      <c r="J530" s="893"/>
      <c r="K530" s="893"/>
      <c r="L530" s="893"/>
      <c r="M530" s="893"/>
      <c r="N530" s="31"/>
      <c r="O530" s="32"/>
    </row>
    <row r="531" spans="1:16">
      <c r="A531" s="893"/>
      <c r="B531" s="893"/>
      <c r="C531" s="893"/>
      <c r="D531" s="893"/>
      <c r="E531" s="893"/>
      <c r="F531" s="893"/>
      <c r="G531" s="893"/>
      <c r="H531" s="893"/>
      <c r="I531" s="893"/>
      <c r="J531" s="893"/>
      <c r="K531" s="893"/>
      <c r="L531" s="893"/>
      <c r="M531" s="893"/>
      <c r="N531" s="31" t="s">
        <v>136</v>
      </c>
      <c r="O531" s="35" t="s">
        <v>1171</v>
      </c>
    </row>
    <row r="532" spans="1:16">
      <c r="A532" s="893"/>
      <c r="B532" s="893"/>
      <c r="C532" s="893"/>
      <c r="D532" s="893"/>
      <c r="E532" s="893"/>
      <c r="F532" s="893"/>
      <c r="G532" s="893"/>
      <c r="H532" s="893"/>
      <c r="I532" s="893"/>
      <c r="J532" s="893"/>
      <c r="K532" s="893"/>
      <c r="L532" s="893"/>
      <c r="M532" s="893"/>
      <c r="N532" s="706"/>
    </row>
    <row r="533" spans="1:16">
      <c r="A533" s="706"/>
      <c r="B533" s="706"/>
      <c r="C533" s="706"/>
      <c r="D533" s="706"/>
      <c r="E533" s="706"/>
      <c r="F533" s="706"/>
      <c r="G533" s="706"/>
      <c r="H533" s="706"/>
      <c r="I533" s="706"/>
      <c r="J533" s="706"/>
      <c r="K533" s="706"/>
    </row>
    <row r="534" spans="1:16" ht="18">
      <c r="A534" s="706"/>
      <c r="B534" s="1493" t="s">
        <v>1100</v>
      </c>
      <c r="C534" s="1493"/>
      <c r="D534" s="1493"/>
      <c r="E534" s="1493"/>
      <c r="F534" s="1493"/>
      <c r="G534" s="1493"/>
      <c r="H534" s="1493"/>
      <c r="I534" s="1493"/>
      <c r="J534" s="1493"/>
      <c r="K534" s="1493"/>
      <c r="L534" s="1493"/>
      <c r="M534" s="1493"/>
      <c r="N534" s="1493"/>
      <c r="O534" s="1493"/>
    </row>
    <row r="535" spans="1:16" ht="18">
      <c r="A535" s="706"/>
      <c r="B535" s="1493" t="s">
        <v>1101</v>
      </c>
      <c r="C535" s="1493"/>
      <c r="D535" s="1493"/>
      <c r="E535" s="1493"/>
      <c r="F535" s="1493"/>
      <c r="G535" s="1493"/>
      <c r="H535" s="1493"/>
      <c r="I535" s="1493"/>
      <c r="J535" s="1493"/>
      <c r="K535" s="1493"/>
      <c r="L535" s="1493"/>
      <c r="M535" s="1493"/>
      <c r="N535" s="1493"/>
      <c r="O535" s="1493"/>
    </row>
    <row r="536" spans="1:16">
      <c r="A536" s="706"/>
      <c r="B536" s="706"/>
      <c r="C536" s="706"/>
      <c r="D536" s="706"/>
      <c r="E536" s="706"/>
      <c r="F536" s="706"/>
      <c r="G536" s="706"/>
      <c r="H536" s="706"/>
      <c r="I536" s="706"/>
      <c r="J536" s="706"/>
      <c r="K536" s="706"/>
    </row>
    <row r="537" spans="1:16">
      <c r="A537" s="706"/>
      <c r="B537" s="706"/>
      <c r="C537" s="706"/>
      <c r="D537" s="706"/>
      <c r="E537" s="706"/>
      <c r="F537" s="706"/>
      <c r="G537" s="706"/>
      <c r="H537" s="706"/>
      <c r="I537" s="706"/>
      <c r="J537" s="706"/>
      <c r="K537" s="706"/>
    </row>
    <row r="538" spans="1:16" ht="15.75">
      <c r="A538" s="706"/>
      <c r="B538" s="897" t="s">
        <v>1102</v>
      </c>
      <c r="C538" s="706"/>
      <c r="D538" s="1494" t="s">
        <v>482</v>
      </c>
      <c r="E538" s="1494"/>
      <c r="F538" s="1494"/>
      <c r="G538" s="1494"/>
      <c r="H538" s="1494"/>
      <c r="I538" s="1494"/>
      <c r="J538" s="1494"/>
      <c r="K538" s="1494"/>
      <c r="L538" s="1494"/>
      <c r="M538" s="1494"/>
      <c r="N538" s="1494"/>
      <c r="O538" s="1494"/>
      <c r="P538" s="706"/>
    </row>
    <row r="539" spans="1:16" ht="15.75">
      <c r="A539" s="706"/>
      <c r="B539" s="898"/>
      <c r="C539" s="706"/>
      <c r="D539" s="899"/>
      <c r="E539" s="899"/>
      <c r="F539" s="899"/>
      <c r="G539" s="899"/>
      <c r="H539" s="899"/>
      <c r="I539" s="899"/>
      <c r="J539" s="899"/>
      <c r="K539" s="899"/>
      <c r="L539" s="899"/>
      <c r="M539" s="899"/>
      <c r="N539" s="899"/>
      <c r="O539" s="899"/>
      <c r="P539" s="706"/>
    </row>
    <row r="540" spans="1:16">
      <c r="A540" s="706"/>
      <c r="B540" s="900"/>
      <c r="C540" s="706"/>
      <c r="D540" s="711" t="s">
        <v>1103</v>
      </c>
      <c r="E540" s="711"/>
      <c r="F540" s="901">
        <v>36</v>
      </c>
      <c r="G540" s="711" t="s">
        <v>1104</v>
      </c>
      <c r="H540" s="706"/>
      <c r="I540" s="706"/>
      <c r="J540" s="706"/>
      <c r="K540" s="706"/>
      <c r="L540" s="706"/>
      <c r="M540" s="706"/>
      <c r="N540" s="706"/>
      <c r="O540" s="706"/>
      <c r="P540" s="706"/>
    </row>
    <row r="541" spans="1:16">
      <c r="A541" s="706"/>
      <c r="B541" s="900"/>
      <c r="C541" s="706"/>
      <c r="D541" s="706"/>
      <c r="E541" s="706"/>
      <c r="F541" s="706"/>
      <c r="G541" s="706"/>
      <c r="H541" s="706"/>
      <c r="I541" s="706"/>
      <c r="J541" s="706"/>
      <c r="K541" s="706"/>
      <c r="L541" s="706"/>
      <c r="M541" s="706"/>
      <c r="N541" s="706"/>
      <c r="O541" s="706"/>
      <c r="P541" s="706"/>
    </row>
    <row r="542" spans="1:16">
      <c r="A542" s="706"/>
      <c r="B542" s="900"/>
      <c r="C542" s="706"/>
      <c r="D542" s="902"/>
      <c r="E542" s="902"/>
      <c r="F542" s="1495" t="s">
        <v>1105</v>
      </c>
      <c r="G542" s="1496"/>
      <c r="H542" s="1497"/>
      <c r="I542" s="706"/>
      <c r="J542" s="1495" t="s">
        <v>1106</v>
      </c>
      <c r="K542" s="1496"/>
      <c r="L542" s="1497"/>
      <c r="M542" s="706"/>
      <c r="N542" s="1495" t="s">
        <v>1107</v>
      </c>
      <c r="O542" s="1497"/>
      <c r="P542" s="706"/>
    </row>
    <row r="543" spans="1:16" ht="12.75" customHeight="1">
      <c r="A543" s="706"/>
      <c r="B543" s="900"/>
      <c r="C543" s="706"/>
      <c r="D543" s="1485" t="s">
        <v>1108</v>
      </c>
      <c r="E543" s="903"/>
      <c r="F543" s="904" t="s">
        <v>1109</v>
      </c>
      <c r="G543" s="904" t="s">
        <v>1110</v>
      </c>
      <c r="H543" s="905" t="s">
        <v>1111</v>
      </c>
      <c r="I543" s="706"/>
      <c r="J543" s="904" t="s">
        <v>1109</v>
      </c>
      <c r="K543" s="906" t="s">
        <v>1110</v>
      </c>
      <c r="L543" s="905" t="s">
        <v>1111</v>
      </c>
      <c r="M543" s="706"/>
      <c r="N543" s="1487" t="s">
        <v>1112</v>
      </c>
      <c r="O543" s="1489" t="s">
        <v>1113</v>
      </c>
      <c r="P543" s="706"/>
    </row>
    <row r="544" spans="1:16">
      <c r="A544" s="706"/>
      <c r="B544" s="900"/>
      <c r="C544" s="706"/>
      <c r="D544" s="1486"/>
      <c r="E544" s="903"/>
      <c r="F544" s="907" t="s">
        <v>831</v>
      </c>
      <c r="G544" s="907"/>
      <c r="H544" s="908" t="s">
        <v>831</v>
      </c>
      <c r="I544" s="706"/>
      <c r="J544" s="907" t="s">
        <v>831</v>
      </c>
      <c r="K544" s="908"/>
      <c r="L544" s="908" t="s">
        <v>831</v>
      </c>
      <c r="M544" s="706"/>
      <c r="N544" s="1488"/>
      <c r="O544" s="1490"/>
      <c r="P544" s="706"/>
    </row>
    <row r="545" spans="1:16">
      <c r="A545" s="706"/>
      <c r="B545" s="909" t="s">
        <v>1089</v>
      </c>
      <c r="C545" s="909"/>
      <c r="D545" s="910" t="s">
        <v>1114</v>
      </c>
      <c r="E545" s="911"/>
      <c r="F545" s="912">
        <v>3.71</v>
      </c>
      <c r="G545" s="913">
        <v>1</v>
      </c>
      <c r="H545" s="914">
        <f>G545*F545</f>
        <v>3.71</v>
      </c>
      <c r="I545" s="915"/>
      <c r="J545" s="916">
        <v>3.84</v>
      </c>
      <c r="K545" s="917">
        <v>1</v>
      </c>
      <c r="L545" s="914">
        <f>K545*J545</f>
        <v>3.84</v>
      </c>
      <c r="M545" s="915"/>
      <c r="N545" s="918">
        <f>L545-H545</f>
        <v>0.12999999999999989</v>
      </c>
      <c r="O545" s="919">
        <f>IF((H545)=0,"",(N545/H545))</f>
        <v>3.5040431266846334E-2</v>
      </c>
      <c r="P545" s="706"/>
    </row>
    <row r="546" spans="1:16">
      <c r="A546" s="706"/>
      <c r="B546" s="909" t="s">
        <v>1115</v>
      </c>
      <c r="C546" s="909"/>
      <c r="D546" s="910" t="s">
        <v>1114</v>
      </c>
      <c r="E546" s="911"/>
      <c r="F546" s="912">
        <v>0</v>
      </c>
      <c r="G546" s="913">
        <v>1</v>
      </c>
      <c r="H546" s="914">
        <f t="shared" ref="H546:H552" si="68">G546*F546</f>
        <v>0</v>
      </c>
      <c r="I546" s="915"/>
      <c r="J546" s="916">
        <v>0</v>
      </c>
      <c r="K546" s="917">
        <v>1</v>
      </c>
      <c r="L546" s="914">
        <f>K546*J546</f>
        <v>0</v>
      </c>
      <c r="M546" s="915"/>
      <c r="N546" s="918">
        <f>L546-H546</f>
        <v>0</v>
      </c>
      <c r="O546" s="919" t="str">
        <f>IF((H546)=0,"",(N546/H546))</f>
        <v/>
      </c>
      <c r="P546" s="706"/>
    </row>
    <row r="547" spans="1:16" hidden="1">
      <c r="A547" s="706"/>
      <c r="B547" s="920" t="s">
        <v>1116</v>
      </c>
      <c r="C547" s="909"/>
      <c r="D547" s="910" t="s">
        <v>1114</v>
      </c>
      <c r="E547" s="911"/>
      <c r="F547" s="912">
        <v>0</v>
      </c>
      <c r="G547" s="913">
        <v>1</v>
      </c>
      <c r="H547" s="914">
        <f t="shared" si="68"/>
        <v>0</v>
      </c>
      <c r="I547" s="915"/>
      <c r="J547" s="916">
        <v>0</v>
      </c>
      <c r="K547" s="917">
        <v>1</v>
      </c>
      <c r="L547" s="914">
        <f t="shared" ref="L547:L552" si="69">K547*J547</f>
        <v>0</v>
      </c>
      <c r="M547" s="915"/>
      <c r="N547" s="918">
        <f t="shared" ref="N547:N581" si="70">L547-H547</f>
        <v>0</v>
      </c>
      <c r="O547" s="919" t="str">
        <f t="shared" ref="O547:O553" si="71">IF((H547)=0,"",(N547/H547))</f>
        <v/>
      </c>
      <c r="P547" s="706"/>
    </row>
    <row r="548" spans="1:16">
      <c r="A548" s="706"/>
      <c r="B548" s="909" t="s">
        <v>1117</v>
      </c>
      <c r="C548" s="909"/>
      <c r="D548" s="910" t="s">
        <v>1088</v>
      </c>
      <c r="E548" s="911"/>
      <c r="F548" s="912">
        <v>11.8706</v>
      </c>
      <c r="G548" s="913">
        <v>0.1</v>
      </c>
      <c r="H548" s="914">
        <f t="shared" si="68"/>
        <v>1.18706</v>
      </c>
      <c r="I548" s="915"/>
      <c r="J548" s="916">
        <v>12.300800000000001</v>
      </c>
      <c r="K548" s="913">
        <v>0.1</v>
      </c>
      <c r="L548" s="914">
        <f t="shared" si="69"/>
        <v>1.2300800000000001</v>
      </c>
      <c r="M548" s="915"/>
      <c r="N548" s="918">
        <f t="shared" si="70"/>
        <v>4.3020000000000058E-2</v>
      </c>
      <c r="O548" s="919">
        <f t="shared" si="71"/>
        <v>3.624079658989441E-2</v>
      </c>
      <c r="P548" s="706"/>
    </row>
    <row r="549" spans="1:16">
      <c r="A549" s="706"/>
      <c r="B549" s="909" t="s">
        <v>1118</v>
      </c>
      <c r="C549" s="909"/>
      <c r="D549" s="910" t="s">
        <v>1114</v>
      </c>
      <c r="E549" s="911"/>
      <c r="F549" s="912">
        <v>0</v>
      </c>
      <c r="G549" s="913">
        <v>1</v>
      </c>
      <c r="H549" s="914">
        <f t="shared" si="68"/>
        <v>0</v>
      </c>
      <c r="I549" s="915"/>
      <c r="J549" s="916">
        <v>0</v>
      </c>
      <c r="K549" s="913">
        <v>1</v>
      </c>
      <c r="L549" s="914">
        <f t="shared" si="69"/>
        <v>0</v>
      </c>
      <c r="M549" s="915"/>
      <c r="N549" s="918">
        <f t="shared" si="70"/>
        <v>0</v>
      </c>
      <c r="O549" s="919" t="str">
        <f t="shared" si="71"/>
        <v/>
      </c>
      <c r="P549" s="706"/>
    </row>
    <row r="550" spans="1:16">
      <c r="A550" s="706"/>
      <c r="B550" s="909" t="s">
        <v>1119</v>
      </c>
      <c r="C550" s="909"/>
      <c r="D550" s="910" t="s">
        <v>1088</v>
      </c>
      <c r="E550" s="911"/>
      <c r="F550" s="912">
        <v>0</v>
      </c>
      <c r="G550" s="913">
        <v>0.1</v>
      </c>
      <c r="H550" s="914">
        <f t="shared" si="68"/>
        <v>0</v>
      </c>
      <c r="I550" s="915"/>
      <c r="J550" s="916">
        <v>0</v>
      </c>
      <c r="K550" s="913">
        <v>0.1</v>
      </c>
      <c r="L550" s="914">
        <f t="shared" si="69"/>
        <v>0</v>
      </c>
      <c r="M550" s="915"/>
      <c r="N550" s="918">
        <f t="shared" si="70"/>
        <v>0</v>
      </c>
      <c r="O550" s="919" t="str">
        <f t="shared" si="71"/>
        <v/>
      </c>
      <c r="P550" s="706"/>
    </row>
    <row r="551" spans="1:16">
      <c r="A551" s="706"/>
      <c r="B551" s="921" t="s">
        <v>1120</v>
      </c>
      <c r="C551" s="909"/>
      <c r="D551" s="910" t="s">
        <v>1088</v>
      </c>
      <c r="E551" s="911"/>
      <c r="F551" s="912">
        <v>-0.41039999999999999</v>
      </c>
      <c r="G551" s="913">
        <v>0.1</v>
      </c>
      <c r="H551" s="914">
        <f t="shared" si="68"/>
        <v>-4.104E-2</v>
      </c>
      <c r="I551" s="915"/>
      <c r="J551" s="916">
        <v>0</v>
      </c>
      <c r="K551" s="913">
        <v>0.1</v>
      </c>
      <c r="L551" s="914">
        <f t="shared" si="69"/>
        <v>0</v>
      </c>
      <c r="M551" s="915"/>
      <c r="N551" s="918">
        <f t="shared" si="70"/>
        <v>4.104E-2</v>
      </c>
      <c r="O551" s="919">
        <f t="shared" si="71"/>
        <v>-1</v>
      </c>
      <c r="P551" s="706"/>
    </row>
    <row r="552" spans="1:16">
      <c r="A552" s="706"/>
      <c r="B552" s="921" t="s">
        <v>1121</v>
      </c>
      <c r="C552" s="909"/>
      <c r="D552" s="910" t="s">
        <v>1114</v>
      </c>
      <c r="E552" s="911"/>
      <c r="F552" s="912">
        <v>0</v>
      </c>
      <c r="G552" s="913">
        <v>1</v>
      </c>
      <c r="H552" s="914">
        <f t="shared" si="68"/>
        <v>0</v>
      </c>
      <c r="I552" s="915"/>
      <c r="J552" s="916">
        <v>0</v>
      </c>
      <c r="K552" s="913">
        <v>1</v>
      </c>
      <c r="L552" s="914">
        <f t="shared" si="69"/>
        <v>0</v>
      </c>
      <c r="M552" s="915"/>
      <c r="N552" s="918">
        <f t="shared" si="70"/>
        <v>0</v>
      </c>
      <c r="O552" s="919" t="str">
        <f t="shared" si="71"/>
        <v/>
      </c>
      <c r="P552" s="706"/>
    </row>
    <row r="553" spans="1:16">
      <c r="A553" s="755"/>
      <c r="B553" s="922" t="s">
        <v>1122</v>
      </c>
      <c r="C553" s="923"/>
      <c r="D553" s="924"/>
      <c r="E553" s="923"/>
      <c r="F553" s="925"/>
      <c r="G553" s="926"/>
      <c r="H553" s="927">
        <f>SUM(H545:H552)</f>
        <v>4.85602</v>
      </c>
      <c r="I553" s="928"/>
      <c r="J553" s="929"/>
      <c r="K553" s="930"/>
      <c r="L553" s="927">
        <f>SUM(L545:L552)</f>
        <v>5.0700799999999999</v>
      </c>
      <c r="M553" s="928"/>
      <c r="N553" s="931">
        <f t="shared" si="70"/>
        <v>0.21405999999999992</v>
      </c>
      <c r="O553" s="932">
        <f t="shared" si="71"/>
        <v>4.4081367045440488E-2</v>
      </c>
      <c r="P553" s="755"/>
    </row>
    <row r="554" spans="1:16">
      <c r="A554" s="706"/>
      <c r="B554" s="933" t="s">
        <v>1123</v>
      </c>
      <c r="C554" s="909"/>
      <c r="D554" s="910" t="s">
        <v>1088</v>
      </c>
      <c r="E554" s="911"/>
      <c r="F554" s="912">
        <v>-0.16800000000000001</v>
      </c>
      <c r="G554" s="913">
        <v>0.1</v>
      </c>
      <c r="H554" s="914">
        <f>G554*F554</f>
        <v>-1.6800000000000002E-2</v>
      </c>
      <c r="I554" s="915"/>
      <c r="J554" s="916">
        <v>-7.1999999999999998E-3</v>
      </c>
      <c r="K554" s="913">
        <v>0.1</v>
      </c>
      <c r="L554" s="914">
        <f t="shared" ref="L554:L556" si="72">K554*J554</f>
        <v>-7.2000000000000005E-4</v>
      </c>
      <c r="M554" s="915"/>
      <c r="N554" s="918">
        <f t="shared" si="70"/>
        <v>1.6080000000000004E-2</v>
      </c>
      <c r="O554" s="919">
        <f>IF((H554)=0,"",(N554/H554))</f>
        <v>-0.9571428571428573</v>
      </c>
      <c r="P554" s="706"/>
    </row>
    <row r="555" spans="1:16">
      <c r="A555" s="706"/>
      <c r="B555" s="934" t="s">
        <v>1124</v>
      </c>
      <c r="C555" s="909"/>
      <c r="D555" s="910" t="s">
        <v>1088</v>
      </c>
      <c r="E555" s="911"/>
      <c r="F555" s="912">
        <v>5.0299999999999997E-2</v>
      </c>
      <c r="G555" s="913">
        <v>0.1</v>
      </c>
      <c r="H555" s="914">
        <f>G555*F555</f>
        <v>5.0299999999999997E-3</v>
      </c>
      <c r="I555" s="915"/>
      <c r="J555" s="916">
        <v>5.4800000000000001E-2</v>
      </c>
      <c r="K555" s="913">
        <v>0.1</v>
      </c>
      <c r="L555" s="914">
        <f t="shared" si="72"/>
        <v>5.4800000000000005E-3</v>
      </c>
      <c r="M555" s="915"/>
      <c r="N555" s="918">
        <f t="shared" si="70"/>
        <v>4.5000000000000075E-4</v>
      </c>
      <c r="O555" s="919">
        <f>IF((H555)=0,"",(N555/H555))</f>
        <v>8.9463220675944491E-2</v>
      </c>
      <c r="P555" s="706"/>
    </row>
    <row r="556" spans="1:16">
      <c r="A556" s="706"/>
      <c r="B556" s="934" t="s">
        <v>1125</v>
      </c>
      <c r="C556" s="909"/>
      <c r="D556" s="910"/>
      <c r="E556" s="911"/>
      <c r="F556" s="935"/>
      <c r="G556" s="936"/>
      <c r="H556" s="937"/>
      <c r="I556" s="915"/>
      <c r="J556" s="916"/>
      <c r="K556" s="913">
        <f>F540</f>
        <v>36</v>
      </c>
      <c r="L556" s="914">
        <f t="shared" si="72"/>
        <v>0</v>
      </c>
      <c r="M556" s="915"/>
      <c r="N556" s="918">
        <f t="shared" si="70"/>
        <v>0</v>
      </c>
      <c r="O556" s="919"/>
      <c r="P556" s="706"/>
    </row>
    <row r="557" spans="1:16">
      <c r="A557" s="706"/>
      <c r="B557" s="938" t="s">
        <v>1126</v>
      </c>
      <c r="C557" s="939"/>
      <c r="D557" s="939"/>
      <c r="E557" s="939"/>
      <c r="F557" s="940"/>
      <c r="G557" s="941"/>
      <c r="H557" s="942">
        <f>SUM(H553:H556)</f>
        <v>4.8442499999999997</v>
      </c>
      <c r="I557" s="928"/>
      <c r="J557" s="941"/>
      <c r="K557" s="943"/>
      <c r="L557" s="942">
        <f>SUM(L553:L556)</f>
        <v>5.07484</v>
      </c>
      <c r="M557" s="928"/>
      <c r="N557" s="931">
        <f t="shared" si="70"/>
        <v>0.23059000000000029</v>
      </c>
      <c r="O557" s="932">
        <f t="shared" ref="O557:O581" si="73">IF((H557)=0,"",(N557/H557))</f>
        <v>4.7600763792124745E-2</v>
      </c>
      <c r="P557" s="706"/>
    </row>
    <row r="558" spans="1:16">
      <c r="A558" s="706"/>
      <c r="B558" s="915" t="s">
        <v>1127</v>
      </c>
      <c r="C558" s="915"/>
      <c r="D558" s="944" t="s">
        <v>1088</v>
      </c>
      <c r="E558" s="945"/>
      <c r="F558" s="916">
        <v>1.7724</v>
      </c>
      <c r="G558" s="946">
        <f>0.1</f>
        <v>0.1</v>
      </c>
      <c r="H558" s="914">
        <f>G558*F558</f>
        <v>0.17724000000000001</v>
      </c>
      <c r="I558" s="915"/>
      <c r="J558" s="916">
        <v>1.7621</v>
      </c>
      <c r="K558" s="947">
        <f>0.1</f>
        <v>0.1</v>
      </c>
      <c r="L558" s="914">
        <f>K558*J558</f>
        <v>0.17621000000000001</v>
      </c>
      <c r="M558" s="915"/>
      <c r="N558" s="918">
        <f t="shared" si="70"/>
        <v>-1.0300000000000031E-3</v>
      </c>
      <c r="O558" s="919">
        <f t="shared" si="73"/>
        <v>-5.8113292710449283E-3</v>
      </c>
      <c r="P558" s="706"/>
    </row>
    <row r="559" spans="1:16">
      <c r="A559" s="706"/>
      <c r="B559" s="948" t="s">
        <v>1128</v>
      </c>
      <c r="C559" s="915"/>
      <c r="D559" s="944" t="s">
        <v>1087</v>
      </c>
      <c r="E559" s="945"/>
      <c r="F559" s="916">
        <v>1.0962000000000001</v>
      </c>
      <c r="G559" s="946">
        <f>G558</f>
        <v>0.1</v>
      </c>
      <c r="H559" s="914">
        <f>G559*F559</f>
        <v>0.10962000000000001</v>
      </c>
      <c r="I559" s="915"/>
      <c r="J559" s="916">
        <v>1.0606</v>
      </c>
      <c r="K559" s="947">
        <f>K558</f>
        <v>0.1</v>
      </c>
      <c r="L559" s="914">
        <f>K559*J559</f>
        <v>0.10606</v>
      </c>
      <c r="M559" s="915"/>
      <c r="N559" s="918">
        <f t="shared" si="70"/>
        <v>-3.5600000000000076E-3</v>
      </c>
      <c r="O559" s="919">
        <f t="shared" si="73"/>
        <v>-3.247582557927392E-2</v>
      </c>
      <c r="P559" s="706"/>
    </row>
    <row r="560" spans="1:16">
      <c r="A560" s="706"/>
      <c r="B560" s="938" t="s">
        <v>1129</v>
      </c>
      <c r="C560" s="923"/>
      <c r="D560" s="923"/>
      <c r="E560" s="923"/>
      <c r="F560" s="949"/>
      <c r="G560" s="941"/>
      <c r="H560" s="942">
        <f>SUM(H557:H559)</f>
        <v>5.1311099999999996</v>
      </c>
      <c r="I560" s="950"/>
      <c r="J560" s="951"/>
      <c r="K560" s="952"/>
      <c r="L560" s="942">
        <f>SUM(L557:L559)</f>
        <v>5.3571100000000005</v>
      </c>
      <c r="M560" s="950"/>
      <c r="N560" s="931">
        <f t="shared" si="70"/>
        <v>0.22600000000000087</v>
      </c>
      <c r="O560" s="932">
        <f t="shared" si="73"/>
        <v>4.4045050681041899E-2</v>
      </c>
      <c r="P560" s="706"/>
    </row>
    <row r="561" spans="1:16">
      <c r="A561" s="706"/>
      <c r="B561" s="953" t="s">
        <v>1130</v>
      </c>
      <c r="C561" s="909"/>
      <c r="D561" s="910" t="s">
        <v>1087</v>
      </c>
      <c r="E561" s="911"/>
      <c r="F561" s="956">
        <v>4.4000000000000003E-3</v>
      </c>
      <c r="G561" s="946">
        <f>F540*(1+F584)</f>
        <v>37.897199999999998</v>
      </c>
      <c r="H561" s="955">
        <f t="shared" ref="H561:H569" si="74">G561*F561</f>
        <v>0.16674768000000001</v>
      </c>
      <c r="I561" s="915"/>
      <c r="J561" s="956">
        <v>4.4000000000000003E-3</v>
      </c>
      <c r="K561" s="947">
        <f>F540*(1+J584)</f>
        <v>37.942979867901116</v>
      </c>
      <c r="L561" s="955">
        <f t="shared" ref="L561:L569" si="75">K561*J561</f>
        <v>0.16694911141876492</v>
      </c>
      <c r="M561" s="915"/>
      <c r="N561" s="918">
        <f t="shared" si="70"/>
        <v>2.0143141876491355E-4</v>
      </c>
      <c r="O561" s="957">
        <f t="shared" si="73"/>
        <v>1.2080013273043052E-3</v>
      </c>
      <c r="P561" s="706"/>
    </row>
    <row r="562" spans="1:16">
      <c r="A562" s="706"/>
      <c r="B562" s="953" t="s">
        <v>1131</v>
      </c>
      <c r="C562" s="909"/>
      <c r="D562" s="910" t="s">
        <v>1087</v>
      </c>
      <c r="E562" s="911"/>
      <c r="F562" s="956">
        <v>1.1999999999999999E-3</v>
      </c>
      <c r="G562" s="946">
        <f>F540*(1+F584)</f>
        <v>37.897199999999998</v>
      </c>
      <c r="H562" s="955">
        <f t="shared" si="74"/>
        <v>4.5476639999999992E-2</v>
      </c>
      <c r="I562" s="915"/>
      <c r="J562" s="956">
        <v>1.1999999999999999E-3</v>
      </c>
      <c r="K562" s="947">
        <f>F540*(1+J584)</f>
        <v>37.942979867901116</v>
      </c>
      <c r="L562" s="955">
        <f t="shared" si="75"/>
        <v>4.5531575841481334E-2</v>
      </c>
      <c r="M562" s="915"/>
      <c r="N562" s="918">
        <f t="shared" si="70"/>
        <v>5.4935841481341952E-5</v>
      </c>
      <c r="O562" s="957">
        <f t="shared" si="73"/>
        <v>1.208001327304347E-3</v>
      </c>
      <c r="P562" s="706"/>
    </row>
    <row r="563" spans="1:16">
      <c r="A563" s="706"/>
      <c r="B563" s="909" t="s">
        <v>1132</v>
      </c>
      <c r="C563" s="909"/>
      <c r="D563" s="910" t="s">
        <v>1114</v>
      </c>
      <c r="E563" s="911"/>
      <c r="F563" s="954">
        <v>0.25</v>
      </c>
      <c r="G563" s="913">
        <v>1</v>
      </c>
      <c r="H563" s="955">
        <f t="shared" si="74"/>
        <v>0.25</v>
      </c>
      <c r="I563" s="915"/>
      <c r="J563" s="954">
        <v>0.25</v>
      </c>
      <c r="K563" s="917">
        <v>1</v>
      </c>
      <c r="L563" s="955">
        <f t="shared" si="75"/>
        <v>0.25</v>
      </c>
      <c r="M563" s="915"/>
      <c r="N563" s="918">
        <f t="shared" si="70"/>
        <v>0</v>
      </c>
      <c r="O563" s="957">
        <f t="shared" si="73"/>
        <v>0</v>
      </c>
      <c r="P563" s="706"/>
    </row>
    <row r="564" spans="1:16">
      <c r="A564" s="706"/>
      <c r="B564" s="909" t="s">
        <v>1133</v>
      </c>
      <c r="C564" s="909"/>
      <c r="D564" s="910" t="s">
        <v>1087</v>
      </c>
      <c r="E564" s="911"/>
      <c r="F564" s="954">
        <v>7.0000000000000001E-3</v>
      </c>
      <c r="G564" s="946">
        <f>F540</f>
        <v>36</v>
      </c>
      <c r="H564" s="955">
        <f t="shared" si="74"/>
        <v>0.252</v>
      </c>
      <c r="I564" s="915"/>
      <c r="J564" s="954">
        <v>7.0000000000000001E-3</v>
      </c>
      <c r="K564" s="947">
        <f>F540</f>
        <v>36</v>
      </c>
      <c r="L564" s="955">
        <f t="shared" si="75"/>
        <v>0.252</v>
      </c>
      <c r="M564" s="915"/>
      <c r="N564" s="918">
        <f t="shared" si="70"/>
        <v>0</v>
      </c>
      <c r="O564" s="957">
        <f t="shared" si="73"/>
        <v>0</v>
      </c>
      <c r="P564" s="706"/>
    </row>
    <row r="565" spans="1:16">
      <c r="A565" s="706"/>
      <c r="B565" s="934" t="s">
        <v>1134</v>
      </c>
      <c r="C565" s="909"/>
      <c r="D565" s="910" t="s">
        <v>1087</v>
      </c>
      <c r="E565" s="911"/>
      <c r="F565" s="958">
        <v>7.3999999999999996E-2</v>
      </c>
      <c r="G565" s="946">
        <f>IF($F$540&gt;=750,750,$F$540*(1+F584))</f>
        <v>37.897199999999998</v>
      </c>
      <c r="H565" s="955">
        <f>G565*F565</f>
        <v>2.8043927999999996</v>
      </c>
      <c r="I565" s="915"/>
      <c r="J565" s="958">
        <v>7.3999999999999996E-2</v>
      </c>
      <c r="K565" s="946">
        <f>IF($F$540&gt;=750,750,$F$540*(1+J584))</f>
        <v>37.942979867901116</v>
      </c>
      <c r="L565" s="955">
        <f>K565*J565</f>
        <v>2.8077805102246822</v>
      </c>
      <c r="M565" s="915"/>
      <c r="N565" s="918">
        <f t="shared" si="70"/>
        <v>3.3877102246826496E-3</v>
      </c>
      <c r="O565" s="957">
        <f t="shared" si="73"/>
        <v>1.20800132730431E-3</v>
      </c>
      <c r="P565" s="706"/>
    </row>
    <row r="566" spans="1:16">
      <c r="A566" s="706"/>
      <c r="B566" s="934" t="s">
        <v>1135</v>
      </c>
      <c r="C566" s="909"/>
      <c r="D566" s="910" t="s">
        <v>1087</v>
      </c>
      <c r="E566" s="911"/>
      <c r="F566" s="958">
        <v>8.6999999999999994E-2</v>
      </c>
      <c r="G566" s="946">
        <f>IF($F$540&gt;=750,$F$540*(1+F584)-750,0)</f>
        <v>0</v>
      </c>
      <c r="H566" s="955">
        <f>G566*F566</f>
        <v>0</v>
      </c>
      <c r="I566" s="915"/>
      <c r="J566" s="958">
        <v>8.6999999999999994E-2</v>
      </c>
      <c r="K566" s="946">
        <f>IF($F$540&gt;=750,$F$540*(1+J584)-750,0)</f>
        <v>0</v>
      </c>
      <c r="L566" s="955">
        <f>K566*J566</f>
        <v>0</v>
      </c>
      <c r="M566" s="915"/>
      <c r="N566" s="918">
        <f t="shared" si="70"/>
        <v>0</v>
      </c>
      <c r="O566" s="957" t="str">
        <f t="shared" si="73"/>
        <v/>
      </c>
      <c r="P566" s="706"/>
    </row>
    <row r="567" spans="1:16">
      <c r="A567" s="706"/>
      <c r="B567" s="934" t="s">
        <v>1136</v>
      </c>
      <c r="C567" s="909"/>
      <c r="D567" s="910" t="s">
        <v>1087</v>
      </c>
      <c r="E567" s="911"/>
      <c r="F567" s="958">
        <v>6.3E-2</v>
      </c>
      <c r="G567" s="959">
        <f>0.64*$F$540+(1+F584)</f>
        <v>24.092700000000001</v>
      </c>
      <c r="H567" s="955">
        <f t="shared" si="74"/>
        <v>1.5178401000000001</v>
      </c>
      <c r="I567" s="915"/>
      <c r="J567" s="958">
        <v>6.3E-2</v>
      </c>
      <c r="K567" s="959">
        <f>0.64*$F$540+(1+J584)</f>
        <v>24.093971662997252</v>
      </c>
      <c r="L567" s="955">
        <f t="shared" si="75"/>
        <v>1.5179202147688269</v>
      </c>
      <c r="M567" s="915"/>
      <c r="N567" s="918">
        <f t="shared" si="70"/>
        <v>8.0114768826744509E-5</v>
      </c>
      <c r="O567" s="957">
        <f t="shared" si="73"/>
        <v>5.278208740614015E-5</v>
      </c>
      <c r="P567" s="706"/>
    </row>
    <row r="568" spans="1:16">
      <c r="A568" s="706"/>
      <c r="B568" s="934" t="s">
        <v>1137</v>
      </c>
      <c r="C568" s="909"/>
      <c r="D568" s="910" t="s">
        <v>1087</v>
      </c>
      <c r="E568" s="911"/>
      <c r="F568" s="958">
        <v>9.9000000000000005E-2</v>
      </c>
      <c r="G568" s="959">
        <f>0.18*$F$540*(1+F584)</f>
        <v>6.8214959999999989</v>
      </c>
      <c r="H568" s="955">
        <f t="shared" si="74"/>
        <v>0.67532810399999987</v>
      </c>
      <c r="I568" s="915"/>
      <c r="J568" s="958">
        <v>9.9000000000000005E-2</v>
      </c>
      <c r="K568" s="959">
        <f>0.18*$F$540*(1+J584)</f>
        <v>6.8297363762222005</v>
      </c>
      <c r="L568" s="955">
        <f t="shared" si="75"/>
        <v>0.67614390124599788</v>
      </c>
      <c r="M568" s="915"/>
      <c r="N568" s="918">
        <f t="shared" si="70"/>
        <v>8.1579724599800674E-4</v>
      </c>
      <c r="O568" s="957">
        <f t="shared" si="73"/>
        <v>1.2080013273044637E-3</v>
      </c>
      <c r="P568" s="706"/>
    </row>
    <row r="569" spans="1:16" ht="13.5" thickBot="1">
      <c r="A569" s="706"/>
      <c r="B569" s="900" t="s">
        <v>1138</v>
      </c>
      <c r="C569" s="909"/>
      <c r="D569" s="910" t="s">
        <v>1087</v>
      </c>
      <c r="E569" s="911"/>
      <c r="F569" s="958">
        <v>0.11799999999999999</v>
      </c>
      <c r="G569" s="959">
        <f>0.18*$F$540*(1+F584)</f>
        <v>6.8214959999999989</v>
      </c>
      <c r="H569" s="955">
        <f t="shared" si="74"/>
        <v>0.80493652799999982</v>
      </c>
      <c r="I569" s="915"/>
      <c r="J569" s="958">
        <v>0.11799999999999999</v>
      </c>
      <c r="K569" s="959">
        <f>0.18*$F$540*(1+J584)</f>
        <v>6.8297363762222005</v>
      </c>
      <c r="L569" s="955">
        <f t="shared" si="75"/>
        <v>0.80590889239421959</v>
      </c>
      <c r="M569" s="915"/>
      <c r="N569" s="918">
        <f t="shared" si="70"/>
        <v>9.7236439421977128E-4</v>
      </c>
      <c r="O569" s="957">
        <f t="shared" si="73"/>
        <v>1.2080013273043705E-3</v>
      </c>
      <c r="P569" s="706"/>
    </row>
    <row r="570" spans="1:16" ht="13.5" thickBot="1">
      <c r="A570" s="706"/>
      <c r="B570" s="960"/>
      <c r="C570" s="961"/>
      <c r="D570" s="962"/>
      <c r="E570" s="961"/>
      <c r="F570" s="963"/>
      <c r="G570" s="964"/>
      <c r="H570" s="965"/>
      <c r="I570" s="966"/>
      <c r="J570" s="963"/>
      <c r="K570" s="967"/>
      <c r="L570" s="965"/>
      <c r="M570" s="966"/>
      <c r="N570" s="968"/>
      <c r="O570" s="969"/>
      <c r="P570" s="706"/>
    </row>
    <row r="571" spans="1:16">
      <c r="A571" s="706"/>
      <c r="B571" s="970" t="s">
        <v>1139</v>
      </c>
      <c r="C571" s="909"/>
      <c r="D571" s="909"/>
      <c r="E571" s="909"/>
      <c r="F571" s="971"/>
      <c r="G571" s="972"/>
      <c r="H571" s="973">
        <f>SUM(H560:H566)</f>
        <v>8.6497271199999997</v>
      </c>
      <c r="I571" s="974"/>
      <c r="J571" s="975"/>
      <c r="K571" s="975"/>
      <c r="L571" s="976">
        <f>SUM(L560:L566)</f>
        <v>8.8793711974849288</v>
      </c>
      <c r="M571" s="977"/>
      <c r="N571" s="978">
        <f t="shared" si="70"/>
        <v>0.2296440774849291</v>
      </c>
      <c r="O571" s="979">
        <f t="shared" si="73"/>
        <v>2.6549285809715707E-2</v>
      </c>
      <c r="P571" s="706"/>
    </row>
    <row r="572" spans="1:16">
      <c r="A572" s="706"/>
      <c r="B572" s="980" t="s">
        <v>1140</v>
      </c>
      <c r="C572" s="909"/>
      <c r="D572" s="909"/>
      <c r="E572" s="909"/>
      <c r="F572" s="981">
        <v>0.13</v>
      </c>
      <c r="G572" s="972"/>
      <c r="H572" s="982">
        <f>H571*F572</f>
        <v>1.1244645256000001</v>
      </c>
      <c r="I572" s="983"/>
      <c r="J572" s="984">
        <v>0.13</v>
      </c>
      <c r="K572" s="985"/>
      <c r="L572" s="986">
        <f>L571*J572</f>
        <v>1.1543182556730407</v>
      </c>
      <c r="M572" s="987"/>
      <c r="N572" s="988">
        <f t="shared" si="70"/>
        <v>2.9853730073040596E-2</v>
      </c>
      <c r="O572" s="989">
        <f t="shared" si="73"/>
        <v>2.6549285809715537E-2</v>
      </c>
      <c r="P572" s="706"/>
    </row>
    <row r="573" spans="1:16">
      <c r="A573" s="706"/>
      <c r="B573" s="990" t="s">
        <v>1141</v>
      </c>
      <c r="C573" s="909"/>
      <c r="D573" s="909"/>
      <c r="E573" s="909"/>
      <c r="F573" s="991"/>
      <c r="G573" s="992"/>
      <c r="H573" s="982">
        <f>H571+H572</f>
        <v>9.7741916456000002</v>
      </c>
      <c r="I573" s="983"/>
      <c r="J573" s="983"/>
      <c r="K573" s="983"/>
      <c r="L573" s="986">
        <f>L571+L572</f>
        <v>10.033689453157969</v>
      </c>
      <c r="M573" s="987"/>
      <c r="N573" s="988">
        <f t="shared" si="70"/>
        <v>0.25949780755796859</v>
      </c>
      <c r="O573" s="989">
        <f t="shared" si="73"/>
        <v>2.6549285809715571E-2</v>
      </c>
      <c r="P573" s="706"/>
    </row>
    <row r="574" spans="1:16" ht="12.75" customHeight="1">
      <c r="A574" s="706"/>
      <c r="B574" s="1491" t="s">
        <v>1142</v>
      </c>
      <c r="C574" s="1491"/>
      <c r="D574" s="1491"/>
      <c r="E574" s="909"/>
      <c r="F574" s="991"/>
      <c r="G574" s="992"/>
      <c r="H574" s="993">
        <f>ROUND(-H573*10%,2)</f>
        <v>-0.98</v>
      </c>
      <c r="I574" s="983"/>
      <c r="J574" s="983"/>
      <c r="K574" s="983"/>
      <c r="L574" s="994">
        <f>ROUND(-L573*10%,2)</f>
        <v>-1</v>
      </c>
      <c r="M574" s="987"/>
      <c r="N574" s="995">
        <f t="shared" si="70"/>
        <v>-2.0000000000000018E-2</v>
      </c>
      <c r="O574" s="996">
        <f t="shared" si="73"/>
        <v>2.0408163265306142E-2</v>
      </c>
      <c r="P574" s="706"/>
    </row>
    <row r="575" spans="1:16" ht="13.5" customHeight="1" thickBot="1">
      <c r="A575" s="706"/>
      <c r="B575" s="1484" t="s">
        <v>1143</v>
      </c>
      <c r="C575" s="1484"/>
      <c r="D575" s="1484"/>
      <c r="E575" s="997"/>
      <c r="F575" s="998"/>
      <c r="G575" s="999"/>
      <c r="H575" s="1000">
        <f>SUM(H573:H574)</f>
        <v>8.7941916455999998</v>
      </c>
      <c r="I575" s="1001"/>
      <c r="J575" s="1001"/>
      <c r="K575" s="1001"/>
      <c r="L575" s="1002">
        <f>SUM(L573:L574)</f>
        <v>9.0336894531579688</v>
      </c>
      <c r="M575" s="1003"/>
      <c r="N575" s="1004">
        <f t="shared" si="70"/>
        <v>0.23949780755796901</v>
      </c>
      <c r="O575" s="1005">
        <f t="shared" si="73"/>
        <v>2.7233635245804202E-2</v>
      </c>
      <c r="P575" s="706"/>
    </row>
    <row r="576" spans="1:16" ht="13.5" thickBot="1">
      <c r="A576" s="706"/>
      <c r="B576" s="960"/>
      <c r="C576" s="961"/>
      <c r="D576" s="962"/>
      <c r="E576" s="961"/>
      <c r="F576" s="1006"/>
      <c r="G576" s="1007"/>
      <c r="H576" s="1008"/>
      <c r="I576" s="1009"/>
      <c r="J576" s="1006"/>
      <c r="K576" s="964"/>
      <c r="L576" s="1010"/>
      <c r="M576" s="966"/>
      <c r="N576" s="1011"/>
      <c r="O576" s="969"/>
      <c r="P576" s="706"/>
    </row>
    <row r="577" spans="1:16">
      <c r="A577" s="706"/>
      <c r="B577" s="970" t="s">
        <v>1144</v>
      </c>
      <c r="C577" s="909"/>
      <c r="D577" s="909"/>
      <c r="E577" s="909"/>
      <c r="F577" s="971"/>
      <c r="G577" s="972"/>
      <c r="H577" s="973">
        <f>SUM(H560:H564,H567:H569)</f>
        <v>8.8434390520000008</v>
      </c>
      <c r="I577" s="974"/>
      <c r="J577" s="975"/>
      <c r="K577" s="975"/>
      <c r="L577" s="1012">
        <f>SUM(L560:L564,L567:L569)</f>
        <v>9.0715636956692904</v>
      </c>
      <c r="M577" s="977"/>
      <c r="N577" s="978">
        <f>L577-H577</f>
        <v>0.22812464366928964</v>
      </c>
      <c r="O577" s="979">
        <f>IF((H577)=0,"",(N577/H577))</f>
        <v>2.5795919701362986E-2</v>
      </c>
      <c r="P577" s="706"/>
    </row>
    <row r="578" spans="1:16">
      <c r="A578" s="706"/>
      <c r="B578" s="980" t="s">
        <v>1140</v>
      </c>
      <c r="C578" s="909"/>
      <c r="D578" s="909"/>
      <c r="E578" s="909"/>
      <c r="F578" s="981">
        <v>0.13</v>
      </c>
      <c r="G578" s="992"/>
      <c r="H578" s="982">
        <f>H577*F578</f>
        <v>1.1496470767600002</v>
      </c>
      <c r="I578" s="983"/>
      <c r="J578" s="1013">
        <v>0.13</v>
      </c>
      <c r="K578" s="983"/>
      <c r="L578" s="986">
        <f>L577*J578</f>
        <v>1.1793032804370078</v>
      </c>
      <c r="M578" s="987"/>
      <c r="N578" s="988">
        <f t="shared" si="70"/>
        <v>2.9656203677007609E-2</v>
      </c>
      <c r="O578" s="989">
        <f t="shared" si="73"/>
        <v>2.5795919701362947E-2</v>
      </c>
      <c r="P578" s="706"/>
    </row>
    <row r="579" spans="1:16">
      <c r="A579" s="706"/>
      <c r="B579" s="990" t="s">
        <v>1141</v>
      </c>
      <c r="C579" s="909"/>
      <c r="D579" s="909"/>
      <c r="E579" s="909"/>
      <c r="F579" s="991"/>
      <c r="G579" s="992"/>
      <c r="H579" s="982">
        <f>H577+H578</f>
        <v>9.9930861287600017</v>
      </c>
      <c r="I579" s="983"/>
      <c r="J579" s="983"/>
      <c r="K579" s="983"/>
      <c r="L579" s="986">
        <f>L577+L578</f>
        <v>10.250866976106298</v>
      </c>
      <c r="M579" s="987"/>
      <c r="N579" s="988">
        <f t="shared" si="70"/>
        <v>0.25778084734629658</v>
      </c>
      <c r="O579" s="989">
        <f t="shared" si="73"/>
        <v>2.5795919701362913E-2</v>
      </c>
      <c r="P579" s="706"/>
    </row>
    <row r="580" spans="1:16" ht="12.75" customHeight="1">
      <c r="A580" s="706"/>
      <c r="B580" s="1491" t="s">
        <v>1142</v>
      </c>
      <c r="C580" s="1491"/>
      <c r="D580" s="1491"/>
      <c r="E580" s="909"/>
      <c r="F580" s="991"/>
      <c r="G580" s="992"/>
      <c r="H580" s="993">
        <f>ROUND(-H579*10%,2)</f>
        <v>-1</v>
      </c>
      <c r="I580" s="983"/>
      <c r="J580" s="983"/>
      <c r="K580" s="983"/>
      <c r="L580" s="994">
        <f>ROUND(-L579*10%,2)</f>
        <v>-1.03</v>
      </c>
      <c r="M580" s="987"/>
      <c r="N580" s="995">
        <f t="shared" si="70"/>
        <v>-3.0000000000000027E-2</v>
      </c>
      <c r="O580" s="996">
        <f t="shared" si="73"/>
        <v>3.0000000000000027E-2</v>
      </c>
      <c r="P580" s="706"/>
    </row>
    <row r="581" spans="1:16" ht="13.5" customHeight="1" thickBot="1">
      <c r="A581" s="706"/>
      <c r="B581" s="1484" t="s">
        <v>1145</v>
      </c>
      <c r="C581" s="1484"/>
      <c r="D581" s="1484"/>
      <c r="E581" s="997"/>
      <c r="F581" s="1014"/>
      <c r="G581" s="1015"/>
      <c r="H581" s="1016">
        <f>H579+H580</f>
        <v>8.9930861287600017</v>
      </c>
      <c r="I581" s="1017"/>
      <c r="J581" s="1017"/>
      <c r="K581" s="1017"/>
      <c r="L581" s="1018">
        <f>L579+L580</f>
        <v>9.2208669761062989</v>
      </c>
      <c r="M581" s="1019"/>
      <c r="N581" s="1020">
        <f t="shared" si="70"/>
        <v>0.22778084734629722</v>
      </c>
      <c r="O581" s="1021">
        <f t="shared" si="73"/>
        <v>2.5328440546994343E-2</v>
      </c>
      <c r="P581" s="706"/>
    </row>
    <row r="582" spans="1:16" ht="13.5" thickBot="1">
      <c r="A582" s="706"/>
      <c r="B582" s="960"/>
      <c r="C582" s="961"/>
      <c r="D582" s="962"/>
      <c r="E582" s="961"/>
      <c r="F582" s="1006"/>
      <c r="G582" s="1007"/>
      <c r="H582" s="1008"/>
      <c r="I582" s="1009"/>
      <c r="J582" s="1006"/>
      <c r="K582" s="964"/>
      <c r="L582" s="1010"/>
      <c r="M582" s="966"/>
      <c r="N582" s="1011"/>
      <c r="O582" s="969"/>
      <c r="P582" s="706"/>
    </row>
    <row r="583" spans="1:16">
      <c r="A583" s="706"/>
      <c r="B583" s="706"/>
      <c r="C583" s="706"/>
      <c r="D583" s="706"/>
      <c r="E583" s="706"/>
      <c r="F583" s="706"/>
      <c r="G583" s="706"/>
      <c r="H583" s="706"/>
      <c r="I583" s="706"/>
      <c r="J583" s="706"/>
      <c r="K583" s="706"/>
      <c r="L583" s="1022"/>
      <c r="M583" s="706"/>
      <c r="N583" s="706"/>
      <c r="O583" s="706"/>
      <c r="P583" s="706"/>
    </row>
    <row r="584" spans="1:16">
      <c r="A584" s="706"/>
      <c r="B584" s="711" t="s">
        <v>1146</v>
      </c>
      <c r="C584" s="706"/>
      <c r="D584" s="706"/>
      <c r="E584" s="706"/>
      <c r="F584" s="1023">
        <v>5.2699999999999969E-2</v>
      </c>
      <c r="G584" s="706"/>
      <c r="H584" s="706"/>
      <c r="I584" s="706"/>
      <c r="J584" s="1023">
        <v>5.3971662997253311E-2</v>
      </c>
      <c r="K584" s="706"/>
      <c r="L584" s="706"/>
      <c r="M584" s="706"/>
      <c r="N584" s="706"/>
      <c r="O584" s="706"/>
      <c r="P584" s="706"/>
    </row>
    <row r="585" spans="1:16">
      <c r="A585" s="706"/>
      <c r="B585" s="706"/>
      <c r="C585" s="706"/>
      <c r="D585" s="706"/>
      <c r="E585" s="706"/>
      <c r="F585" s="706"/>
      <c r="G585" s="706"/>
      <c r="H585" s="706"/>
      <c r="I585" s="706"/>
      <c r="J585" s="706"/>
      <c r="K585" s="706"/>
      <c r="L585" s="706"/>
      <c r="M585" s="706"/>
      <c r="N585" s="706"/>
      <c r="O585" s="706"/>
      <c r="P585" s="706"/>
    </row>
    <row r="586" spans="1:16" ht="14.25">
      <c r="A586" s="1024" t="s">
        <v>1147</v>
      </c>
      <c r="B586" s="706"/>
      <c r="C586" s="706"/>
      <c r="D586" s="706"/>
      <c r="E586" s="706"/>
      <c r="F586" s="706"/>
      <c r="G586" s="706"/>
      <c r="H586" s="706"/>
      <c r="I586" s="706"/>
      <c r="J586" s="706"/>
      <c r="K586" s="706"/>
      <c r="L586" s="706"/>
      <c r="M586" s="706"/>
      <c r="N586" s="706"/>
      <c r="O586" s="706"/>
      <c r="P586" s="706"/>
    </row>
    <row r="587" spans="1:16">
      <c r="A587" s="706"/>
      <c r="B587" s="706"/>
      <c r="C587" s="706"/>
      <c r="D587" s="706"/>
      <c r="E587" s="706"/>
      <c r="F587" s="706"/>
      <c r="G587" s="706"/>
      <c r="H587" s="706"/>
      <c r="I587" s="706"/>
      <c r="J587" s="706"/>
      <c r="K587" s="706"/>
      <c r="L587" s="706"/>
      <c r="M587" s="706"/>
      <c r="N587" s="706"/>
      <c r="O587" s="706"/>
      <c r="P587" s="706"/>
    </row>
    <row r="588" spans="1:16">
      <c r="A588" s="706" t="s">
        <v>1148</v>
      </c>
      <c r="B588" s="706"/>
      <c r="C588" s="706"/>
      <c r="D588" s="706"/>
      <c r="E588" s="706"/>
      <c r="F588" s="706"/>
      <c r="G588" s="706"/>
      <c r="H588" s="706"/>
      <c r="I588" s="706"/>
      <c r="J588" s="706"/>
      <c r="K588" s="706"/>
      <c r="L588" s="706"/>
      <c r="M588" s="706"/>
      <c r="N588" s="706"/>
      <c r="O588" s="706"/>
      <c r="P588" s="706"/>
    </row>
    <row r="589" spans="1:16">
      <c r="A589" s="706" t="s">
        <v>1149</v>
      </c>
      <c r="B589" s="706"/>
      <c r="C589" s="706"/>
      <c r="D589" s="706"/>
      <c r="E589" s="706"/>
      <c r="F589" s="706"/>
      <c r="G589" s="706"/>
      <c r="H589" s="706"/>
      <c r="I589" s="706"/>
      <c r="J589" s="706"/>
      <c r="K589" s="706"/>
      <c r="L589" s="706"/>
      <c r="M589" s="706"/>
      <c r="N589" s="706"/>
      <c r="O589" s="706"/>
      <c r="P589" s="706"/>
    </row>
    <row r="590" spans="1:16">
      <c r="A590" s="706"/>
      <c r="B590" s="706"/>
      <c r="C590" s="706"/>
      <c r="D590" s="706"/>
      <c r="E590" s="706"/>
      <c r="F590" s="706"/>
      <c r="G590" s="706"/>
      <c r="H590" s="706"/>
      <c r="I590" s="706"/>
      <c r="J590" s="706"/>
      <c r="K590" s="706"/>
      <c r="L590" s="706"/>
      <c r="M590" s="706"/>
      <c r="N590" s="706"/>
      <c r="O590" s="706"/>
      <c r="P590" s="706"/>
    </row>
    <row r="591" spans="1:16">
      <c r="A591" s="706" t="s">
        <v>1150</v>
      </c>
      <c r="B591" s="706"/>
      <c r="C591" s="706"/>
      <c r="D591" s="706"/>
      <c r="E591" s="706"/>
      <c r="F591" s="706"/>
      <c r="G591" s="706"/>
      <c r="H591" s="706"/>
      <c r="I591" s="706"/>
      <c r="J591" s="706"/>
      <c r="K591" s="706"/>
      <c r="L591" s="706"/>
      <c r="M591" s="706"/>
      <c r="N591" s="706"/>
      <c r="O591" s="706"/>
      <c r="P591" s="706"/>
    </row>
    <row r="592" spans="1:16">
      <c r="A592" s="706" t="s">
        <v>1151</v>
      </c>
      <c r="B592" s="706"/>
      <c r="C592" s="706"/>
      <c r="D592" s="706"/>
      <c r="E592" s="706"/>
      <c r="F592" s="706"/>
      <c r="G592" s="706"/>
      <c r="H592" s="706"/>
      <c r="I592" s="706"/>
      <c r="J592" s="706"/>
      <c r="K592" s="706"/>
      <c r="L592" s="706"/>
      <c r="M592" s="706"/>
      <c r="N592" s="706"/>
      <c r="O592" s="706"/>
      <c r="P592" s="706"/>
    </row>
    <row r="593" spans="1:16">
      <c r="A593" s="706"/>
      <c r="B593" s="706"/>
      <c r="C593" s="706"/>
      <c r="D593" s="706"/>
      <c r="E593" s="706"/>
      <c r="F593" s="706"/>
      <c r="G593" s="706"/>
      <c r="H593" s="706"/>
      <c r="I593" s="706"/>
      <c r="J593" s="706"/>
      <c r="K593" s="706"/>
      <c r="L593" s="706"/>
      <c r="M593" s="706"/>
      <c r="N593" s="706"/>
      <c r="O593" s="706"/>
      <c r="P593" s="706"/>
    </row>
    <row r="594" spans="1:16">
      <c r="A594" s="706" t="s">
        <v>1152</v>
      </c>
      <c r="B594" s="706"/>
      <c r="C594" s="706"/>
      <c r="D594" s="706"/>
      <c r="E594" s="706"/>
      <c r="F594" s="706"/>
      <c r="G594" s="706"/>
      <c r="H594" s="706"/>
      <c r="I594" s="706"/>
      <c r="J594" s="706"/>
      <c r="K594" s="706"/>
      <c r="L594" s="706"/>
      <c r="M594" s="706"/>
      <c r="N594" s="706"/>
      <c r="O594" s="706"/>
      <c r="P594" s="706"/>
    </row>
    <row r="595" spans="1:16">
      <c r="A595" s="706" t="s">
        <v>1153</v>
      </c>
      <c r="B595" s="706"/>
      <c r="C595" s="706"/>
      <c r="D595" s="706"/>
      <c r="E595" s="706"/>
      <c r="F595" s="706"/>
      <c r="G595" s="706"/>
      <c r="H595" s="706"/>
      <c r="I595" s="706"/>
      <c r="J595" s="706"/>
      <c r="K595" s="706"/>
      <c r="L595" s="706"/>
      <c r="M595" s="706"/>
      <c r="N595" s="706"/>
      <c r="O595" s="706"/>
      <c r="P595" s="706"/>
    </row>
    <row r="596" spans="1:16">
      <c r="A596" s="706" t="s">
        <v>1154</v>
      </c>
      <c r="B596" s="706"/>
      <c r="C596" s="706"/>
      <c r="D596" s="706"/>
      <c r="E596" s="706"/>
      <c r="F596" s="706"/>
      <c r="G596" s="706"/>
      <c r="H596" s="706"/>
      <c r="I596" s="706"/>
      <c r="J596" s="706"/>
      <c r="K596" s="706"/>
      <c r="L596" s="706"/>
      <c r="M596" s="706"/>
      <c r="N596" s="706"/>
      <c r="O596" s="706"/>
      <c r="P596" s="706"/>
    </row>
    <row r="597" spans="1:16">
      <c r="A597" s="706" t="s">
        <v>1155</v>
      </c>
      <c r="B597" s="706"/>
      <c r="C597" s="706"/>
      <c r="D597" s="706"/>
      <c r="E597" s="706"/>
      <c r="F597" s="706"/>
      <c r="G597" s="706"/>
      <c r="H597" s="706"/>
      <c r="I597" s="706"/>
      <c r="J597" s="706"/>
      <c r="K597" s="706"/>
      <c r="L597" s="706"/>
      <c r="M597" s="706"/>
      <c r="N597" s="706"/>
      <c r="O597" s="706"/>
      <c r="P597" s="706"/>
    </row>
    <row r="598" spans="1:16">
      <c r="A598" s="706" t="s">
        <v>1156</v>
      </c>
      <c r="B598" s="706"/>
      <c r="C598" s="706"/>
      <c r="D598" s="706"/>
      <c r="E598" s="706"/>
      <c r="F598" s="706"/>
      <c r="G598" s="706"/>
      <c r="H598" s="706"/>
      <c r="I598" s="706"/>
      <c r="J598" s="706"/>
      <c r="K598" s="706"/>
      <c r="L598" s="706"/>
      <c r="M598" s="706"/>
      <c r="N598" s="706"/>
      <c r="O598" s="706"/>
      <c r="P598" s="706"/>
    </row>
  </sheetData>
  <mergeCells count="112">
    <mergeCell ref="D19:D20"/>
    <mergeCell ref="N19:N20"/>
    <mergeCell ref="O19:O20"/>
    <mergeCell ref="B50:D50"/>
    <mergeCell ref="B51:D51"/>
    <mergeCell ref="B56:D56"/>
    <mergeCell ref="A3:K3"/>
    <mergeCell ref="B10:O10"/>
    <mergeCell ref="B11:O11"/>
    <mergeCell ref="D14:O14"/>
    <mergeCell ref="F18:H18"/>
    <mergeCell ref="J18:L18"/>
    <mergeCell ref="N18:O18"/>
    <mergeCell ref="D94:D95"/>
    <mergeCell ref="N94:N95"/>
    <mergeCell ref="O94:O95"/>
    <mergeCell ref="B125:D125"/>
    <mergeCell ref="B126:D126"/>
    <mergeCell ref="B131:D131"/>
    <mergeCell ref="B57:D57"/>
    <mergeCell ref="A78:K78"/>
    <mergeCell ref="B85:O85"/>
    <mergeCell ref="B86:O86"/>
    <mergeCell ref="D89:O89"/>
    <mergeCell ref="F93:H93"/>
    <mergeCell ref="J93:L93"/>
    <mergeCell ref="N93:O93"/>
    <mergeCell ref="D169:D170"/>
    <mergeCell ref="N169:N170"/>
    <mergeCell ref="O169:O170"/>
    <mergeCell ref="B200:D200"/>
    <mergeCell ref="B201:D201"/>
    <mergeCell ref="B206:D206"/>
    <mergeCell ref="B132:D132"/>
    <mergeCell ref="A153:K153"/>
    <mergeCell ref="B160:O160"/>
    <mergeCell ref="B161:O161"/>
    <mergeCell ref="D164:O164"/>
    <mergeCell ref="F168:H168"/>
    <mergeCell ref="J168:L168"/>
    <mergeCell ref="N168:O168"/>
    <mergeCell ref="D244:D245"/>
    <mergeCell ref="N244:N245"/>
    <mergeCell ref="O244:O245"/>
    <mergeCell ref="B275:D275"/>
    <mergeCell ref="B276:D276"/>
    <mergeCell ref="B281:D281"/>
    <mergeCell ref="B207:D207"/>
    <mergeCell ref="A228:K228"/>
    <mergeCell ref="B235:O235"/>
    <mergeCell ref="B236:O236"/>
    <mergeCell ref="D239:O239"/>
    <mergeCell ref="F243:H243"/>
    <mergeCell ref="J243:L243"/>
    <mergeCell ref="N243:O243"/>
    <mergeCell ref="D319:D320"/>
    <mergeCell ref="N319:N320"/>
    <mergeCell ref="O319:O320"/>
    <mergeCell ref="B349:D349"/>
    <mergeCell ref="B350:D350"/>
    <mergeCell ref="B355:D355"/>
    <mergeCell ref="B282:D282"/>
    <mergeCell ref="A303:K303"/>
    <mergeCell ref="B310:O310"/>
    <mergeCell ref="B311:O311"/>
    <mergeCell ref="D314:O314"/>
    <mergeCell ref="F318:H318"/>
    <mergeCell ref="J318:L318"/>
    <mergeCell ref="N318:O318"/>
    <mergeCell ref="D393:D394"/>
    <mergeCell ref="N393:N394"/>
    <mergeCell ref="O393:O394"/>
    <mergeCell ref="B424:D424"/>
    <mergeCell ref="B425:D425"/>
    <mergeCell ref="B430:D430"/>
    <mergeCell ref="B356:D356"/>
    <mergeCell ref="A377:K377"/>
    <mergeCell ref="B384:O384"/>
    <mergeCell ref="B385:O385"/>
    <mergeCell ref="D388:O388"/>
    <mergeCell ref="F392:H392"/>
    <mergeCell ref="J392:L392"/>
    <mergeCell ref="N392:O392"/>
    <mergeCell ref="D468:D469"/>
    <mergeCell ref="N468:N469"/>
    <mergeCell ref="O468:O469"/>
    <mergeCell ref="B499:D499"/>
    <mergeCell ref="B500:D500"/>
    <mergeCell ref="B505:D505"/>
    <mergeCell ref="B431:D431"/>
    <mergeCell ref="A452:K452"/>
    <mergeCell ref="B459:O459"/>
    <mergeCell ref="B460:O460"/>
    <mergeCell ref="D463:O463"/>
    <mergeCell ref="F467:H467"/>
    <mergeCell ref="J467:L467"/>
    <mergeCell ref="N467:O467"/>
    <mergeCell ref="B581:D581"/>
    <mergeCell ref="D543:D544"/>
    <mergeCell ref="N543:N544"/>
    <mergeCell ref="O543:O544"/>
    <mergeCell ref="B574:D574"/>
    <mergeCell ref="B575:D575"/>
    <mergeCell ref="B580:D580"/>
    <mergeCell ref="B506:D506"/>
    <mergeCell ref="A527:K527"/>
    <mergeCell ref="B534:O534"/>
    <mergeCell ref="B535:O535"/>
    <mergeCell ref="D538:O538"/>
    <mergeCell ref="F542:H542"/>
    <mergeCell ref="J542:L542"/>
    <mergeCell ref="N542:O542"/>
  </mergeCells>
  <pageMargins left="0.70866141732283472" right="0.70866141732283472" top="0.39370078740157483" bottom="0.39370078740157483" header="0.31496062992125984" footer="0.31496062992125984"/>
  <pageSetup scale="55" fitToHeight="100" orientation="portrait" r:id="rId1"/>
  <rowBreaks count="8" manualBreakCount="8">
    <brk id="75" max="16383" man="1"/>
    <brk id="150" max="16383" man="1"/>
    <brk id="225" max="16383" man="1"/>
    <brk id="300" max="16383" man="1"/>
    <brk id="374" max="16383" man="1"/>
    <brk id="449" max="16383" man="1"/>
    <brk id="524" max="16383" man="1"/>
    <brk id="599" max="16383" man="1"/>
  </rowBreaks>
</worksheet>
</file>

<file path=xl/worksheets/sheet33.xml><?xml version="1.0" encoding="utf-8"?>
<worksheet xmlns="http://schemas.openxmlformats.org/spreadsheetml/2006/main" xmlns:r="http://schemas.openxmlformats.org/officeDocument/2006/relationships">
  <sheetPr>
    <pageSetUpPr fitToPage="1"/>
  </sheetPr>
  <dimension ref="B1:G16"/>
  <sheetViews>
    <sheetView showGridLines="0" zoomScaleNormal="100" workbookViewId="0">
      <selection activeCell="J24" sqref="J24"/>
    </sheetView>
  </sheetViews>
  <sheetFormatPr defaultRowHeight="12.75"/>
  <cols>
    <col min="1" max="1" width="2.7109375" customWidth="1"/>
    <col min="2" max="2" width="81.85546875" customWidth="1"/>
    <col min="6" max="6" width="12.7109375" bestFit="1" customWidth="1"/>
    <col min="7" max="7" width="10.7109375" customWidth="1"/>
  </cols>
  <sheetData>
    <row r="1" spans="2:7">
      <c r="F1" s="21" t="s">
        <v>131</v>
      </c>
      <c r="G1" s="236" t="str">
        <f>'LDC Info'!$E$18</f>
        <v>EB-2012-0126</v>
      </c>
    </row>
    <row r="2" spans="2:7">
      <c r="F2" s="21" t="s">
        <v>132</v>
      </c>
      <c r="G2" s="237"/>
    </row>
    <row r="3" spans="2:7">
      <c r="F3" s="21" t="s">
        <v>133</v>
      </c>
      <c r="G3" s="237"/>
    </row>
    <row r="4" spans="2:7">
      <c r="F4" s="21" t="s">
        <v>134</v>
      </c>
      <c r="G4" s="237"/>
    </row>
    <row r="5" spans="2:7">
      <c r="F5" s="21" t="s">
        <v>439</v>
      </c>
      <c r="G5" s="238"/>
    </row>
    <row r="6" spans="2:7">
      <c r="F6" s="21"/>
      <c r="G6" s="236"/>
    </row>
    <row r="7" spans="2:7">
      <c r="F7" s="21" t="s">
        <v>136</v>
      </c>
      <c r="G7" s="238" t="s">
        <v>1171</v>
      </c>
    </row>
    <row r="13" spans="2:7" ht="18">
      <c r="B13" s="1215" t="s">
        <v>1166</v>
      </c>
      <c r="C13" s="1215"/>
      <c r="D13" s="1215"/>
      <c r="E13" s="1215"/>
      <c r="F13" s="1215"/>
      <c r="G13" s="1215"/>
    </row>
    <row r="14" spans="2:7" ht="18">
      <c r="B14" s="1215" t="s">
        <v>1167</v>
      </c>
      <c r="C14" s="1215"/>
      <c r="D14" s="1215"/>
      <c r="E14" s="1215"/>
      <c r="F14" s="1215"/>
      <c r="G14" s="1215"/>
    </row>
    <row r="16" spans="2:7" ht="51" customHeight="1">
      <c r="B16" s="1102" t="s">
        <v>1168</v>
      </c>
      <c r="C16" s="1102"/>
      <c r="D16" s="1102"/>
      <c r="E16" s="1102"/>
      <c r="F16" s="1102"/>
      <c r="G16" s="1102"/>
    </row>
  </sheetData>
  <mergeCells count="3">
    <mergeCell ref="B13:G13"/>
    <mergeCell ref="B14:G14"/>
    <mergeCell ref="B16:G16"/>
  </mergeCells>
  <pageMargins left="0.75" right="0.75" top="1" bottom="1" header="0.5" footer="0.5"/>
  <pageSetup scale="71"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dimension ref="A1:N71"/>
  <sheetViews>
    <sheetView showGridLines="0" zoomScale="95" zoomScaleNormal="95" workbookViewId="0">
      <selection activeCell="J24" sqref="J24"/>
    </sheetView>
  </sheetViews>
  <sheetFormatPr defaultRowHeight="12.75"/>
  <cols>
    <col min="1" max="1" width="7.7109375" style="72" customWidth="1"/>
    <col min="2" max="2" width="6.42578125" style="72" customWidth="1"/>
    <col min="3" max="3" width="37.85546875" style="30" customWidth="1"/>
    <col min="4" max="4" width="14" style="30" customWidth="1"/>
    <col min="5" max="5" width="14.42578125" style="30" customWidth="1"/>
    <col min="6" max="6" width="13.85546875" style="30" customWidth="1"/>
    <col min="7" max="7" width="12.42578125" style="30" bestFit="1" customWidth="1"/>
    <col min="8" max="8" width="14.140625" style="30" bestFit="1" customWidth="1"/>
    <col min="9" max="9" width="1.7109375" style="73" customWidth="1"/>
    <col min="10" max="10" width="14.28515625" style="30" customWidth="1"/>
    <col min="11" max="11" width="13.42578125" style="30" customWidth="1"/>
    <col min="12" max="12" width="13.5703125" style="30" customWidth="1"/>
    <col min="13" max="13" width="14.5703125" style="30" bestFit="1" customWidth="1"/>
    <col min="14" max="14" width="14.140625" style="30" bestFit="1" customWidth="1"/>
    <col min="15" max="16384" width="9.140625" style="30"/>
  </cols>
  <sheetData>
    <row r="1" spans="1:14">
      <c r="M1" s="31" t="s">
        <v>131</v>
      </c>
      <c r="N1" s="32" t="str">
        <f>'LDC Info'!$E$18</f>
        <v>EB-2012-0126</v>
      </c>
    </row>
    <row r="2" spans="1:14">
      <c r="M2" s="31" t="s">
        <v>132</v>
      </c>
      <c r="N2" s="33"/>
    </row>
    <row r="3" spans="1:14">
      <c r="M3" s="31" t="s">
        <v>133</v>
      </c>
      <c r="N3" s="33"/>
    </row>
    <row r="4" spans="1:14">
      <c r="M4" s="31" t="s">
        <v>134</v>
      </c>
      <c r="N4" s="33"/>
    </row>
    <row r="5" spans="1:14">
      <c r="M5" s="31" t="s">
        <v>135</v>
      </c>
      <c r="N5" s="34"/>
    </row>
    <row r="6" spans="1:14" ht="9" customHeight="1">
      <c r="M6" s="31"/>
      <c r="N6" s="32"/>
    </row>
    <row r="7" spans="1:14">
      <c r="M7" s="31" t="s">
        <v>136</v>
      </c>
      <c r="N7" s="35" t="s">
        <v>1171</v>
      </c>
    </row>
    <row r="8" spans="1:14" ht="9" customHeight="1"/>
    <row r="9" spans="1:14" ht="20.25" customHeight="1">
      <c r="A9" s="1122" t="s">
        <v>272</v>
      </c>
      <c r="B9" s="1122"/>
      <c r="C9" s="1122"/>
      <c r="D9" s="1122"/>
      <c r="E9" s="1122"/>
      <c r="F9" s="1122"/>
      <c r="G9" s="1122"/>
      <c r="H9" s="1122"/>
      <c r="I9" s="1122"/>
      <c r="J9" s="1122"/>
      <c r="K9" s="1122"/>
      <c r="L9" s="1122"/>
      <c r="M9" s="1122"/>
      <c r="N9" s="1122"/>
    </row>
    <row r="10" spans="1:14" ht="18">
      <c r="A10" s="1122" t="s">
        <v>273</v>
      </c>
      <c r="B10" s="1122"/>
      <c r="C10" s="1122"/>
      <c r="D10" s="1122"/>
      <c r="E10" s="1122"/>
      <c r="F10" s="1122"/>
      <c r="G10" s="1122"/>
      <c r="H10" s="1122"/>
      <c r="I10" s="1122"/>
      <c r="J10" s="1122"/>
      <c r="K10" s="1122"/>
      <c r="L10" s="1122"/>
      <c r="M10" s="1122"/>
      <c r="N10" s="1122"/>
    </row>
    <row r="12" spans="1:14" ht="15">
      <c r="C12" s="74"/>
      <c r="F12" s="75" t="s">
        <v>274</v>
      </c>
      <c r="G12" s="76">
        <v>2007</v>
      </c>
      <c r="H12" s="77"/>
    </row>
    <row r="14" spans="1:14">
      <c r="D14" s="78"/>
      <c r="E14" s="1125" t="s">
        <v>275</v>
      </c>
      <c r="F14" s="1126"/>
      <c r="G14" s="1126"/>
      <c r="H14" s="1127"/>
      <c r="J14" s="79"/>
      <c r="K14" s="80" t="s">
        <v>276</v>
      </c>
      <c r="L14" s="80"/>
      <c r="M14" s="81"/>
      <c r="N14" s="73"/>
    </row>
    <row r="15" spans="1:14" ht="25.5">
      <c r="A15" s="82" t="s">
        <v>277</v>
      </c>
      <c r="B15" s="83" t="s">
        <v>278</v>
      </c>
      <c r="C15" s="84" t="s">
        <v>279</v>
      </c>
      <c r="D15" s="82" t="s">
        <v>280</v>
      </c>
      <c r="E15" s="82" t="s">
        <v>281</v>
      </c>
      <c r="F15" s="83" t="s">
        <v>282</v>
      </c>
      <c r="G15" s="83" t="s">
        <v>283</v>
      </c>
      <c r="H15" s="82" t="s">
        <v>284</v>
      </c>
      <c r="I15" s="85"/>
      <c r="J15" s="86" t="s">
        <v>281</v>
      </c>
      <c r="K15" s="87" t="s">
        <v>282</v>
      </c>
      <c r="L15" s="87" t="s">
        <v>283</v>
      </c>
      <c r="M15" s="88" t="s">
        <v>284</v>
      </c>
      <c r="N15" s="82" t="s">
        <v>285</v>
      </c>
    </row>
    <row r="16" spans="1:14" ht="25.5">
      <c r="A16" s="89">
        <v>12</v>
      </c>
      <c r="B16" s="89">
        <v>1611</v>
      </c>
      <c r="C16" s="90" t="s">
        <v>286</v>
      </c>
      <c r="D16" s="91"/>
      <c r="E16" s="47">
        <v>1896349.54</v>
      </c>
      <c r="F16" s="47"/>
      <c r="G16" s="47"/>
      <c r="H16" s="92">
        <f>E16+F16+G16</f>
        <v>1896349.54</v>
      </c>
      <c r="I16" s="93"/>
      <c r="J16" s="47">
        <v>-1868085.24</v>
      </c>
      <c r="K16" s="47">
        <v>-11340.17</v>
      </c>
      <c r="L16" s="47"/>
      <c r="M16" s="92">
        <f>J16+K16+L16</f>
        <v>-1879425.41</v>
      </c>
      <c r="N16" s="94">
        <f>H16+M16</f>
        <v>16924.130000000121</v>
      </c>
    </row>
    <row r="17" spans="1:14" ht="25.5">
      <c r="A17" s="89" t="s">
        <v>287</v>
      </c>
      <c r="B17" s="89">
        <v>1612</v>
      </c>
      <c r="C17" s="90" t="s">
        <v>288</v>
      </c>
      <c r="D17" s="91"/>
      <c r="E17" s="47"/>
      <c r="F17" s="47"/>
      <c r="G17" s="47"/>
      <c r="H17" s="92">
        <f t="shared" ref="H17:H52" si="0">E17+F17+G17</f>
        <v>0</v>
      </c>
      <c r="I17" s="93"/>
      <c r="J17" s="47"/>
      <c r="K17" s="47"/>
      <c r="L17" s="47"/>
      <c r="M17" s="92">
        <f>J17+K17+L17</f>
        <v>0</v>
      </c>
      <c r="N17" s="94">
        <f>H17+M17</f>
        <v>0</v>
      </c>
    </row>
    <row r="18" spans="1:14">
      <c r="A18" s="95" t="s">
        <v>289</v>
      </c>
      <c r="B18" s="95">
        <v>1805</v>
      </c>
      <c r="C18" s="96" t="s">
        <v>163</v>
      </c>
      <c r="D18" s="91"/>
      <c r="E18" s="47">
        <v>890771.88</v>
      </c>
      <c r="F18" s="47"/>
      <c r="G18" s="47"/>
      <c r="H18" s="92">
        <f t="shared" si="0"/>
        <v>890771.88</v>
      </c>
      <c r="I18" s="93"/>
      <c r="J18" s="47">
        <v>0</v>
      </c>
      <c r="K18" s="47"/>
      <c r="L18" s="47"/>
      <c r="M18" s="92">
        <f>J18+K18+L18</f>
        <v>0</v>
      </c>
      <c r="N18" s="94">
        <f>H18+M18</f>
        <v>890771.88</v>
      </c>
    </row>
    <row r="19" spans="1:14">
      <c r="A19" s="89">
        <v>47</v>
      </c>
      <c r="B19" s="89">
        <v>1808</v>
      </c>
      <c r="C19" s="97" t="s">
        <v>162</v>
      </c>
      <c r="D19" s="91"/>
      <c r="E19" s="47">
        <v>8965817.6199999992</v>
      </c>
      <c r="F19" s="47">
        <v>264775</v>
      </c>
      <c r="G19" s="47"/>
      <c r="H19" s="92">
        <f t="shared" si="0"/>
        <v>9230592.6199999992</v>
      </c>
      <c r="I19" s="93"/>
      <c r="J19" s="47">
        <v>-3394280.51</v>
      </c>
      <c r="K19" s="47">
        <v>-180649.07</v>
      </c>
      <c r="L19" s="47"/>
      <c r="M19" s="92">
        <f t="shared" ref="M19:M52" si="1">J19+K19+L19</f>
        <v>-3574929.5799999996</v>
      </c>
      <c r="N19" s="94">
        <f t="shared" ref="N19:N52" si="2">H19+M19</f>
        <v>5655663.0399999991</v>
      </c>
    </row>
    <row r="20" spans="1:14">
      <c r="A20" s="89">
        <v>13</v>
      </c>
      <c r="B20" s="89">
        <v>1808</v>
      </c>
      <c r="C20" s="97" t="s">
        <v>290</v>
      </c>
      <c r="D20" s="91"/>
      <c r="E20" s="47">
        <v>0</v>
      </c>
      <c r="F20" s="47"/>
      <c r="G20" s="47"/>
      <c r="H20" s="92">
        <f t="shared" si="0"/>
        <v>0</v>
      </c>
      <c r="I20" s="93"/>
      <c r="J20" s="47">
        <v>0</v>
      </c>
      <c r="K20" s="47">
        <v>0</v>
      </c>
      <c r="L20" s="47"/>
      <c r="M20" s="92">
        <f t="shared" si="1"/>
        <v>0</v>
      </c>
      <c r="N20" s="94">
        <f t="shared" si="2"/>
        <v>0</v>
      </c>
    </row>
    <row r="21" spans="1:14">
      <c r="A21" s="89">
        <v>47</v>
      </c>
      <c r="B21" s="89">
        <v>1815</v>
      </c>
      <c r="C21" s="97" t="s">
        <v>291</v>
      </c>
      <c r="D21" s="91"/>
      <c r="E21" s="47">
        <v>0</v>
      </c>
      <c r="F21" s="47">
        <v>0</v>
      </c>
      <c r="G21" s="47"/>
      <c r="H21" s="92">
        <f t="shared" si="0"/>
        <v>0</v>
      </c>
      <c r="I21" s="93"/>
      <c r="J21" s="47">
        <v>0</v>
      </c>
      <c r="K21" s="47"/>
      <c r="L21" s="47"/>
      <c r="M21" s="92">
        <f t="shared" si="1"/>
        <v>0</v>
      </c>
      <c r="N21" s="94">
        <f t="shared" si="2"/>
        <v>0</v>
      </c>
    </row>
    <row r="22" spans="1:14">
      <c r="A22" s="89">
        <v>47</v>
      </c>
      <c r="B22" s="89">
        <v>1820</v>
      </c>
      <c r="C22" s="90" t="s">
        <v>292</v>
      </c>
      <c r="D22" s="91"/>
      <c r="E22" s="47">
        <v>14800135.960000001</v>
      </c>
      <c r="F22" s="47">
        <v>303274.59999999998</v>
      </c>
      <c r="G22" s="47"/>
      <c r="H22" s="92">
        <f t="shared" si="0"/>
        <v>15103410.560000001</v>
      </c>
      <c r="I22" s="93"/>
      <c r="J22" s="47">
        <v>-8659571.1099999994</v>
      </c>
      <c r="K22" s="47">
        <v>-400772.61</v>
      </c>
      <c r="L22" s="47"/>
      <c r="M22" s="92">
        <f t="shared" si="1"/>
        <v>-9060343.7199999988</v>
      </c>
      <c r="N22" s="94">
        <f t="shared" si="2"/>
        <v>6043066.8400000017</v>
      </c>
    </row>
    <row r="23" spans="1:14">
      <c r="A23" s="89">
        <v>47</v>
      </c>
      <c r="B23" s="89">
        <v>1825</v>
      </c>
      <c r="C23" s="97" t="s">
        <v>293</v>
      </c>
      <c r="D23" s="91"/>
      <c r="E23" s="47">
        <v>0</v>
      </c>
      <c r="F23" s="47">
        <v>0</v>
      </c>
      <c r="G23" s="47"/>
      <c r="H23" s="92">
        <f t="shared" si="0"/>
        <v>0</v>
      </c>
      <c r="I23" s="93"/>
      <c r="J23" s="47">
        <v>0</v>
      </c>
      <c r="K23" s="47"/>
      <c r="L23" s="47"/>
      <c r="M23" s="92">
        <f t="shared" si="1"/>
        <v>0</v>
      </c>
      <c r="N23" s="94">
        <f t="shared" si="2"/>
        <v>0</v>
      </c>
    </row>
    <row r="24" spans="1:14">
      <c r="A24" s="89">
        <v>47</v>
      </c>
      <c r="B24" s="89">
        <v>1830</v>
      </c>
      <c r="C24" s="97" t="s">
        <v>146</v>
      </c>
      <c r="D24" s="91"/>
      <c r="E24" s="47">
        <v>11362943.949999999</v>
      </c>
      <c r="F24" s="47">
        <v>959653.45</v>
      </c>
      <c r="G24" s="47"/>
      <c r="H24" s="92">
        <f t="shared" si="0"/>
        <v>12322597.399999999</v>
      </c>
      <c r="I24" s="93"/>
      <c r="J24" s="47">
        <v>-4619697.97</v>
      </c>
      <c r="K24" s="47">
        <v>-848321.1</v>
      </c>
      <c r="L24" s="47"/>
      <c r="M24" s="92">
        <f t="shared" si="1"/>
        <v>-5468019.0699999994</v>
      </c>
      <c r="N24" s="94">
        <f t="shared" si="2"/>
        <v>6854578.3299999991</v>
      </c>
    </row>
    <row r="25" spans="1:14">
      <c r="A25" s="89">
        <v>47</v>
      </c>
      <c r="B25" s="89">
        <v>1835</v>
      </c>
      <c r="C25" s="97" t="s">
        <v>152</v>
      </c>
      <c r="D25" s="91"/>
      <c r="E25" s="47">
        <v>34902132.810000002</v>
      </c>
      <c r="F25" s="47">
        <v>1805898</v>
      </c>
      <c r="G25" s="47"/>
      <c r="H25" s="92">
        <f t="shared" si="0"/>
        <v>36708030.810000002</v>
      </c>
      <c r="I25" s="93"/>
      <c r="J25" s="47">
        <v>-22291173.850000001</v>
      </c>
      <c r="K25" s="47">
        <v>-811056.12</v>
      </c>
      <c r="L25" s="47"/>
      <c r="M25" s="92">
        <f t="shared" si="1"/>
        <v>-23102229.970000003</v>
      </c>
      <c r="N25" s="94">
        <f t="shared" si="2"/>
        <v>13605800.84</v>
      </c>
    </row>
    <row r="26" spans="1:14">
      <c r="A26" s="89">
        <v>47</v>
      </c>
      <c r="B26" s="89">
        <v>1840</v>
      </c>
      <c r="C26" s="97" t="s">
        <v>294</v>
      </c>
      <c r="D26" s="91"/>
      <c r="E26" s="47">
        <v>16439256.17</v>
      </c>
      <c r="F26" s="47">
        <v>767574.05</v>
      </c>
      <c r="G26" s="47"/>
      <c r="H26" s="92">
        <f t="shared" si="0"/>
        <v>17206830.219999999</v>
      </c>
      <c r="I26" s="93"/>
      <c r="J26" s="47">
        <v>-8196552.9299999997</v>
      </c>
      <c r="K26" s="47">
        <v>-618195.05000000005</v>
      </c>
      <c r="L26" s="47"/>
      <c r="M26" s="92">
        <f t="shared" si="1"/>
        <v>-8814747.9800000004</v>
      </c>
      <c r="N26" s="94">
        <f t="shared" si="2"/>
        <v>8392082.2399999984</v>
      </c>
    </row>
    <row r="27" spans="1:14">
      <c r="A27" s="89">
        <v>47</v>
      </c>
      <c r="B27" s="89">
        <v>1845</v>
      </c>
      <c r="C27" s="97" t="s">
        <v>295</v>
      </c>
      <c r="D27" s="91"/>
      <c r="E27" s="47">
        <f>16258082.16</f>
        <v>16258082.16</v>
      </c>
      <c r="F27" s="47">
        <v>612581.78</v>
      </c>
      <c r="G27" s="47"/>
      <c r="H27" s="92">
        <f t="shared" si="0"/>
        <v>16870663.940000001</v>
      </c>
      <c r="I27" s="93"/>
      <c r="J27" s="47">
        <v>-7435179.5599999996</v>
      </c>
      <c r="K27" s="47">
        <v>-620520.06000000006</v>
      </c>
      <c r="L27" s="47"/>
      <c r="M27" s="92">
        <f t="shared" si="1"/>
        <v>-8055699.6199999992</v>
      </c>
      <c r="N27" s="94">
        <f t="shared" si="2"/>
        <v>8814964.3200000022</v>
      </c>
    </row>
    <row r="28" spans="1:14">
      <c r="A28" s="89">
        <v>47</v>
      </c>
      <c r="B28" s="89">
        <v>1850</v>
      </c>
      <c r="C28" s="97" t="s">
        <v>154</v>
      </c>
      <c r="D28" s="91"/>
      <c r="E28" s="47">
        <v>22229712.699999999</v>
      </c>
      <c r="F28" s="47">
        <v>1005091.38</v>
      </c>
      <c r="G28" s="47"/>
      <c r="H28" s="92">
        <f t="shared" si="0"/>
        <v>23234804.079999998</v>
      </c>
      <c r="I28" s="93"/>
      <c r="J28" s="47">
        <v>-13130756.77</v>
      </c>
      <c r="K28" s="47">
        <v>-735564.68</v>
      </c>
      <c r="L28" s="47"/>
      <c r="M28" s="92">
        <f t="shared" si="1"/>
        <v>-13866321.449999999</v>
      </c>
      <c r="N28" s="94">
        <f t="shared" si="2"/>
        <v>9368482.629999999</v>
      </c>
    </row>
    <row r="29" spans="1:14">
      <c r="A29" s="89">
        <v>47</v>
      </c>
      <c r="B29" s="89">
        <v>1855</v>
      </c>
      <c r="C29" s="97" t="s">
        <v>155</v>
      </c>
      <c r="D29" s="91"/>
      <c r="E29" s="47">
        <f>3565128.92+4743411.15</f>
        <v>8308540.0700000003</v>
      </c>
      <c r="F29" s="47">
        <f>162974.93+197268.99</f>
        <v>360243.92</v>
      </c>
      <c r="G29" s="47"/>
      <c r="H29" s="92">
        <f t="shared" si="0"/>
        <v>8668783.9900000002</v>
      </c>
      <c r="I29" s="93"/>
      <c r="J29" s="47">
        <f>-1847175.51-3110037.5</f>
        <v>-4957213.01</v>
      </c>
      <c r="K29" s="47">
        <f>-133069.2-25993.81</f>
        <v>-159063.01</v>
      </c>
      <c r="L29" s="47"/>
      <c r="M29" s="92">
        <f t="shared" si="1"/>
        <v>-5116276.0199999996</v>
      </c>
      <c r="N29" s="94">
        <f t="shared" si="2"/>
        <v>3552507.9700000007</v>
      </c>
    </row>
    <row r="30" spans="1:14">
      <c r="A30" s="89">
        <v>47</v>
      </c>
      <c r="B30" s="89">
        <v>1860</v>
      </c>
      <c r="C30" s="97" t="s">
        <v>147</v>
      </c>
      <c r="D30" s="91"/>
      <c r="E30" s="47">
        <v>8424114.0999999996</v>
      </c>
      <c r="F30" s="47">
        <v>228697.82</v>
      </c>
      <c r="G30" s="47"/>
      <c r="H30" s="92">
        <f t="shared" si="0"/>
        <v>8652811.9199999999</v>
      </c>
      <c r="I30" s="93"/>
      <c r="J30" s="47">
        <v>-5309403.21</v>
      </c>
      <c r="K30" s="47">
        <v>-258490.03</v>
      </c>
      <c r="L30" s="47"/>
      <c r="M30" s="92">
        <f t="shared" si="1"/>
        <v>-5567893.2400000002</v>
      </c>
      <c r="N30" s="94">
        <f t="shared" si="2"/>
        <v>3084918.6799999997</v>
      </c>
    </row>
    <row r="31" spans="1:14">
      <c r="A31" s="95">
        <v>47</v>
      </c>
      <c r="B31" s="95">
        <v>1860</v>
      </c>
      <c r="C31" s="96" t="s">
        <v>296</v>
      </c>
      <c r="D31" s="91"/>
      <c r="E31" s="47">
        <v>0</v>
      </c>
      <c r="F31" s="47">
        <v>0</v>
      </c>
      <c r="G31" s="47"/>
      <c r="H31" s="92">
        <f t="shared" si="0"/>
        <v>0</v>
      </c>
      <c r="I31" s="93"/>
      <c r="J31" s="47">
        <v>0</v>
      </c>
      <c r="K31" s="47"/>
      <c r="L31" s="47"/>
      <c r="M31" s="92">
        <f t="shared" si="1"/>
        <v>0</v>
      </c>
      <c r="N31" s="94">
        <f t="shared" si="2"/>
        <v>0</v>
      </c>
    </row>
    <row r="32" spans="1:14">
      <c r="A32" s="95" t="s">
        <v>289</v>
      </c>
      <c r="B32" s="95">
        <v>1905</v>
      </c>
      <c r="C32" s="96" t="s">
        <v>163</v>
      </c>
      <c r="D32" s="91"/>
      <c r="E32" s="47">
        <v>0</v>
      </c>
      <c r="F32" s="47">
        <v>0</v>
      </c>
      <c r="G32" s="47"/>
      <c r="H32" s="92">
        <f t="shared" si="0"/>
        <v>0</v>
      </c>
      <c r="I32" s="93"/>
      <c r="J32" s="47">
        <v>0</v>
      </c>
      <c r="K32" s="47"/>
      <c r="L32" s="47"/>
      <c r="M32" s="92">
        <f t="shared" si="1"/>
        <v>0</v>
      </c>
      <c r="N32" s="94">
        <f t="shared" si="2"/>
        <v>0</v>
      </c>
    </row>
    <row r="33" spans="1:14">
      <c r="A33" s="89">
        <v>47</v>
      </c>
      <c r="B33" s="89">
        <v>1908</v>
      </c>
      <c r="C33" s="97" t="s">
        <v>297</v>
      </c>
      <c r="D33" s="91"/>
      <c r="E33" s="47">
        <v>0</v>
      </c>
      <c r="F33" s="47">
        <v>0</v>
      </c>
      <c r="G33" s="47"/>
      <c r="H33" s="92">
        <f t="shared" si="0"/>
        <v>0</v>
      </c>
      <c r="I33" s="93"/>
      <c r="J33" s="47"/>
      <c r="K33" s="47"/>
      <c r="L33" s="47"/>
      <c r="M33" s="92">
        <f t="shared" si="1"/>
        <v>0</v>
      </c>
      <c r="N33" s="94">
        <f t="shared" si="2"/>
        <v>0</v>
      </c>
    </row>
    <row r="34" spans="1:14">
      <c r="A34" s="89">
        <v>13</v>
      </c>
      <c r="B34" s="89">
        <v>1910</v>
      </c>
      <c r="C34" s="97" t="s">
        <v>298</v>
      </c>
      <c r="D34" s="91"/>
      <c r="E34" s="47">
        <v>0</v>
      </c>
      <c r="F34" s="47">
        <v>0</v>
      </c>
      <c r="G34" s="47"/>
      <c r="H34" s="92">
        <f t="shared" si="0"/>
        <v>0</v>
      </c>
      <c r="I34" s="93"/>
      <c r="J34" s="47"/>
      <c r="K34" s="47"/>
      <c r="L34" s="47"/>
      <c r="M34" s="92">
        <f t="shared" si="1"/>
        <v>0</v>
      </c>
      <c r="N34" s="94">
        <f t="shared" si="2"/>
        <v>0</v>
      </c>
    </row>
    <row r="35" spans="1:14">
      <c r="A35" s="89">
        <v>8</v>
      </c>
      <c r="B35" s="89">
        <v>1915</v>
      </c>
      <c r="C35" s="97" t="s">
        <v>299</v>
      </c>
      <c r="D35" s="91"/>
      <c r="E35" s="47">
        <v>44314.559999999998</v>
      </c>
      <c r="F35" s="47">
        <v>0</v>
      </c>
      <c r="G35" s="47"/>
      <c r="H35" s="92">
        <f t="shared" si="0"/>
        <v>44314.559999999998</v>
      </c>
      <c r="I35" s="93"/>
      <c r="J35" s="47">
        <v>-36082.46</v>
      </c>
      <c r="K35" s="47">
        <v>-938.52</v>
      </c>
      <c r="L35" s="47"/>
      <c r="M35" s="92">
        <f t="shared" si="1"/>
        <v>-37020.979999999996</v>
      </c>
      <c r="N35" s="94">
        <f t="shared" si="2"/>
        <v>7293.5800000000017</v>
      </c>
    </row>
    <row r="36" spans="1:14">
      <c r="A36" s="89">
        <v>8</v>
      </c>
      <c r="B36" s="89">
        <v>1915</v>
      </c>
      <c r="C36" s="97" t="s">
        <v>300</v>
      </c>
      <c r="D36" s="91"/>
      <c r="E36" s="47">
        <v>0</v>
      </c>
      <c r="F36" s="47">
        <v>0</v>
      </c>
      <c r="G36" s="47"/>
      <c r="H36" s="92">
        <f t="shared" si="0"/>
        <v>0</v>
      </c>
      <c r="I36" s="93"/>
      <c r="J36" s="47"/>
      <c r="K36" s="47"/>
      <c r="L36" s="47"/>
      <c r="M36" s="92">
        <f t="shared" si="1"/>
        <v>0</v>
      </c>
      <c r="N36" s="94">
        <f t="shared" si="2"/>
        <v>0</v>
      </c>
    </row>
    <row r="37" spans="1:14">
      <c r="A37" s="89">
        <v>10</v>
      </c>
      <c r="B37" s="89">
        <v>1920</v>
      </c>
      <c r="C37" s="97" t="s">
        <v>301</v>
      </c>
      <c r="D37" s="91"/>
      <c r="E37" s="47">
        <v>93648.76</v>
      </c>
      <c r="F37" s="47">
        <v>0</v>
      </c>
      <c r="G37" s="47"/>
      <c r="H37" s="92">
        <f t="shared" si="0"/>
        <v>93648.76</v>
      </c>
      <c r="I37" s="93"/>
      <c r="J37" s="47">
        <v>-93648.76</v>
      </c>
      <c r="K37" s="47"/>
      <c r="L37" s="47"/>
      <c r="M37" s="92">
        <f t="shared" si="1"/>
        <v>-93648.76</v>
      </c>
      <c r="N37" s="94">
        <f t="shared" si="2"/>
        <v>0</v>
      </c>
    </row>
    <row r="38" spans="1:14" ht="25.5">
      <c r="A38" s="89">
        <v>45</v>
      </c>
      <c r="B38" s="98">
        <v>1920</v>
      </c>
      <c r="C38" s="90" t="s">
        <v>302</v>
      </c>
      <c r="D38" s="91"/>
      <c r="E38" s="47">
        <v>0</v>
      </c>
      <c r="F38" s="47">
        <v>0</v>
      </c>
      <c r="G38" s="47"/>
      <c r="H38" s="92">
        <f t="shared" si="0"/>
        <v>0</v>
      </c>
      <c r="I38" s="93"/>
      <c r="J38" s="47"/>
      <c r="K38" s="47"/>
      <c r="L38" s="47"/>
      <c r="M38" s="92">
        <f t="shared" si="1"/>
        <v>0</v>
      </c>
      <c r="N38" s="94">
        <f t="shared" si="2"/>
        <v>0</v>
      </c>
    </row>
    <row r="39" spans="1:14" ht="25.5">
      <c r="A39" s="89">
        <v>45.1</v>
      </c>
      <c r="B39" s="98">
        <v>1920</v>
      </c>
      <c r="C39" s="90" t="s">
        <v>303</v>
      </c>
      <c r="D39" s="91"/>
      <c r="E39" s="47">
        <v>0</v>
      </c>
      <c r="F39" s="47">
        <v>0</v>
      </c>
      <c r="G39" s="47"/>
      <c r="H39" s="92">
        <f t="shared" si="0"/>
        <v>0</v>
      </c>
      <c r="I39" s="93"/>
      <c r="J39" s="47"/>
      <c r="K39" s="47"/>
      <c r="L39" s="47"/>
      <c r="M39" s="92">
        <f t="shared" si="1"/>
        <v>0</v>
      </c>
      <c r="N39" s="94">
        <f t="shared" si="2"/>
        <v>0</v>
      </c>
    </row>
    <row r="40" spans="1:14">
      <c r="A40" s="89">
        <v>10</v>
      </c>
      <c r="B40" s="89">
        <v>1930</v>
      </c>
      <c r="C40" s="97" t="s">
        <v>304</v>
      </c>
      <c r="D40" s="91"/>
      <c r="E40" s="47">
        <v>3745966.56</v>
      </c>
      <c r="F40" s="47">
        <v>255826.86</v>
      </c>
      <c r="G40" s="47">
        <v>-291505.59000000003</v>
      </c>
      <c r="H40" s="92">
        <f t="shared" si="0"/>
        <v>3710287.83</v>
      </c>
      <c r="I40" s="93"/>
      <c r="J40" s="47">
        <v>-3081758.62</v>
      </c>
      <c r="K40" s="47">
        <v>-219733.23</v>
      </c>
      <c r="L40" s="47">
        <v>291505.59000000003</v>
      </c>
      <c r="M40" s="92">
        <f t="shared" si="1"/>
        <v>-3009986.2600000002</v>
      </c>
      <c r="N40" s="94">
        <f t="shared" si="2"/>
        <v>700301.56999999983</v>
      </c>
    </row>
    <row r="41" spans="1:14">
      <c r="A41" s="89">
        <v>8</v>
      </c>
      <c r="B41" s="89">
        <v>1935</v>
      </c>
      <c r="C41" s="97" t="s">
        <v>305</v>
      </c>
      <c r="D41" s="91"/>
      <c r="E41" s="47"/>
      <c r="F41" s="47">
        <v>0</v>
      </c>
      <c r="G41" s="47"/>
      <c r="H41" s="92">
        <f t="shared" si="0"/>
        <v>0</v>
      </c>
      <c r="I41" s="93"/>
      <c r="J41" s="47">
        <v>0</v>
      </c>
      <c r="K41" s="47"/>
      <c r="L41" s="47"/>
      <c r="M41" s="92">
        <f t="shared" si="1"/>
        <v>0</v>
      </c>
      <c r="N41" s="94">
        <f t="shared" si="2"/>
        <v>0</v>
      </c>
    </row>
    <row r="42" spans="1:14">
      <c r="A42" s="89">
        <v>8</v>
      </c>
      <c r="B42" s="89">
        <v>1940</v>
      </c>
      <c r="C42" s="97" t="s">
        <v>185</v>
      </c>
      <c r="D42" s="91"/>
      <c r="E42" s="47">
        <v>1282361.48</v>
      </c>
      <c r="F42" s="47">
        <v>89423.7</v>
      </c>
      <c r="G42" s="47"/>
      <c r="H42" s="92">
        <f t="shared" si="0"/>
        <v>1371785.18</v>
      </c>
      <c r="I42" s="93"/>
      <c r="J42" s="47">
        <v>-979136.24</v>
      </c>
      <c r="K42" s="47">
        <v>-71190.55</v>
      </c>
      <c r="L42" s="47"/>
      <c r="M42" s="92">
        <f t="shared" si="1"/>
        <v>-1050326.79</v>
      </c>
      <c r="N42" s="94">
        <f t="shared" si="2"/>
        <v>321458.3899999999</v>
      </c>
    </row>
    <row r="43" spans="1:14">
      <c r="A43" s="89">
        <v>8</v>
      </c>
      <c r="B43" s="89">
        <v>1945</v>
      </c>
      <c r="C43" s="97" t="s">
        <v>306</v>
      </c>
      <c r="D43" s="91"/>
      <c r="E43" s="47">
        <v>0</v>
      </c>
      <c r="F43" s="47">
        <v>0</v>
      </c>
      <c r="G43" s="47"/>
      <c r="H43" s="92">
        <f t="shared" si="0"/>
        <v>0</v>
      </c>
      <c r="I43" s="93"/>
      <c r="J43" s="47">
        <v>0</v>
      </c>
      <c r="K43" s="47"/>
      <c r="L43" s="47"/>
      <c r="M43" s="92">
        <f t="shared" si="1"/>
        <v>0</v>
      </c>
      <c r="N43" s="94">
        <f t="shared" si="2"/>
        <v>0</v>
      </c>
    </row>
    <row r="44" spans="1:14">
      <c r="A44" s="89">
        <v>8</v>
      </c>
      <c r="B44" s="89">
        <v>1950</v>
      </c>
      <c r="C44" s="97" t="s">
        <v>307</v>
      </c>
      <c r="D44" s="91"/>
      <c r="E44" s="47">
        <v>0</v>
      </c>
      <c r="F44" s="47">
        <v>0</v>
      </c>
      <c r="G44" s="47"/>
      <c r="H44" s="92">
        <f t="shared" si="0"/>
        <v>0</v>
      </c>
      <c r="I44" s="93"/>
      <c r="J44" s="47">
        <v>0</v>
      </c>
      <c r="K44" s="47"/>
      <c r="L44" s="47"/>
      <c r="M44" s="92">
        <f t="shared" si="1"/>
        <v>0</v>
      </c>
      <c r="N44" s="94">
        <f t="shared" si="2"/>
        <v>0</v>
      </c>
    </row>
    <row r="45" spans="1:14">
      <c r="A45" s="89">
        <v>8</v>
      </c>
      <c r="B45" s="89">
        <v>1955</v>
      </c>
      <c r="C45" s="97" t="s">
        <v>308</v>
      </c>
      <c r="D45" s="91"/>
      <c r="E45" s="47">
        <v>2185673.5499999998</v>
      </c>
      <c r="F45" s="47"/>
      <c r="G45" s="47"/>
      <c r="H45" s="92">
        <f t="shared" si="0"/>
        <v>2185673.5499999998</v>
      </c>
      <c r="I45" s="93"/>
      <c r="J45" s="47">
        <v>-830932.85</v>
      </c>
      <c r="K45" s="47">
        <v>-78219.360000000001</v>
      </c>
      <c r="L45" s="47"/>
      <c r="M45" s="92">
        <f t="shared" si="1"/>
        <v>-909152.21</v>
      </c>
      <c r="N45" s="94">
        <f t="shared" si="2"/>
        <v>1276521.3399999999</v>
      </c>
    </row>
    <row r="46" spans="1:14">
      <c r="A46" s="99">
        <v>8</v>
      </c>
      <c r="B46" s="99">
        <v>1955</v>
      </c>
      <c r="C46" s="100" t="s">
        <v>309</v>
      </c>
      <c r="D46" s="91"/>
      <c r="E46" s="47">
        <v>0</v>
      </c>
      <c r="F46" s="47">
        <v>0</v>
      </c>
      <c r="G46" s="47"/>
      <c r="H46" s="92">
        <f t="shared" si="0"/>
        <v>0</v>
      </c>
      <c r="I46" s="93"/>
      <c r="J46" s="47">
        <v>0</v>
      </c>
      <c r="K46" s="47"/>
      <c r="L46" s="47"/>
      <c r="M46" s="92">
        <f t="shared" si="1"/>
        <v>0</v>
      </c>
      <c r="N46" s="94">
        <f t="shared" si="2"/>
        <v>0</v>
      </c>
    </row>
    <row r="47" spans="1:14">
      <c r="A47" s="98">
        <v>8</v>
      </c>
      <c r="B47" s="98">
        <v>1960</v>
      </c>
      <c r="C47" s="90" t="s">
        <v>310</v>
      </c>
      <c r="D47" s="91"/>
      <c r="E47" s="47">
        <v>0</v>
      </c>
      <c r="F47" s="47">
        <v>0</v>
      </c>
      <c r="G47" s="47"/>
      <c r="H47" s="92">
        <f t="shared" si="0"/>
        <v>0</v>
      </c>
      <c r="I47" s="93"/>
      <c r="J47" s="47">
        <v>0</v>
      </c>
      <c r="K47" s="47"/>
      <c r="L47" s="47"/>
      <c r="M47" s="92">
        <f t="shared" si="1"/>
        <v>0</v>
      </c>
      <c r="N47" s="94">
        <f t="shared" si="2"/>
        <v>0</v>
      </c>
    </row>
    <row r="48" spans="1:14" ht="25.5">
      <c r="A48" s="89">
        <v>47</v>
      </c>
      <c r="B48" s="89">
        <v>1975</v>
      </c>
      <c r="C48" s="97" t="s">
        <v>311</v>
      </c>
      <c r="D48" s="91"/>
      <c r="E48" s="47">
        <v>0</v>
      </c>
      <c r="F48" s="47">
        <v>0</v>
      </c>
      <c r="G48" s="47"/>
      <c r="H48" s="92">
        <f t="shared" si="0"/>
        <v>0</v>
      </c>
      <c r="I48" s="93"/>
      <c r="J48" s="47">
        <v>0</v>
      </c>
      <c r="K48" s="47"/>
      <c r="L48" s="47"/>
      <c r="M48" s="92">
        <f t="shared" si="1"/>
        <v>0</v>
      </c>
      <c r="N48" s="94">
        <f t="shared" si="2"/>
        <v>0</v>
      </c>
    </row>
    <row r="49" spans="1:14">
      <c r="A49" s="89">
        <v>47</v>
      </c>
      <c r="B49" s="89">
        <v>1980</v>
      </c>
      <c r="C49" s="97" t="s">
        <v>202</v>
      </c>
      <c r="D49" s="91"/>
      <c r="E49" s="47">
        <v>1245223.47</v>
      </c>
      <c r="F49" s="47">
        <v>0</v>
      </c>
      <c r="G49" s="47"/>
      <c r="H49" s="92">
        <f t="shared" si="0"/>
        <v>1245223.47</v>
      </c>
      <c r="I49" s="93"/>
      <c r="J49" s="47">
        <v>-939214</v>
      </c>
      <c r="K49" s="47">
        <v>-59189.79</v>
      </c>
      <c r="L49" s="47"/>
      <c r="M49" s="92">
        <f t="shared" si="1"/>
        <v>-998403.79</v>
      </c>
      <c r="N49" s="94">
        <f t="shared" si="2"/>
        <v>246819.67999999993</v>
      </c>
    </row>
    <row r="50" spans="1:14">
      <c r="A50" s="89">
        <v>47</v>
      </c>
      <c r="B50" s="89">
        <v>1985</v>
      </c>
      <c r="C50" s="97" t="s">
        <v>312</v>
      </c>
      <c r="D50" s="91"/>
      <c r="E50" s="47">
        <v>39634.379999999997</v>
      </c>
      <c r="F50" s="47">
        <v>2482.48</v>
      </c>
      <c r="G50" s="47"/>
      <c r="H50" s="92">
        <f t="shared" si="0"/>
        <v>42116.86</v>
      </c>
      <c r="I50" s="93"/>
      <c r="J50" s="47">
        <v>-38144.480000000003</v>
      </c>
      <c r="K50" s="47">
        <v>-620.72</v>
      </c>
      <c r="L50" s="47"/>
      <c r="M50" s="92">
        <f t="shared" si="1"/>
        <v>-38765.200000000004</v>
      </c>
      <c r="N50" s="94">
        <f t="shared" si="2"/>
        <v>3351.6599999999962</v>
      </c>
    </row>
    <row r="51" spans="1:14">
      <c r="A51" s="89">
        <v>47</v>
      </c>
      <c r="B51" s="89">
        <v>1995</v>
      </c>
      <c r="C51" s="97" t="s">
        <v>313</v>
      </c>
      <c r="D51" s="91"/>
      <c r="E51" s="47">
        <v>-7772883.5899999999</v>
      </c>
      <c r="F51" s="47">
        <v>-1823271.54</v>
      </c>
      <c r="G51" s="47"/>
      <c r="H51" s="92">
        <f t="shared" si="0"/>
        <v>-9596155.129999999</v>
      </c>
      <c r="I51" s="93"/>
      <c r="J51" s="47">
        <v>1011853.72</v>
      </c>
      <c r="K51" s="47">
        <v>383846.2</v>
      </c>
      <c r="L51" s="47"/>
      <c r="M51" s="92">
        <f t="shared" si="1"/>
        <v>1395699.92</v>
      </c>
      <c r="N51" s="94">
        <f t="shared" si="2"/>
        <v>-8200455.209999999</v>
      </c>
    </row>
    <row r="52" spans="1:14">
      <c r="A52" s="101"/>
      <c r="B52" s="101">
        <v>2055</v>
      </c>
      <c r="C52" s="102" t="s">
        <v>314</v>
      </c>
      <c r="D52" s="91"/>
      <c r="E52" s="47">
        <v>127923.12</v>
      </c>
      <c r="F52" s="47">
        <v>17498.2</v>
      </c>
      <c r="G52" s="47">
        <v>-71749.06</v>
      </c>
      <c r="H52" s="92">
        <f t="shared" si="0"/>
        <v>73672.260000000009</v>
      </c>
      <c r="I52" s="103"/>
      <c r="J52" s="47">
        <v>0</v>
      </c>
      <c r="K52" s="47"/>
      <c r="L52" s="47"/>
      <c r="M52" s="92">
        <f t="shared" si="1"/>
        <v>0</v>
      </c>
      <c r="N52" s="94">
        <f t="shared" si="2"/>
        <v>73672.260000000009</v>
      </c>
    </row>
    <row r="53" spans="1:14">
      <c r="A53" s="101"/>
      <c r="B53" s="101"/>
      <c r="C53" s="104"/>
      <c r="D53" s="91"/>
      <c r="E53" s="46"/>
      <c r="F53" s="46"/>
      <c r="G53" s="46"/>
      <c r="H53" s="94"/>
      <c r="I53" s="103"/>
      <c r="J53" s="46"/>
      <c r="K53" s="46"/>
      <c r="L53" s="46"/>
      <c r="M53" s="94"/>
      <c r="N53" s="94"/>
    </row>
    <row r="54" spans="1:14">
      <c r="A54" s="101"/>
      <c r="B54" s="101"/>
      <c r="C54" s="105" t="s">
        <v>267</v>
      </c>
      <c r="D54" s="105"/>
      <c r="E54" s="106">
        <f>SUM(E16:E52)</f>
        <v>145469719.25</v>
      </c>
      <c r="F54" s="106">
        <f t="shared" ref="F54:N54" si="3">SUM(F16:F52)</f>
        <v>4849749.7000000011</v>
      </c>
      <c r="G54" s="106">
        <f t="shared" si="3"/>
        <v>-363254.65</v>
      </c>
      <c r="H54" s="106">
        <f t="shared" si="3"/>
        <v>149956214.30000001</v>
      </c>
      <c r="I54" s="106"/>
      <c r="J54" s="106">
        <f t="shared" si="3"/>
        <v>-84848977.849999994</v>
      </c>
      <c r="K54" s="106">
        <f t="shared" si="3"/>
        <v>-4690017.87</v>
      </c>
      <c r="L54" s="106">
        <f t="shared" si="3"/>
        <v>291505.59000000003</v>
      </c>
      <c r="M54" s="106">
        <f t="shared" si="3"/>
        <v>-89247490.13000001</v>
      </c>
      <c r="N54" s="106">
        <f t="shared" si="3"/>
        <v>60708724.170000002</v>
      </c>
    </row>
    <row r="56" spans="1:14">
      <c r="D56" s="73"/>
      <c r="J56" s="107" t="s">
        <v>315</v>
      </c>
      <c r="K56" s="108"/>
    </row>
    <row r="57" spans="1:14">
      <c r="A57" s="101">
        <v>10</v>
      </c>
      <c r="B57" s="101"/>
      <c r="C57" s="104" t="s">
        <v>316</v>
      </c>
      <c r="D57" s="73"/>
      <c r="J57" s="108" t="s">
        <v>316</v>
      </c>
      <c r="K57" s="108"/>
      <c r="L57" s="109">
        <v>-219733.2</v>
      </c>
    </row>
    <row r="58" spans="1:14">
      <c r="A58" s="101">
        <v>8</v>
      </c>
      <c r="B58" s="101"/>
      <c r="C58" s="104" t="s">
        <v>305</v>
      </c>
      <c r="J58" s="108" t="s">
        <v>305</v>
      </c>
      <c r="K58" s="108"/>
      <c r="L58" s="110">
        <v>-67004.399999999994</v>
      </c>
    </row>
    <row r="59" spans="1:14">
      <c r="J59" s="111" t="s">
        <v>317</v>
      </c>
      <c r="L59" s="112">
        <f>K54-L57-L58</f>
        <v>-4403280.2699999996</v>
      </c>
    </row>
    <row r="61" spans="1:14">
      <c r="A61" s="113" t="s">
        <v>270</v>
      </c>
    </row>
    <row r="63" spans="1:14">
      <c r="A63" s="72">
        <v>1</v>
      </c>
      <c r="B63" s="1128" t="s">
        <v>318</v>
      </c>
      <c r="C63" s="1128"/>
      <c r="D63" s="1128"/>
      <c r="E63" s="1128"/>
      <c r="F63" s="1128"/>
      <c r="G63" s="1128"/>
      <c r="H63" s="1128"/>
      <c r="I63" s="1128"/>
      <c r="J63" s="1128"/>
      <c r="K63" s="1128"/>
      <c r="L63" s="1128"/>
      <c r="M63" s="1128"/>
      <c r="N63" s="1128"/>
    </row>
    <row r="64" spans="1:14">
      <c r="B64" s="1128"/>
      <c r="C64" s="1128"/>
      <c r="D64" s="1128"/>
      <c r="E64" s="1128"/>
      <c r="F64" s="1128"/>
      <c r="G64" s="1128"/>
      <c r="H64" s="1128"/>
      <c r="I64" s="1128"/>
      <c r="J64" s="1128"/>
      <c r="K64" s="1128"/>
      <c r="L64" s="1128"/>
      <c r="M64" s="1128"/>
      <c r="N64" s="1128"/>
    </row>
    <row r="65" spans="1:14" ht="12.75" customHeight="1"/>
    <row r="66" spans="1:14">
      <c r="A66" s="72">
        <v>2</v>
      </c>
      <c r="B66" s="1123" t="s">
        <v>319</v>
      </c>
      <c r="C66" s="1123"/>
      <c r="D66" s="1123"/>
      <c r="E66" s="1123"/>
      <c r="F66" s="1123"/>
      <c r="G66" s="1123"/>
      <c r="H66" s="1123"/>
      <c r="I66" s="1123"/>
      <c r="J66" s="1123"/>
      <c r="K66" s="1123"/>
      <c r="L66" s="1123"/>
      <c r="M66" s="1123"/>
      <c r="N66" s="1123"/>
    </row>
    <row r="67" spans="1:14">
      <c r="B67" s="1123"/>
      <c r="C67" s="1123"/>
      <c r="D67" s="1123"/>
      <c r="E67" s="1123"/>
      <c r="F67" s="1123"/>
      <c r="G67" s="1123"/>
      <c r="H67" s="1123"/>
      <c r="I67" s="1123"/>
      <c r="J67" s="1123"/>
      <c r="K67" s="1123"/>
      <c r="L67" s="1123"/>
      <c r="M67" s="1123"/>
      <c r="N67" s="1123"/>
    </row>
    <row r="69" spans="1:14">
      <c r="A69" s="72">
        <v>3</v>
      </c>
      <c r="B69" s="1124" t="s">
        <v>320</v>
      </c>
      <c r="C69" s="1124"/>
      <c r="D69" s="1124"/>
      <c r="E69" s="1124"/>
      <c r="F69" s="1124"/>
      <c r="G69" s="1124"/>
      <c r="H69" s="1124"/>
      <c r="I69" s="1124"/>
      <c r="J69" s="1124"/>
      <c r="K69" s="1124"/>
      <c r="L69" s="1124"/>
      <c r="M69" s="1124"/>
      <c r="N69" s="1124"/>
    </row>
    <row r="71" spans="1:14">
      <c r="A71" s="72">
        <v>4</v>
      </c>
      <c r="B71" s="114" t="s">
        <v>321</v>
      </c>
    </row>
  </sheetData>
  <mergeCells count="6">
    <mergeCell ref="B69:N69"/>
    <mergeCell ref="A9:N9"/>
    <mergeCell ref="A10:N10"/>
    <mergeCell ref="E14:H14"/>
    <mergeCell ref="B63:N64"/>
    <mergeCell ref="B66:N67"/>
  </mergeCells>
  <printOptions horizontalCentered="1"/>
  <pageMargins left="0.74803149606299213" right="0.74803149606299213" top="0.74803149606299213" bottom="0.70866141732283472" header="0.51181102362204722" footer="0.51181102362204722"/>
  <pageSetup scale="54" fitToHeight="0" orientation="landscape" r:id="rId1"/>
  <headerFooter alignWithMargins="0"/>
</worksheet>
</file>

<file path=xl/worksheets/sheet5.xml><?xml version="1.0" encoding="utf-8"?>
<worksheet xmlns="http://schemas.openxmlformats.org/spreadsheetml/2006/main" xmlns:r="http://schemas.openxmlformats.org/officeDocument/2006/relationships">
  <dimension ref="A1:O71"/>
  <sheetViews>
    <sheetView showGridLines="0" zoomScale="95" zoomScaleNormal="95" workbookViewId="0">
      <selection activeCell="J24" sqref="J24"/>
    </sheetView>
  </sheetViews>
  <sheetFormatPr defaultRowHeight="12.75"/>
  <cols>
    <col min="1" max="1" width="7.7109375" style="72" customWidth="1"/>
    <col min="2" max="2" width="6.42578125" style="72" customWidth="1"/>
    <col min="3" max="3" width="37.85546875" style="30" customWidth="1"/>
    <col min="4" max="4" width="14" style="30" customWidth="1"/>
    <col min="5" max="5" width="14.42578125" style="30" customWidth="1"/>
    <col min="6" max="6" width="13.85546875" style="30" customWidth="1"/>
    <col min="7" max="7" width="12.42578125" style="30" bestFit="1" customWidth="1"/>
    <col min="8" max="8" width="14.140625" style="30" bestFit="1" customWidth="1"/>
    <col min="9" max="9" width="1.7109375" style="73" customWidth="1"/>
    <col min="10" max="10" width="14.28515625" style="30" customWidth="1"/>
    <col min="11" max="11" width="13.42578125" style="30" customWidth="1"/>
    <col min="12" max="12" width="13.5703125" style="30" customWidth="1"/>
    <col min="13" max="13" width="14.5703125" style="30" bestFit="1" customWidth="1"/>
    <col min="14" max="14" width="14.140625" style="30" bestFit="1" customWidth="1"/>
    <col min="15" max="15" width="14.7109375" style="115" bestFit="1" customWidth="1"/>
    <col min="16" max="16384" width="9.140625" style="30"/>
  </cols>
  <sheetData>
    <row r="1" spans="1:14">
      <c r="M1" s="31" t="s">
        <v>131</v>
      </c>
      <c r="N1" s="32" t="str">
        <f>'LDC Info'!$E$18</f>
        <v>EB-2012-0126</v>
      </c>
    </row>
    <row r="2" spans="1:14">
      <c r="M2" s="31" t="s">
        <v>132</v>
      </c>
      <c r="N2" s="33"/>
    </row>
    <row r="3" spans="1:14">
      <c r="M3" s="31" t="s">
        <v>133</v>
      </c>
      <c r="N3" s="33"/>
    </row>
    <row r="4" spans="1:14">
      <c r="M4" s="31" t="s">
        <v>134</v>
      </c>
      <c r="N4" s="33"/>
    </row>
    <row r="5" spans="1:14">
      <c r="M5" s="31" t="s">
        <v>135</v>
      </c>
      <c r="N5" s="34"/>
    </row>
    <row r="6" spans="1:14" ht="9" customHeight="1">
      <c r="M6" s="31"/>
      <c r="N6" s="32"/>
    </row>
    <row r="7" spans="1:14">
      <c r="M7" s="31" t="s">
        <v>136</v>
      </c>
      <c r="N7" s="34" t="s">
        <v>1171</v>
      </c>
    </row>
    <row r="8" spans="1:14" ht="9" customHeight="1"/>
    <row r="9" spans="1:14" ht="20.25" customHeight="1">
      <c r="A9" s="1122" t="s">
        <v>272</v>
      </c>
      <c r="B9" s="1122"/>
      <c r="C9" s="1122"/>
      <c r="D9" s="1122"/>
      <c r="E9" s="1122"/>
      <c r="F9" s="1122"/>
      <c r="G9" s="1122"/>
      <c r="H9" s="1122"/>
      <c r="I9" s="1122"/>
      <c r="J9" s="1122"/>
      <c r="K9" s="1122"/>
      <c r="L9" s="1122"/>
      <c r="M9" s="1122"/>
      <c r="N9" s="1122"/>
    </row>
    <row r="10" spans="1:14" ht="18">
      <c r="A10" s="1122" t="s">
        <v>273</v>
      </c>
      <c r="B10" s="1122"/>
      <c r="C10" s="1122"/>
      <c r="D10" s="1122"/>
      <c r="E10" s="1122"/>
      <c r="F10" s="1122"/>
      <c r="G10" s="1122"/>
      <c r="H10" s="1122"/>
      <c r="I10" s="1122"/>
      <c r="J10" s="1122"/>
      <c r="K10" s="1122"/>
      <c r="L10" s="1122"/>
      <c r="M10" s="1122"/>
      <c r="N10" s="1122"/>
    </row>
    <row r="12" spans="1:14" ht="15">
      <c r="C12" s="74"/>
      <c r="F12" s="75" t="s">
        <v>274</v>
      </c>
      <c r="G12" s="76">
        <v>2008</v>
      </c>
      <c r="H12" s="77"/>
    </row>
    <row r="14" spans="1:14">
      <c r="D14" s="78"/>
      <c r="E14" s="1125" t="s">
        <v>275</v>
      </c>
      <c r="F14" s="1126"/>
      <c r="G14" s="1126"/>
      <c r="H14" s="1127"/>
      <c r="J14" s="79"/>
      <c r="K14" s="80" t="s">
        <v>276</v>
      </c>
      <c r="L14" s="80"/>
      <c r="M14" s="81"/>
      <c r="N14" s="73"/>
    </row>
    <row r="15" spans="1:14" ht="25.5">
      <c r="A15" s="82" t="s">
        <v>277</v>
      </c>
      <c r="B15" s="83" t="s">
        <v>278</v>
      </c>
      <c r="C15" s="84" t="s">
        <v>279</v>
      </c>
      <c r="D15" s="82" t="s">
        <v>280</v>
      </c>
      <c r="E15" s="82" t="s">
        <v>281</v>
      </c>
      <c r="F15" s="83" t="s">
        <v>282</v>
      </c>
      <c r="G15" s="83" t="s">
        <v>283</v>
      </c>
      <c r="H15" s="82" t="s">
        <v>284</v>
      </c>
      <c r="I15" s="85"/>
      <c r="J15" s="86" t="s">
        <v>281</v>
      </c>
      <c r="K15" s="87" t="s">
        <v>282</v>
      </c>
      <c r="L15" s="87" t="s">
        <v>283</v>
      </c>
      <c r="M15" s="88" t="s">
        <v>284</v>
      </c>
      <c r="N15" s="82" t="s">
        <v>285</v>
      </c>
    </row>
    <row r="16" spans="1:14" ht="25.5">
      <c r="A16" s="89">
        <v>12</v>
      </c>
      <c r="B16" s="89">
        <v>1611</v>
      </c>
      <c r="C16" s="90" t="s">
        <v>286</v>
      </c>
      <c r="D16" s="91"/>
      <c r="E16" s="47">
        <f>'App.2-B_Fixed Asset Con''ty 2007'!H16</f>
        <v>1896349.54</v>
      </c>
      <c r="F16" s="47">
        <v>30075.570000000123</v>
      </c>
      <c r="G16" s="47">
        <v>-395541.18</v>
      </c>
      <c r="H16" s="92">
        <f>E16+F16+G16</f>
        <v>1530883.9300000002</v>
      </c>
      <c r="I16" s="93"/>
      <c r="J16" s="47">
        <f>'App.2-B_Fixed Asset Con''ty 2007'!M16</f>
        <v>-1879425.41</v>
      </c>
      <c r="K16" s="47">
        <v>-17355.270000000077</v>
      </c>
      <c r="L16" s="47">
        <v>395541.18</v>
      </c>
      <c r="M16" s="92">
        <f>J16+K16+L16</f>
        <v>-1501239.5</v>
      </c>
      <c r="N16" s="94">
        <f>H16+M16</f>
        <v>29644.430000000168</v>
      </c>
    </row>
    <row r="17" spans="1:14" ht="25.5">
      <c r="A17" s="89" t="s">
        <v>287</v>
      </c>
      <c r="B17" s="89">
        <v>1612</v>
      </c>
      <c r="C17" s="90" t="s">
        <v>288</v>
      </c>
      <c r="D17" s="91"/>
      <c r="E17" s="47">
        <f>'App.2-B_Fixed Asset Con''ty 2007'!H17</f>
        <v>0</v>
      </c>
      <c r="F17" s="47">
        <v>0</v>
      </c>
      <c r="G17" s="47"/>
      <c r="H17" s="92">
        <f t="shared" ref="H17:H52" si="0">E17+F17+G17</f>
        <v>0</v>
      </c>
      <c r="I17" s="93"/>
      <c r="J17" s="47">
        <f>'App.2-B_Fixed Asset Con''ty 2007'!M17</f>
        <v>0</v>
      </c>
      <c r="K17" s="47">
        <v>0</v>
      </c>
      <c r="L17" s="47"/>
      <c r="M17" s="92">
        <f>J17+K17+L17</f>
        <v>0</v>
      </c>
      <c r="N17" s="94">
        <f>H17+M17</f>
        <v>0</v>
      </c>
    </row>
    <row r="18" spans="1:14">
      <c r="A18" s="95" t="s">
        <v>289</v>
      </c>
      <c r="B18" s="95">
        <v>1805</v>
      </c>
      <c r="C18" s="96" t="s">
        <v>163</v>
      </c>
      <c r="D18" s="91"/>
      <c r="E18" s="47">
        <f>'App.2-B_Fixed Asset Con''ty 2007'!H18</f>
        <v>890771.88</v>
      </c>
      <c r="F18" s="47">
        <v>0</v>
      </c>
      <c r="G18" s="47"/>
      <c r="H18" s="92">
        <f t="shared" si="0"/>
        <v>890771.88</v>
      </c>
      <c r="I18" s="93"/>
      <c r="J18" s="47">
        <f>'App.2-B_Fixed Asset Con''ty 2007'!M18</f>
        <v>0</v>
      </c>
      <c r="K18" s="47">
        <v>0</v>
      </c>
      <c r="L18" s="47"/>
      <c r="M18" s="92">
        <f>J18+K18+L18</f>
        <v>0</v>
      </c>
      <c r="N18" s="94">
        <f>H18+M18</f>
        <v>890771.88</v>
      </c>
    </row>
    <row r="19" spans="1:14">
      <c r="A19" s="89">
        <v>47</v>
      </c>
      <c r="B19" s="89">
        <v>1808</v>
      </c>
      <c r="C19" s="97" t="s">
        <v>162</v>
      </c>
      <c r="D19" s="91"/>
      <c r="E19" s="47">
        <f>'App.2-B_Fixed Asset Con''ty 2007'!H19</f>
        <v>9230592.6199999992</v>
      </c>
      <c r="F19" s="47">
        <v>0</v>
      </c>
      <c r="G19" s="47"/>
      <c r="H19" s="92">
        <f t="shared" si="0"/>
        <v>9230592.6199999992</v>
      </c>
      <c r="I19" s="93"/>
      <c r="J19" s="47">
        <f>'App.2-B_Fixed Asset Con''ty 2007'!M19</f>
        <v>-3574929.5799999996</v>
      </c>
      <c r="K19" s="47">
        <v>-175968.98000000045</v>
      </c>
      <c r="L19" s="47"/>
      <c r="M19" s="92">
        <f t="shared" ref="M19:M52" si="1">J19+K19+L19</f>
        <v>-3750898.56</v>
      </c>
      <c r="N19" s="94">
        <f t="shared" ref="N19:N52" si="2">H19+M19</f>
        <v>5479694.0599999987</v>
      </c>
    </row>
    <row r="20" spans="1:14">
      <c r="A20" s="89">
        <v>13</v>
      </c>
      <c r="B20" s="89">
        <v>1808</v>
      </c>
      <c r="C20" s="97" t="s">
        <v>290</v>
      </c>
      <c r="D20" s="91"/>
      <c r="E20" s="47">
        <f>'App.2-B_Fixed Asset Con''ty 2007'!H20</f>
        <v>0</v>
      </c>
      <c r="F20" s="47">
        <v>166005</v>
      </c>
      <c r="G20" s="47"/>
      <c r="H20" s="92">
        <f t="shared" si="0"/>
        <v>166005</v>
      </c>
      <c r="I20" s="93"/>
      <c r="J20" s="47">
        <f>'App.2-B_Fixed Asset Con''ty 2007'!M20</f>
        <v>0</v>
      </c>
      <c r="K20" s="47">
        <v>-11066.99</v>
      </c>
      <c r="L20" s="47"/>
      <c r="M20" s="92">
        <f t="shared" si="1"/>
        <v>-11066.99</v>
      </c>
      <c r="N20" s="94">
        <f t="shared" si="2"/>
        <v>154938.01</v>
      </c>
    </row>
    <row r="21" spans="1:14">
      <c r="A21" s="89">
        <v>47</v>
      </c>
      <c r="B21" s="89">
        <v>1815</v>
      </c>
      <c r="C21" s="97" t="s">
        <v>291</v>
      </c>
      <c r="D21" s="91"/>
      <c r="E21" s="47">
        <f>'App.2-B_Fixed Asset Con''ty 2007'!H21</f>
        <v>0</v>
      </c>
      <c r="F21" s="47">
        <v>0</v>
      </c>
      <c r="G21" s="47"/>
      <c r="H21" s="92">
        <f t="shared" si="0"/>
        <v>0</v>
      </c>
      <c r="I21" s="93"/>
      <c r="J21" s="47">
        <f>'App.2-B_Fixed Asset Con''ty 2007'!M21</f>
        <v>0</v>
      </c>
      <c r="K21" s="47">
        <v>0</v>
      </c>
      <c r="L21" s="47"/>
      <c r="M21" s="92">
        <f t="shared" si="1"/>
        <v>0</v>
      </c>
      <c r="N21" s="94">
        <f t="shared" si="2"/>
        <v>0</v>
      </c>
    </row>
    <row r="22" spans="1:14">
      <c r="A22" s="89">
        <v>47</v>
      </c>
      <c r="B22" s="89">
        <v>1820</v>
      </c>
      <c r="C22" s="90" t="s">
        <v>292</v>
      </c>
      <c r="D22" s="91"/>
      <c r="E22" s="47">
        <f>'App.2-B_Fixed Asset Con''ty 2007'!H22</f>
        <v>15103410.560000001</v>
      </c>
      <c r="F22" s="47">
        <v>545456.99000000022</v>
      </c>
      <c r="G22" s="47"/>
      <c r="H22" s="92">
        <f t="shared" si="0"/>
        <v>15648867.550000001</v>
      </c>
      <c r="I22" s="93"/>
      <c r="J22" s="47">
        <f>'App.2-B_Fixed Asset Con''ty 2007'!M22</f>
        <v>-9060343.7199999988</v>
      </c>
      <c r="K22" s="47">
        <v>-418954.55000000075</v>
      </c>
      <c r="L22" s="47"/>
      <c r="M22" s="92">
        <f t="shared" si="1"/>
        <v>-9479298.2699999996</v>
      </c>
      <c r="N22" s="94">
        <f t="shared" si="2"/>
        <v>6169569.2800000012</v>
      </c>
    </row>
    <row r="23" spans="1:14">
      <c r="A23" s="89">
        <v>47</v>
      </c>
      <c r="B23" s="89">
        <v>1825</v>
      </c>
      <c r="C23" s="97" t="s">
        <v>293</v>
      </c>
      <c r="D23" s="91"/>
      <c r="E23" s="47">
        <f>'App.2-B_Fixed Asset Con''ty 2007'!H23</f>
        <v>0</v>
      </c>
      <c r="F23" s="47">
        <v>0</v>
      </c>
      <c r="G23" s="47"/>
      <c r="H23" s="92">
        <f t="shared" si="0"/>
        <v>0</v>
      </c>
      <c r="I23" s="93"/>
      <c r="J23" s="47">
        <f>'App.2-B_Fixed Asset Con''ty 2007'!M23</f>
        <v>0</v>
      </c>
      <c r="K23" s="47">
        <v>0</v>
      </c>
      <c r="L23" s="47"/>
      <c r="M23" s="92">
        <f t="shared" si="1"/>
        <v>0</v>
      </c>
      <c r="N23" s="94">
        <f t="shared" si="2"/>
        <v>0</v>
      </c>
    </row>
    <row r="24" spans="1:14">
      <c r="A24" s="89">
        <v>47</v>
      </c>
      <c r="B24" s="89">
        <v>1830</v>
      </c>
      <c r="C24" s="97" t="s">
        <v>146</v>
      </c>
      <c r="D24" s="91"/>
      <c r="E24" s="47">
        <f>'App.2-B_Fixed Asset Con''ty 2007'!H24</f>
        <v>12322597.399999999</v>
      </c>
      <c r="F24" s="47">
        <v>984389.00999999978</v>
      </c>
      <c r="G24" s="47"/>
      <c r="H24" s="92">
        <f t="shared" si="0"/>
        <v>13306986.409999998</v>
      </c>
      <c r="I24" s="93"/>
      <c r="J24" s="47">
        <f>'App.2-B_Fixed Asset Con''ty 2007'!M24</f>
        <v>-5468019.0699999994</v>
      </c>
      <c r="K24" s="47">
        <v>-886086.04000000097</v>
      </c>
      <c r="L24" s="47"/>
      <c r="M24" s="92">
        <f t="shared" si="1"/>
        <v>-6354105.1100000003</v>
      </c>
      <c r="N24" s="94">
        <f t="shared" si="2"/>
        <v>6952881.299999998</v>
      </c>
    </row>
    <row r="25" spans="1:14">
      <c r="A25" s="89">
        <v>47</v>
      </c>
      <c r="B25" s="89">
        <v>1835</v>
      </c>
      <c r="C25" s="97" t="s">
        <v>152</v>
      </c>
      <c r="D25" s="91"/>
      <c r="E25" s="47">
        <f>'App.2-B_Fixed Asset Con''ty 2007'!H25</f>
        <v>36708030.810000002</v>
      </c>
      <c r="F25" s="47">
        <v>1542681.05</v>
      </c>
      <c r="G25" s="47"/>
      <c r="H25" s="92">
        <f t="shared" si="0"/>
        <v>38250711.859999999</v>
      </c>
      <c r="I25" s="93"/>
      <c r="J25" s="47">
        <f>'App.2-B_Fixed Asset Con''ty 2007'!M25</f>
        <v>-23102229.970000003</v>
      </c>
      <c r="K25" s="47">
        <v>-832003.73</v>
      </c>
      <c r="L25" s="47"/>
      <c r="M25" s="92">
        <f t="shared" si="1"/>
        <v>-23934233.700000003</v>
      </c>
      <c r="N25" s="94">
        <f t="shared" si="2"/>
        <v>14316478.159999996</v>
      </c>
    </row>
    <row r="26" spans="1:14">
      <c r="A26" s="89">
        <v>47</v>
      </c>
      <c r="B26" s="89">
        <v>1840</v>
      </c>
      <c r="C26" s="97" t="s">
        <v>294</v>
      </c>
      <c r="D26" s="91"/>
      <c r="E26" s="47">
        <f>'App.2-B_Fixed Asset Con''ty 2007'!H26</f>
        <v>17206830.219999999</v>
      </c>
      <c r="F26" s="47">
        <v>538884.5</v>
      </c>
      <c r="G26" s="47"/>
      <c r="H26" s="92">
        <f t="shared" si="0"/>
        <v>17745714.719999999</v>
      </c>
      <c r="I26" s="93"/>
      <c r="J26" s="47">
        <f>'App.2-B_Fixed Asset Con''ty 2007'!M26</f>
        <v>-8814747.9800000004</v>
      </c>
      <c r="K26" s="47">
        <v>-639750.43000000005</v>
      </c>
      <c r="L26" s="47"/>
      <c r="M26" s="92">
        <f t="shared" si="1"/>
        <v>-9454498.4100000001</v>
      </c>
      <c r="N26" s="94">
        <f t="shared" si="2"/>
        <v>8291216.3099999987</v>
      </c>
    </row>
    <row r="27" spans="1:14">
      <c r="A27" s="89">
        <v>47</v>
      </c>
      <c r="B27" s="89">
        <v>1845</v>
      </c>
      <c r="C27" s="97" t="s">
        <v>295</v>
      </c>
      <c r="D27" s="91"/>
      <c r="E27" s="47">
        <f>'App.2-B_Fixed Asset Con''ty 2007'!H27</f>
        <v>16870663.940000001</v>
      </c>
      <c r="F27" s="47">
        <v>1130090.71</v>
      </c>
      <c r="G27" s="47"/>
      <c r="H27" s="92">
        <f t="shared" si="0"/>
        <v>18000754.650000002</v>
      </c>
      <c r="I27" s="93"/>
      <c r="J27" s="47">
        <f>'App.2-B_Fixed Asset Con''ty 2007'!M27</f>
        <v>-8055699.6199999992</v>
      </c>
      <c r="K27" s="47">
        <v>-665723.68000000005</v>
      </c>
      <c r="L27" s="47"/>
      <c r="M27" s="92">
        <f t="shared" si="1"/>
        <v>-8721423.2999999989</v>
      </c>
      <c r="N27" s="94">
        <f t="shared" si="2"/>
        <v>9279331.3500000034</v>
      </c>
    </row>
    <row r="28" spans="1:14">
      <c r="A28" s="89">
        <v>47</v>
      </c>
      <c r="B28" s="89">
        <v>1850</v>
      </c>
      <c r="C28" s="97" t="s">
        <v>154</v>
      </c>
      <c r="D28" s="91"/>
      <c r="E28" s="47">
        <f>'App.2-B_Fixed Asset Con''ty 2007'!H28</f>
        <v>23234804.079999998</v>
      </c>
      <c r="F28" s="47">
        <v>612938.73999999836</v>
      </c>
      <c r="G28" s="47"/>
      <c r="H28" s="92">
        <f t="shared" si="0"/>
        <v>23847742.819999997</v>
      </c>
      <c r="I28" s="93"/>
      <c r="J28" s="47">
        <f>'App.2-B_Fixed Asset Con''ty 2007'!M28</f>
        <v>-13866321.449999999</v>
      </c>
      <c r="K28" s="47">
        <v>-759009.94999999925</v>
      </c>
      <c r="L28" s="47"/>
      <c r="M28" s="92">
        <f t="shared" si="1"/>
        <v>-14625331.399999999</v>
      </c>
      <c r="N28" s="94">
        <f t="shared" si="2"/>
        <v>9222411.4199999981</v>
      </c>
    </row>
    <row r="29" spans="1:14">
      <c r="A29" s="89">
        <v>47</v>
      </c>
      <c r="B29" s="89">
        <v>1855</v>
      </c>
      <c r="C29" s="97" t="s">
        <v>155</v>
      </c>
      <c r="D29" s="91"/>
      <c r="E29" s="47">
        <f>'App.2-B_Fixed Asset Con''ty 2007'!H29</f>
        <v>8668783.9900000002</v>
      </c>
      <c r="F29" s="47">
        <f>212369.23+207077.15</f>
        <v>419446.38</v>
      </c>
      <c r="G29" s="47"/>
      <c r="H29" s="92">
        <f t="shared" si="0"/>
        <v>9088230.370000001</v>
      </c>
      <c r="I29" s="93"/>
      <c r="J29" s="47">
        <f>'App.2-B_Fixed Asset Con''ty 2007'!M29</f>
        <v>-5116276.0199999996</v>
      </c>
      <c r="K29" s="47">
        <f>-30108.45-141563.97</f>
        <v>-171672.42</v>
      </c>
      <c r="L29" s="47"/>
      <c r="M29" s="92">
        <f t="shared" si="1"/>
        <v>-5287948.4399999995</v>
      </c>
      <c r="N29" s="94">
        <f t="shared" si="2"/>
        <v>3800281.9300000016</v>
      </c>
    </row>
    <row r="30" spans="1:14">
      <c r="A30" s="89">
        <v>47</v>
      </c>
      <c r="B30" s="89">
        <v>1860</v>
      </c>
      <c r="C30" s="97" t="s">
        <v>147</v>
      </c>
      <c r="D30" s="91"/>
      <c r="E30" s="47">
        <f>'App.2-B_Fixed Asset Con''ty 2007'!H30</f>
        <v>8652811.9199999999</v>
      </c>
      <c r="F30" s="47">
        <v>88699.199999999255</v>
      </c>
      <c r="G30" s="47"/>
      <c r="H30" s="92">
        <f t="shared" si="0"/>
        <v>8741511.1199999992</v>
      </c>
      <c r="I30" s="93"/>
      <c r="J30" s="47">
        <f>'App.2-B_Fixed Asset Con''ty 2007'!M30</f>
        <v>-5567893.2400000002</v>
      </c>
      <c r="K30" s="47">
        <v>-261718.16999999993</v>
      </c>
      <c r="L30" s="47"/>
      <c r="M30" s="92">
        <f t="shared" si="1"/>
        <v>-5829611.4100000001</v>
      </c>
      <c r="N30" s="94">
        <f t="shared" si="2"/>
        <v>2911899.709999999</v>
      </c>
    </row>
    <row r="31" spans="1:14">
      <c r="A31" s="95">
        <v>47</v>
      </c>
      <c r="B31" s="95">
        <v>1860</v>
      </c>
      <c r="C31" s="96" t="s">
        <v>296</v>
      </c>
      <c r="D31" s="91"/>
      <c r="E31" s="47">
        <f>'App.2-B_Fixed Asset Con''ty 2007'!H31</f>
        <v>0</v>
      </c>
      <c r="F31" s="47">
        <v>0</v>
      </c>
      <c r="G31" s="47"/>
      <c r="H31" s="92">
        <f t="shared" si="0"/>
        <v>0</v>
      </c>
      <c r="I31" s="93"/>
      <c r="J31" s="47">
        <f>'App.2-B_Fixed Asset Con''ty 2007'!M31</f>
        <v>0</v>
      </c>
      <c r="K31" s="47">
        <v>0</v>
      </c>
      <c r="L31" s="47"/>
      <c r="M31" s="92">
        <f t="shared" si="1"/>
        <v>0</v>
      </c>
      <c r="N31" s="94">
        <f t="shared" si="2"/>
        <v>0</v>
      </c>
    </row>
    <row r="32" spans="1:14">
      <c r="A32" s="95" t="s">
        <v>289</v>
      </c>
      <c r="B32" s="95">
        <v>1905</v>
      </c>
      <c r="C32" s="96" t="s">
        <v>163</v>
      </c>
      <c r="D32" s="91"/>
      <c r="E32" s="47">
        <f>'App.2-B_Fixed Asset Con''ty 2007'!H32</f>
        <v>0</v>
      </c>
      <c r="F32" s="47">
        <v>0</v>
      </c>
      <c r="G32" s="47"/>
      <c r="H32" s="92">
        <f t="shared" si="0"/>
        <v>0</v>
      </c>
      <c r="I32" s="93"/>
      <c r="J32" s="47">
        <f>'App.2-B_Fixed Asset Con''ty 2007'!M32</f>
        <v>0</v>
      </c>
      <c r="K32" s="47">
        <v>0</v>
      </c>
      <c r="L32" s="47"/>
      <c r="M32" s="92">
        <f t="shared" si="1"/>
        <v>0</v>
      </c>
      <c r="N32" s="94">
        <f t="shared" si="2"/>
        <v>0</v>
      </c>
    </row>
    <row r="33" spans="1:14">
      <c r="A33" s="89">
        <v>47</v>
      </c>
      <c r="B33" s="89">
        <v>1908</v>
      </c>
      <c r="C33" s="97" t="s">
        <v>297</v>
      </c>
      <c r="D33" s="91"/>
      <c r="E33" s="47">
        <f>'App.2-B_Fixed Asset Con''ty 2007'!H33</f>
        <v>0</v>
      </c>
      <c r="F33" s="47">
        <v>0</v>
      </c>
      <c r="G33" s="47"/>
      <c r="H33" s="92">
        <f t="shared" si="0"/>
        <v>0</v>
      </c>
      <c r="I33" s="93"/>
      <c r="J33" s="47">
        <f>'App.2-B_Fixed Asset Con''ty 2007'!M33</f>
        <v>0</v>
      </c>
      <c r="K33" s="47">
        <v>0</v>
      </c>
      <c r="L33" s="47"/>
      <c r="M33" s="92">
        <f t="shared" si="1"/>
        <v>0</v>
      </c>
      <c r="N33" s="94">
        <f t="shared" si="2"/>
        <v>0</v>
      </c>
    </row>
    <row r="34" spans="1:14">
      <c r="A34" s="89">
        <v>13</v>
      </c>
      <c r="B34" s="89">
        <v>1910</v>
      </c>
      <c r="C34" s="97" t="s">
        <v>298</v>
      </c>
      <c r="D34" s="91"/>
      <c r="E34" s="47">
        <f>'App.2-B_Fixed Asset Con''ty 2007'!H34</f>
        <v>0</v>
      </c>
      <c r="F34" s="47">
        <v>0</v>
      </c>
      <c r="G34" s="47"/>
      <c r="H34" s="92">
        <f t="shared" si="0"/>
        <v>0</v>
      </c>
      <c r="I34" s="93"/>
      <c r="J34" s="47">
        <f>'App.2-B_Fixed Asset Con''ty 2007'!M34</f>
        <v>0</v>
      </c>
      <c r="K34" s="47">
        <v>0</v>
      </c>
      <c r="L34" s="47"/>
      <c r="M34" s="92">
        <f t="shared" si="1"/>
        <v>0</v>
      </c>
      <c r="N34" s="94">
        <f t="shared" si="2"/>
        <v>0</v>
      </c>
    </row>
    <row r="35" spans="1:14">
      <c r="A35" s="89">
        <v>8</v>
      </c>
      <c r="B35" s="89">
        <v>1915</v>
      </c>
      <c r="C35" s="97" t="s">
        <v>299</v>
      </c>
      <c r="D35" s="91"/>
      <c r="E35" s="47">
        <f>'App.2-B_Fixed Asset Con''ty 2007'!H35</f>
        <v>44314.559999999998</v>
      </c>
      <c r="F35" s="47">
        <v>0</v>
      </c>
      <c r="G35" s="47"/>
      <c r="H35" s="92">
        <f t="shared" si="0"/>
        <v>44314.559999999998</v>
      </c>
      <c r="I35" s="93"/>
      <c r="J35" s="47">
        <f>'App.2-B_Fixed Asset Con''ty 2007'!M35</f>
        <v>-37020.979999999996</v>
      </c>
      <c r="K35" s="47">
        <v>-938.52000000000407</v>
      </c>
      <c r="L35" s="47"/>
      <c r="M35" s="92">
        <f t="shared" si="1"/>
        <v>-37959.5</v>
      </c>
      <c r="N35" s="94">
        <f t="shared" si="2"/>
        <v>6355.0599999999977</v>
      </c>
    </row>
    <row r="36" spans="1:14">
      <c r="A36" s="89">
        <v>8</v>
      </c>
      <c r="B36" s="89">
        <v>1915</v>
      </c>
      <c r="C36" s="97" t="s">
        <v>300</v>
      </c>
      <c r="D36" s="91"/>
      <c r="E36" s="47">
        <f>'App.2-B_Fixed Asset Con''ty 2007'!H36</f>
        <v>0</v>
      </c>
      <c r="F36" s="47">
        <v>0</v>
      </c>
      <c r="G36" s="47"/>
      <c r="H36" s="92">
        <f t="shared" si="0"/>
        <v>0</v>
      </c>
      <c r="I36" s="93"/>
      <c r="J36" s="47">
        <f>'App.2-B_Fixed Asset Con''ty 2007'!M36</f>
        <v>0</v>
      </c>
      <c r="K36" s="47">
        <v>0</v>
      </c>
      <c r="L36" s="47"/>
      <c r="M36" s="92">
        <f t="shared" si="1"/>
        <v>0</v>
      </c>
      <c r="N36" s="94">
        <f t="shared" si="2"/>
        <v>0</v>
      </c>
    </row>
    <row r="37" spans="1:14">
      <c r="A37" s="89">
        <v>10</v>
      </c>
      <c r="B37" s="89">
        <v>1920</v>
      </c>
      <c r="C37" s="97" t="s">
        <v>301</v>
      </c>
      <c r="D37" s="91"/>
      <c r="E37" s="47">
        <f>'App.2-B_Fixed Asset Con''ty 2007'!H37</f>
        <v>93648.76</v>
      </c>
      <c r="F37" s="47">
        <v>0</v>
      </c>
      <c r="G37" s="47">
        <v>-93648.76</v>
      </c>
      <c r="H37" s="92">
        <f t="shared" si="0"/>
        <v>0</v>
      </c>
      <c r="I37" s="93"/>
      <c r="J37" s="47">
        <f>'App.2-B_Fixed Asset Con''ty 2007'!M37</f>
        <v>-93648.76</v>
      </c>
      <c r="K37" s="47">
        <v>0</v>
      </c>
      <c r="L37" s="47">
        <v>93648.76</v>
      </c>
      <c r="M37" s="92">
        <f t="shared" si="1"/>
        <v>0</v>
      </c>
      <c r="N37" s="94">
        <f t="shared" si="2"/>
        <v>0</v>
      </c>
    </row>
    <row r="38" spans="1:14" ht="25.5">
      <c r="A38" s="89">
        <v>45</v>
      </c>
      <c r="B38" s="98">
        <v>1920</v>
      </c>
      <c r="C38" s="90" t="s">
        <v>302</v>
      </c>
      <c r="D38" s="91"/>
      <c r="E38" s="47">
        <f>'App.2-B_Fixed Asset Con''ty 2007'!H38</f>
        <v>0</v>
      </c>
      <c r="F38" s="47">
        <v>0</v>
      </c>
      <c r="G38" s="47"/>
      <c r="H38" s="92">
        <f t="shared" si="0"/>
        <v>0</v>
      </c>
      <c r="I38" s="93"/>
      <c r="J38" s="47">
        <f>'App.2-B_Fixed Asset Con''ty 2007'!M38</f>
        <v>0</v>
      </c>
      <c r="K38" s="47">
        <v>0</v>
      </c>
      <c r="L38" s="47"/>
      <c r="M38" s="92">
        <f t="shared" si="1"/>
        <v>0</v>
      </c>
      <c r="N38" s="94">
        <f t="shared" si="2"/>
        <v>0</v>
      </c>
    </row>
    <row r="39" spans="1:14" ht="25.5">
      <c r="A39" s="89">
        <v>45.1</v>
      </c>
      <c r="B39" s="98">
        <v>1920</v>
      </c>
      <c r="C39" s="90" t="s">
        <v>303</v>
      </c>
      <c r="D39" s="91"/>
      <c r="E39" s="47">
        <f>'App.2-B_Fixed Asset Con''ty 2007'!H39</f>
        <v>0</v>
      </c>
      <c r="F39" s="47">
        <v>0</v>
      </c>
      <c r="G39" s="47"/>
      <c r="H39" s="92">
        <f t="shared" si="0"/>
        <v>0</v>
      </c>
      <c r="I39" s="93"/>
      <c r="J39" s="47">
        <f>'App.2-B_Fixed Asset Con''ty 2007'!M39</f>
        <v>0</v>
      </c>
      <c r="K39" s="47">
        <v>0</v>
      </c>
      <c r="L39" s="47"/>
      <c r="M39" s="92">
        <f t="shared" si="1"/>
        <v>0</v>
      </c>
      <c r="N39" s="94">
        <f t="shared" si="2"/>
        <v>0</v>
      </c>
    </row>
    <row r="40" spans="1:14">
      <c r="A40" s="89">
        <v>10</v>
      </c>
      <c r="B40" s="89">
        <v>1930</v>
      </c>
      <c r="C40" s="97" t="s">
        <v>304</v>
      </c>
      <c r="D40" s="91"/>
      <c r="E40" s="47">
        <f>'App.2-B_Fixed Asset Con''ty 2007'!H40</f>
        <v>3710287.83</v>
      </c>
      <c r="F40" s="47">
        <v>859349.61000000034</v>
      </c>
      <c r="G40" s="47">
        <v>-513355.67</v>
      </c>
      <c r="H40" s="92">
        <f t="shared" si="0"/>
        <v>4056281.7700000005</v>
      </c>
      <c r="I40" s="93"/>
      <c r="J40" s="47">
        <f>'App.2-B_Fixed Asset Con''ty 2007'!M40</f>
        <v>-3009986.2600000002</v>
      </c>
      <c r="K40" s="47">
        <v>-333319.14999999991</v>
      </c>
      <c r="L40" s="47">
        <v>513356</v>
      </c>
      <c r="M40" s="92">
        <f t="shared" si="1"/>
        <v>-2829949.41</v>
      </c>
      <c r="N40" s="94">
        <f t="shared" si="2"/>
        <v>1226332.3600000003</v>
      </c>
    </row>
    <row r="41" spans="1:14">
      <c r="A41" s="89">
        <v>8</v>
      </c>
      <c r="B41" s="89">
        <v>1935</v>
      </c>
      <c r="C41" s="97" t="s">
        <v>305</v>
      </c>
      <c r="D41" s="91"/>
      <c r="E41" s="47">
        <f>'App.2-B_Fixed Asset Con''ty 2007'!H41</f>
        <v>0</v>
      </c>
      <c r="F41" s="47">
        <v>0</v>
      </c>
      <c r="G41" s="47"/>
      <c r="H41" s="92">
        <f t="shared" si="0"/>
        <v>0</v>
      </c>
      <c r="I41" s="93"/>
      <c r="J41" s="47">
        <f>'App.2-B_Fixed Asset Con''ty 2007'!M41</f>
        <v>0</v>
      </c>
      <c r="K41" s="47">
        <v>0</v>
      </c>
      <c r="L41" s="47"/>
      <c r="M41" s="92">
        <f t="shared" si="1"/>
        <v>0</v>
      </c>
      <c r="N41" s="94">
        <f t="shared" si="2"/>
        <v>0</v>
      </c>
    </row>
    <row r="42" spans="1:14">
      <c r="A42" s="89">
        <v>8</v>
      </c>
      <c r="B42" s="89">
        <v>1940</v>
      </c>
      <c r="C42" s="97" t="s">
        <v>185</v>
      </c>
      <c r="D42" s="91"/>
      <c r="E42" s="47">
        <f>'App.2-B_Fixed Asset Con''ty 2007'!H42</f>
        <v>1371785.18</v>
      </c>
      <c r="F42" s="47">
        <v>180931.46999999997</v>
      </c>
      <c r="G42" s="47"/>
      <c r="H42" s="92">
        <f t="shared" si="0"/>
        <v>1552716.65</v>
      </c>
      <c r="I42" s="93"/>
      <c r="J42" s="47">
        <f>'App.2-B_Fixed Asset Con''ty 2007'!M42</f>
        <v>-1050326.79</v>
      </c>
      <c r="K42" s="47">
        <v>-84234.070000000065</v>
      </c>
      <c r="L42" s="47"/>
      <c r="M42" s="92">
        <f t="shared" si="1"/>
        <v>-1134560.8600000001</v>
      </c>
      <c r="N42" s="94">
        <f t="shared" si="2"/>
        <v>418155.7899999998</v>
      </c>
    </row>
    <row r="43" spans="1:14">
      <c r="A43" s="89">
        <v>8</v>
      </c>
      <c r="B43" s="89">
        <v>1945</v>
      </c>
      <c r="C43" s="97" t="s">
        <v>306</v>
      </c>
      <c r="D43" s="91"/>
      <c r="E43" s="47">
        <f>'App.2-B_Fixed Asset Con''ty 2007'!H43</f>
        <v>0</v>
      </c>
      <c r="F43" s="47">
        <v>0</v>
      </c>
      <c r="G43" s="47"/>
      <c r="H43" s="92">
        <f t="shared" si="0"/>
        <v>0</v>
      </c>
      <c r="I43" s="93"/>
      <c r="J43" s="47">
        <f>'App.2-B_Fixed Asset Con''ty 2007'!M43</f>
        <v>0</v>
      </c>
      <c r="K43" s="47">
        <v>0</v>
      </c>
      <c r="L43" s="47"/>
      <c r="M43" s="92">
        <f t="shared" si="1"/>
        <v>0</v>
      </c>
      <c r="N43" s="94">
        <f t="shared" si="2"/>
        <v>0</v>
      </c>
    </row>
    <row r="44" spans="1:14">
      <c r="A44" s="89">
        <v>8</v>
      </c>
      <c r="B44" s="89">
        <v>1950</v>
      </c>
      <c r="C44" s="97" t="s">
        <v>307</v>
      </c>
      <c r="D44" s="91"/>
      <c r="E44" s="47">
        <f>'App.2-B_Fixed Asset Con''ty 2007'!H44</f>
        <v>0</v>
      </c>
      <c r="F44" s="47">
        <v>0</v>
      </c>
      <c r="G44" s="47"/>
      <c r="H44" s="92">
        <f t="shared" si="0"/>
        <v>0</v>
      </c>
      <c r="I44" s="93"/>
      <c r="J44" s="47">
        <f>'App.2-B_Fixed Asset Con''ty 2007'!M44</f>
        <v>0</v>
      </c>
      <c r="K44" s="47">
        <v>0</v>
      </c>
      <c r="L44" s="47"/>
      <c r="M44" s="92">
        <f t="shared" si="1"/>
        <v>0</v>
      </c>
      <c r="N44" s="94">
        <f t="shared" si="2"/>
        <v>0</v>
      </c>
    </row>
    <row r="45" spans="1:14">
      <c r="A45" s="89">
        <v>8</v>
      </c>
      <c r="B45" s="89">
        <v>1955</v>
      </c>
      <c r="C45" s="97" t="s">
        <v>308</v>
      </c>
      <c r="D45" s="91"/>
      <c r="E45" s="47">
        <f>'App.2-B_Fixed Asset Con''ty 2007'!H45</f>
        <v>2185673.5499999998</v>
      </c>
      <c r="F45" s="47">
        <v>7335.1800000001676</v>
      </c>
      <c r="G45" s="47"/>
      <c r="H45" s="92">
        <f t="shared" si="0"/>
        <v>2193008.73</v>
      </c>
      <c r="I45" s="93"/>
      <c r="J45" s="47">
        <f>'App.2-B_Fixed Asset Con''ty 2007'!M45</f>
        <v>-909152.21</v>
      </c>
      <c r="K45" s="47">
        <v>-78952.859999999986</v>
      </c>
      <c r="L45" s="47"/>
      <c r="M45" s="92">
        <f t="shared" si="1"/>
        <v>-988105.07</v>
      </c>
      <c r="N45" s="94">
        <f t="shared" si="2"/>
        <v>1204903.6600000001</v>
      </c>
    </row>
    <row r="46" spans="1:14">
      <c r="A46" s="99">
        <v>8</v>
      </c>
      <c r="B46" s="99">
        <v>1955</v>
      </c>
      <c r="C46" s="100" t="s">
        <v>309</v>
      </c>
      <c r="D46" s="91"/>
      <c r="E46" s="47">
        <f>'App.2-B_Fixed Asset Con''ty 2007'!H46</f>
        <v>0</v>
      </c>
      <c r="F46" s="47">
        <v>0</v>
      </c>
      <c r="G46" s="47"/>
      <c r="H46" s="92">
        <f t="shared" si="0"/>
        <v>0</v>
      </c>
      <c r="I46" s="93"/>
      <c r="J46" s="47">
        <f>'App.2-B_Fixed Asset Con''ty 2007'!M46</f>
        <v>0</v>
      </c>
      <c r="K46" s="47">
        <v>0</v>
      </c>
      <c r="L46" s="47"/>
      <c r="M46" s="92">
        <f t="shared" si="1"/>
        <v>0</v>
      </c>
      <c r="N46" s="94">
        <f t="shared" si="2"/>
        <v>0</v>
      </c>
    </row>
    <row r="47" spans="1:14">
      <c r="A47" s="98">
        <v>8</v>
      </c>
      <c r="B47" s="98">
        <v>1960</v>
      </c>
      <c r="C47" s="90" t="s">
        <v>310</v>
      </c>
      <c r="D47" s="91"/>
      <c r="E47" s="47">
        <f>'App.2-B_Fixed Asset Con''ty 2007'!H47</f>
        <v>0</v>
      </c>
      <c r="F47" s="47">
        <v>0</v>
      </c>
      <c r="G47" s="47"/>
      <c r="H47" s="92">
        <f t="shared" si="0"/>
        <v>0</v>
      </c>
      <c r="I47" s="93"/>
      <c r="J47" s="47">
        <f>'App.2-B_Fixed Asset Con''ty 2007'!M47</f>
        <v>0</v>
      </c>
      <c r="K47" s="47">
        <v>0</v>
      </c>
      <c r="L47" s="47"/>
      <c r="M47" s="92">
        <f t="shared" si="1"/>
        <v>0</v>
      </c>
      <c r="N47" s="94">
        <f t="shared" si="2"/>
        <v>0</v>
      </c>
    </row>
    <row r="48" spans="1:14" ht="25.5">
      <c r="A48" s="89">
        <v>47</v>
      </c>
      <c r="B48" s="89">
        <v>1975</v>
      </c>
      <c r="C48" s="97" t="s">
        <v>311</v>
      </c>
      <c r="D48" s="91"/>
      <c r="E48" s="47">
        <f>'App.2-B_Fixed Asset Con''ty 2007'!H48</f>
        <v>0</v>
      </c>
      <c r="F48" s="47">
        <v>0</v>
      </c>
      <c r="G48" s="47"/>
      <c r="H48" s="92">
        <f t="shared" si="0"/>
        <v>0</v>
      </c>
      <c r="I48" s="93"/>
      <c r="J48" s="47">
        <f>'App.2-B_Fixed Asset Con''ty 2007'!M48</f>
        <v>0</v>
      </c>
      <c r="K48" s="47">
        <v>0</v>
      </c>
      <c r="L48" s="47"/>
      <c r="M48" s="92">
        <f t="shared" si="1"/>
        <v>0</v>
      </c>
      <c r="N48" s="94">
        <f t="shared" si="2"/>
        <v>0</v>
      </c>
    </row>
    <row r="49" spans="1:14">
      <c r="A49" s="89">
        <v>47</v>
      </c>
      <c r="B49" s="89">
        <v>1980</v>
      </c>
      <c r="C49" s="97" t="s">
        <v>202</v>
      </c>
      <c r="D49" s="91"/>
      <c r="E49" s="47">
        <f>'App.2-B_Fixed Asset Con''ty 2007'!H49</f>
        <v>1245223.47</v>
      </c>
      <c r="F49" s="47">
        <v>0</v>
      </c>
      <c r="G49" s="47"/>
      <c r="H49" s="92">
        <f t="shared" si="0"/>
        <v>1245223.47</v>
      </c>
      <c r="I49" s="93"/>
      <c r="J49" s="47">
        <f>'App.2-B_Fixed Asset Con''ty 2007'!M49</f>
        <v>-998403.79</v>
      </c>
      <c r="K49" s="47">
        <v>-50626.040000000037</v>
      </c>
      <c r="L49" s="47"/>
      <c r="M49" s="92">
        <f t="shared" si="1"/>
        <v>-1049029.83</v>
      </c>
      <c r="N49" s="94">
        <f t="shared" si="2"/>
        <v>196193.6399999999</v>
      </c>
    </row>
    <row r="50" spans="1:14">
      <c r="A50" s="89">
        <v>47</v>
      </c>
      <c r="B50" s="89">
        <v>1985</v>
      </c>
      <c r="C50" s="97" t="s">
        <v>312</v>
      </c>
      <c r="D50" s="91"/>
      <c r="E50" s="47">
        <f>'App.2-B_Fixed Asset Con''ty 2007'!H50</f>
        <v>42116.86</v>
      </c>
      <c r="F50" s="47">
        <v>0</v>
      </c>
      <c r="G50" s="47"/>
      <c r="H50" s="92">
        <f t="shared" si="0"/>
        <v>42116.86</v>
      </c>
      <c r="I50" s="93"/>
      <c r="J50" s="47">
        <f>'App.2-B_Fixed Asset Con''ty 2007'!M50</f>
        <v>-38765.200000000004</v>
      </c>
      <c r="K50" s="47">
        <v>-3351.6599999999962</v>
      </c>
      <c r="L50" s="47"/>
      <c r="M50" s="92">
        <f t="shared" si="1"/>
        <v>-42116.86</v>
      </c>
      <c r="N50" s="94">
        <f t="shared" si="2"/>
        <v>0</v>
      </c>
    </row>
    <row r="51" spans="1:14">
      <c r="A51" s="89">
        <v>47</v>
      </c>
      <c r="B51" s="89">
        <v>1995</v>
      </c>
      <c r="C51" s="97" t="s">
        <v>313</v>
      </c>
      <c r="D51" s="91"/>
      <c r="E51" s="47">
        <f>'App.2-B_Fixed Asset Con''ty 2007'!H51</f>
        <v>-9596155.129999999</v>
      </c>
      <c r="F51" s="47">
        <v>-1867297.0199999996</v>
      </c>
      <c r="G51" s="47"/>
      <c r="H51" s="92">
        <f t="shared" si="0"/>
        <v>-11463452.149999999</v>
      </c>
      <c r="I51" s="93"/>
      <c r="J51" s="47">
        <f>'App.2-B_Fixed Asset Con''ty 2007'!M51</f>
        <v>1395699.92</v>
      </c>
      <c r="K51" s="47">
        <v>458538.07000000007</v>
      </c>
      <c r="L51" s="47"/>
      <c r="M51" s="92">
        <f t="shared" si="1"/>
        <v>1854237.99</v>
      </c>
      <c r="N51" s="94">
        <f t="shared" si="2"/>
        <v>-9609214.1599999983</v>
      </c>
    </row>
    <row r="52" spans="1:14">
      <c r="A52" s="101"/>
      <c r="B52" s="101">
        <v>2055</v>
      </c>
      <c r="C52" s="102" t="s">
        <v>314</v>
      </c>
      <c r="D52" s="91"/>
      <c r="E52" s="47">
        <f>'App.2-B_Fixed Asset Con''ty 2007'!H52</f>
        <v>73672.260000000009</v>
      </c>
      <c r="F52" s="47">
        <f>822832.12</f>
        <v>822832.12</v>
      </c>
      <c r="G52" s="47">
        <v>-56174.06</v>
      </c>
      <c r="H52" s="92">
        <f t="shared" si="0"/>
        <v>840330.32000000007</v>
      </c>
      <c r="I52" s="103"/>
      <c r="J52" s="47">
        <f>'App.2-B_Fixed Asset Con''ty 2007'!M52</f>
        <v>0</v>
      </c>
      <c r="K52" s="47"/>
      <c r="L52" s="47"/>
      <c r="M52" s="92">
        <f t="shared" si="1"/>
        <v>0</v>
      </c>
      <c r="N52" s="94">
        <f t="shared" si="2"/>
        <v>840330.32000000007</v>
      </c>
    </row>
    <row r="53" spans="1:14">
      <c r="A53" s="101"/>
      <c r="B53" s="101"/>
      <c r="C53" s="104"/>
      <c r="D53" s="91"/>
      <c r="E53" s="46"/>
      <c r="F53" s="46"/>
      <c r="G53" s="46"/>
      <c r="H53" s="94"/>
      <c r="I53" s="103"/>
      <c r="J53" s="46"/>
      <c r="K53" s="46"/>
      <c r="L53" s="46"/>
      <c r="M53" s="94"/>
      <c r="N53" s="94"/>
    </row>
    <row r="54" spans="1:14">
      <c r="A54" s="101"/>
      <c r="B54" s="101"/>
      <c r="C54" s="105" t="s">
        <v>267</v>
      </c>
      <c r="D54" s="105"/>
      <c r="E54" s="106">
        <f>SUM(E16:E52)</f>
        <v>149956214.30000001</v>
      </c>
      <c r="F54" s="106">
        <f t="shared" ref="F54:N54" si="3">SUM(F16:F52)</f>
        <v>6061818.5099999988</v>
      </c>
      <c r="G54" s="106">
        <f t="shared" si="3"/>
        <v>-1058719.67</v>
      </c>
      <c r="H54" s="106">
        <f t="shared" si="3"/>
        <v>154959313.14000002</v>
      </c>
      <c r="I54" s="106"/>
      <c r="J54" s="106">
        <v>-89247490.090000018</v>
      </c>
      <c r="K54" s="106">
        <f t="shared" si="3"/>
        <v>-4932194.4400000013</v>
      </c>
      <c r="L54" s="106">
        <f t="shared" si="3"/>
        <v>1002545.94</v>
      </c>
      <c r="M54" s="106">
        <f t="shared" si="3"/>
        <v>-93177138.629999995</v>
      </c>
      <c r="N54" s="106">
        <f t="shared" si="3"/>
        <v>61782174.509999998</v>
      </c>
    </row>
    <row r="56" spans="1:14">
      <c r="D56" s="73"/>
      <c r="J56" s="107" t="s">
        <v>315</v>
      </c>
      <c r="K56" s="108"/>
    </row>
    <row r="57" spans="1:14">
      <c r="A57" s="101">
        <v>10</v>
      </c>
      <c r="B57" s="101"/>
      <c r="C57" s="104" t="s">
        <v>316</v>
      </c>
      <c r="D57" s="73"/>
      <c r="J57" s="108" t="s">
        <v>316</v>
      </c>
      <c r="K57" s="108"/>
      <c r="L57" s="109">
        <v>-333318.82</v>
      </c>
    </row>
    <row r="58" spans="1:14">
      <c r="A58" s="101">
        <v>8</v>
      </c>
      <c r="B58" s="101"/>
      <c r="C58" s="104" t="s">
        <v>305</v>
      </c>
      <c r="J58" s="108" t="s">
        <v>305</v>
      </c>
      <c r="K58" s="108"/>
      <c r="L58" s="110">
        <v>-84234.06</v>
      </c>
    </row>
    <row r="59" spans="1:14">
      <c r="J59" s="111" t="s">
        <v>317</v>
      </c>
      <c r="L59" s="112">
        <f>K54-L57-L58</f>
        <v>-4514641.5600000015</v>
      </c>
    </row>
    <row r="61" spans="1:14">
      <c r="A61" s="113" t="s">
        <v>270</v>
      </c>
    </row>
    <row r="63" spans="1:14">
      <c r="A63" s="72">
        <v>1</v>
      </c>
      <c r="B63" s="1128" t="s">
        <v>318</v>
      </c>
      <c r="C63" s="1128"/>
      <c r="D63" s="1128"/>
      <c r="E63" s="1128"/>
      <c r="F63" s="1128"/>
      <c r="G63" s="1128"/>
      <c r="H63" s="1128"/>
      <c r="I63" s="1128"/>
      <c r="J63" s="1128"/>
      <c r="K63" s="1128"/>
      <c r="L63" s="1128"/>
      <c r="M63" s="1128"/>
      <c r="N63" s="1128"/>
    </row>
    <row r="64" spans="1:14">
      <c r="B64" s="1128"/>
      <c r="C64" s="1128"/>
      <c r="D64" s="1128"/>
      <c r="E64" s="1128"/>
      <c r="F64" s="1128"/>
      <c r="G64" s="1128"/>
      <c r="H64" s="1128"/>
      <c r="I64" s="1128"/>
      <c r="J64" s="1128"/>
      <c r="K64" s="1128"/>
      <c r="L64" s="1128"/>
      <c r="M64" s="1128"/>
      <c r="N64" s="1128"/>
    </row>
    <row r="65" spans="1:14" ht="12.75" customHeight="1"/>
    <row r="66" spans="1:14">
      <c r="A66" s="72">
        <v>2</v>
      </c>
      <c r="B66" s="1123" t="s">
        <v>319</v>
      </c>
      <c r="C66" s="1123"/>
      <c r="D66" s="1123"/>
      <c r="E66" s="1123"/>
      <c r="F66" s="1123"/>
      <c r="G66" s="1123"/>
      <c r="H66" s="1123"/>
      <c r="I66" s="1123"/>
      <c r="J66" s="1123"/>
      <c r="K66" s="1123"/>
      <c r="L66" s="1123"/>
      <c r="M66" s="1123"/>
      <c r="N66" s="1123"/>
    </row>
    <row r="67" spans="1:14">
      <c r="B67" s="1123"/>
      <c r="C67" s="1123"/>
      <c r="D67" s="1123"/>
      <c r="E67" s="1123"/>
      <c r="F67" s="1123"/>
      <c r="G67" s="1123"/>
      <c r="H67" s="1123"/>
      <c r="I67" s="1123"/>
      <c r="J67" s="1123"/>
      <c r="K67" s="1123"/>
      <c r="L67" s="1123"/>
      <c r="M67" s="1123"/>
      <c r="N67" s="1123"/>
    </row>
    <row r="69" spans="1:14">
      <c r="A69" s="72">
        <v>3</v>
      </c>
      <c r="B69" s="1124" t="s">
        <v>320</v>
      </c>
      <c r="C69" s="1124"/>
      <c r="D69" s="1124"/>
      <c r="E69" s="1124"/>
      <c r="F69" s="1124"/>
      <c r="G69" s="1124"/>
      <c r="H69" s="1124"/>
      <c r="I69" s="1124"/>
      <c r="J69" s="1124"/>
      <c r="K69" s="1124"/>
      <c r="L69" s="1124"/>
      <c r="M69" s="1124"/>
      <c r="N69" s="1124"/>
    </row>
    <row r="71" spans="1:14">
      <c r="A71" s="72">
        <v>4</v>
      </c>
      <c r="B71" s="114" t="s">
        <v>321</v>
      </c>
    </row>
  </sheetData>
  <mergeCells count="6">
    <mergeCell ref="B69:N69"/>
    <mergeCell ref="A9:N9"/>
    <mergeCell ref="A10:N10"/>
    <mergeCell ref="E14:H14"/>
    <mergeCell ref="B63:N64"/>
    <mergeCell ref="B66:N67"/>
  </mergeCells>
  <printOptions horizontalCentered="1"/>
  <pageMargins left="0.74803149606299213" right="0.74803149606299213" top="0.74803149606299213" bottom="0.70866141732283472" header="0.51181102362204722" footer="0.51181102362204722"/>
  <pageSetup scale="54" fitToHeight="0" orientation="landscape" r:id="rId1"/>
  <headerFooter alignWithMargins="0"/>
</worksheet>
</file>

<file path=xl/worksheets/sheet6.xml><?xml version="1.0" encoding="utf-8"?>
<worksheet xmlns="http://schemas.openxmlformats.org/spreadsheetml/2006/main" xmlns:r="http://schemas.openxmlformats.org/officeDocument/2006/relationships">
  <dimension ref="A1:N71"/>
  <sheetViews>
    <sheetView showGridLines="0" zoomScale="95" zoomScaleNormal="95" workbookViewId="0">
      <selection activeCell="J24" sqref="J24"/>
    </sheetView>
  </sheetViews>
  <sheetFormatPr defaultRowHeight="12.75"/>
  <cols>
    <col min="1" max="1" width="7.7109375" style="72" customWidth="1"/>
    <col min="2" max="2" width="6.42578125" style="72" customWidth="1"/>
    <col min="3" max="3" width="37.85546875" style="30" customWidth="1"/>
    <col min="4" max="4" width="14" style="30" customWidth="1"/>
    <col min="5" max="5" width="14.42578125" style="30" customWidth="1"/>
    <col min="6" max="6" width="13" style="30" customWidth="1"/>
    <col min="7" max="7" width="12.42578125" style="30" bestFit="1" customWidth="1"/>
    <col min="8" max="8" width="15.7109375" style="30" bestFit="1" customWidth="1"/>
    <col min="9" max="9" width="1.7109375" style="73" customWidth="1"/>
    <col min="10" max="10" width="14.28515625" style="30" customWidth="1"/>
    <col min="11" max="11" width="13.42578125" style="30" customWidth="1"/>
    <col min="12" max="12" width="13.5703125" style="30" customWidth="1"/>
    <col min="13" max="13" width="14.5703125" style="30" bestFit="1" customWidth="1"/>
    <col min="14" max="14" width="14.140625" style="30" bestFit="1" customWidth="1"/>
    <col min="15" max="16384" width="9.140625" style="30"/>
  </cols>
  <sheetData>
    <row r="1" spans="1:14">
      <c r="M1" s="31" t="s">
        <v>131</v>
      </c>
      <c r="N1" s="32" t="str">
        <f>'LDC Info'!$E$18</f>
        <v>EB-2012-0126</v>
      </c>
    </row>
    <row r="2" spans="1:14">
      <c r="M2" s="31" t="s">
        <v>132</v>
      </c>
      <c r="N2" s="33"/>
    </row>
    <row r="3" spans="1:14">
      <c r="M3" s="31" t="s">
        <v>133</v>
      </c>
      <c r="N3" s="33"/>
    </row>
    <row r="4" spans="1:14">
      <c r="M4" s="31" t="s">
        <v>134</v>
      </c>
      <c r="N4" s="33"/>
    </row>
    <row r="5" spans="1:14">
      <c r="M5" s="31" t="s">
        <v>135</v>
      </c>
      <c r="N5" s="34"/>
    </row>
    <row r="6" spans="1:14" ht="9" customHeight="1">
      <c r="M6" s="31"/>
      <c r="N6" s="32"/>
    </row>
    <row r="7" spans="1:14">
      <c r="M7" s="31" t="s">
        <v>136</v>
      </c>
      <c r="N7" s="34" t="s">
        <v>1171</v>
      </c>
    </row>
    <row r="8" spans="1:14" ht="9" customHeight="1"/>
    <row r="9" spans="1:14" ht="20.25" customHeight="1">
      <c r="A9" s="1122" t="s">
        <v>272</v>
      </c>
      <c r="B9" s="1122"/>
      <c r="C9" s="1122"/>
      <c r="D9" s="1122"/>
      <c r="E9" s="1122"/>
      <c r="F9" s="1122"/>
      <c r="G9" s="1122"/>
      <c r="H9" s="1122"/>
      <c r="I9" s="1122"/>
      <c r="J9" s="1122"/>
      <c r="K9" s="1122"/>
      <c r="L9" s="1122"/>
      <c r="M9" s="1122"/>
      <c r="N9" s="1122"/>
    </row>
    <row r="10" spans="1:14" ht="18">
      <c r="A10" s="1122" t="s">
        <v>273</v>
      </c>
      <c r="B10" s="1122"/>
      <c r="C10" s="1122"/>
      <c r="D10" s="1122"/>
      <c r="E10" s="1122"/>
      <c r="F10" s="1122"/>
      <c r="G10" s="1122"/>
      <c r="H10" s="1122"/>
      <c r="I10" s="1122"/>
      <c r="J10" s="1122"/>
      <c r="K10" s="1122"/>
      <c r="L10" s="1122"/>
      <c r="M10" s="1122"/>
      <c r="N10" s="1122"/>
    </row>
    <row r="12" spans="1:14" ht="15">
      <c r="C12" s="74"/>
      <c r="F12" s="75" t="s">
        <v>274</v>
      </c>
      <c r="G12" s="76">
        <v>2009</v>
      </c>
      <c r="H12" s="77"/>
    </row>
    <row r="14" spans="1:14">
      <c r="D14" s="78"/>
      <c r="E14" s="1125" t="s">
        <v>275</v>
      </c>
      <c r="F14" s="1126"/>
      <c r="G14" s="1126"/>
      <c r="H14" s="1127"/>
      <c r="J14" s="79"/>
      <c r="K14" s="80" t="s">
        <v>276</v>
      </c>
      <c r="L14" s="80"/>
      <c r="M14" s="81"/>
      <c r="N14" s="73"/>
    </row>
    <row r="15" spans="1:14" ht="25.5">
      <c r="A15" s="82" t="s">
        <v>277</v>
      </c>
      <c r="B15" s="83" t="s">
        <v>278</v>
      </c>
      <c r="C15" s="84" t="s">
        <v>279</v>
      </c>
      <c r="D15" s="82" t="s">
        <v>280</v>
      </c>
      <c r="E15" s="82" t="s">
        <v>281</v>
      </c>
      <c r="F15" s="83" t="s">
        <v>282</v>
      </c>
      <c r="G15" s="83" t="s">
        <v>283</v>
      </c>
      <c r="H15" s="82" t="s">
        <v>284</v>
      </c>
      <c r="I15" s="85"/>
      <c r="J15" s="86" t="s">
        <v>281</v>
      </c>
      <c r="K15" s="87" t="s">
        <v>282</v>
      </c>
      <c r="L15" s="87" t="s">
        <v>283</v>
      </c>
      <c r="M15" s="88" t="s">
        <v>284</v>
      </c>
      <c r="N15" s="82" t="s">
        <v>285</v>
      </c>
    </row>
    <row r="16" spans="1:14" ht="25.5">
      <c r="A16" s="89">
        <v>12</v>
      </c>
      <c r="B16" s="89">
        <v>1611</v>
      </c>
      <c r="C16" s="90" t="s">
        <v>286</v>
      </c>
      <c r="D16" s="91"/>
      <c r="E16" s="47">
        <f>'App.2-B_Fixed Asset Con''ty 2008'!H16</f>
        <v>1530883.9300000002</v>
      </c>
      <c r="F16" s="47">
        <v>323775.47000000003</v>
      </c>
      <c r="G16" s="47">
        <v>-1090.57</v>
      </c>
      <c r="H16" s="92">
        <f>E16+F16+G16</f>
        <v>1853568.83</v>
      </c>
      <c r="I16" s="93"/>
      <c r="J16" s="47">
        <f>'App.2-B_Fixed Asset Con''ty 2008'!M16</f>
        <v>-1501239.5</v>
      </c>
      <c r="K16" s="47">
        <v>-43757.32</v>
      </c>
      <c r="L16" s="47">
        <v>109</v>
      </c>
      <c r="M16" s="92">
        <f>J16+K16+L16</f>
        <v>-1544887.82</v>
      </c>
      <c r="N16" s="94">
        <f>H16+M16</f>
        <v>308681.01</v>
      </c>
    </row>
    <row r="17" spans="1:14" ht="25.5">
      <c r="A17" s="89" t="s">
        <v>287</v>
      </c>
      <c r="B17" s="89">
        <v>1612</v>
      </c>
      <c r="C17" s="90" t="s">
        <v>288</v>
      </c>
      <c r="D17" s="91"/>
      <c r="E17" s="47">
        <f>'App.2-B_Fixed Asset Con''ty 2008'!H17</f>
        <v>0</v>
      </c>
      <c r="F17" s="47"/>
      <c r="G17" s="47"/>
      <c r="H17" s="92">
        <f>E17+F17+G17</f>
        <v>0</v>
      </c>
      <c r="I17" s="93"/>
      <c r="J17" s="47">
        <f>'App.2-B_Fixed Asset Con''ty 2008'!M17</f>
        <v>0</v>
      </c>
      <c r="K17" s="47"/>
      <c r="L17" s="47"/>
      <c r="M17" s="92">
        <f>J17+K17+L17</f>
        <v>0</v>
      </c>
      <c r="N17" s="94">
        <f>H17+M17</f>
        <v>0</v>
      </c>
    </row>
    <row r="18" spans="1:14">
      <c r="A18" s="95" t="s">
        <v>289</v>
      </c>
      <c r="B18" s="95">
        <v>1805</v>
      </c>
      <c r="C18" s="96" t="s">
        <v>163</v>
      </c>
      <c r="D18" s="91"/>
      <c r="E18" s="47">
        <f>'App.2-B_Fixed Asset Con''ty 2008'!H18</f>
        <v>890771.88</v>
      </c>
      <c r="F18" s="47">
        <v>186.05</v>
      </c>
      <c r="G18" s="47"/>
      <c r="H18" s="92">
        <f>E18+F18+G18</f>
        <v>890957.93</v>
      </c>
      <c r="I18" s="93"/>
      <c r="J18" s="47">
        <f>'App.2-B_Fixed Asset Con''ty 2008'!M18</f>
        <v>0</v>
      </c>
      <c r="K18" s="47"/>
      <c r="L18" s="47"/>
      <c r="M18" s="92">
        <f>J18+K18+L18</f>
        <v>0</v>
      </c>
      <c r="N18" s="94">
        <f>H18+M18</f>
        <v>890957.93</v>
      </c>
    </row>
    <row r="19" spans="1:14">
      <c r="A19" s="89">
        <v>47</v>
      </c>
      <c r="B19" s="89">
        <v>1808</v>
      </c>
      <c r="C19" s="97" t="s">
        <v>162</v>
      </c>
      <c r="D19" s="91"/>
      <c r="E19" s="47">
        <f>'App.2-B_Fixed Asset Con''ty 2008'!H19</f>
        <v>9230592.6199999992</v>
      </c>
      <c r="F19" s="47">
        <v>0</v>
      </c>
      <c r="G19" s="47"/>
      <c r="H19" s="92">
        <f t="shared" ref="H19:H52" si="0">E19+F19+G19</f>
        <v>9230592.6199999992</v>
      </c>
      <c r="I19" s="93"/>
      <c r="J19" s="47">
        <f>'App.2-B_Fixed Asset Con''ty 2008'!M19</f>
        <v>-3750898.56</v>
      </c>
      <c r="K19" s="47">
        <v>-175805.42</v>
      </c>
      <c r="L19" s="47"/>
      <c r="M19" s="92">
        <f t="shared" ref="M19:M52" si="1">J19+K19+L19</f>
        <v>-3926703.98</v>
      </c>
      <c r="N19" s="94">
        <f t="shared" ref="N19:N52" si="2">H19+M19</f>
        <v>5303888.6399999987</v>
      </c>
    </row>
    <row r="20" spans="1:14">
      <c r="A20" s="89">
        <v>13</v>
      </c>
      <c r="B20" s="89">
        <v>1808</v>
      </c>
      <c r="C20" s="97" t="s">
        <v>290</v>
      </c>
      <c r="D20" s="91"/>
      <c r="E20" s="47">
        <f>'App.2-B_Fixed Asset Con''ty 2008'!H20</f>
        <v>166005</v>
      </c>
      <c r="F20" s="47">
        <v>240168.52</v>
      </c>
      <c r="G20" s="47"/>
      <c r="H20" s="92">
        <f t="shared" si="0"/>
        <v>406173.52</v>
      </c>
      <c r="I20" s="93"/>
      <c r="J20" s="47">
        <f>'App.2-B_Fixed Asset Con''ty 2008'!M20</f>
        <v>-11066.99</v>
      </c>
      <c r="K20" s="47">
        <v>-19072.61</v>
      </c>
      <c r="L20" s="47"/>
      <c r="M20" s="92">
        <f t="shared" si="1"/>
        <v>-30139.599999999999</v>
      </c>
      <c r="N20" s="94">
        <f t="shared" si="2"/>
        <v>376033.92000000004</v>
      </c>
    </row>
    <row r="21" spans="1:14">
      <c r="A21" s="89">
        <v>47</v>
      </c>
      <c r="B21" s="89">
        <v>1815</v>
      </c>
      <c r="C21" s="97" t="s">
        <v>291</v>
      </c>
      <c r="D21" s="91"/>
      <c r="E21" s="47">
        <f>'App.2-B_Fixed Asset Con''ty 2008'!H21</f>
        <v>0</v>
      </c>
      <c r="F21" s="47"/>
      <c r="G21" s="47"/>
      <c r="H21" s="92">
        <f t="shared" si="0"/>
        <v>0</v>
      </c>
      <c r="I21" s="93"/>
      <c r="J21" s="47">
        <f>'App.2-B_Fixed Asset Con''ty 2008'!M21</f>
        <v>0</v>
      </c>
      <c r="K21" s="47"/>
      <c r="L21" s="47"/>
      <c r="M21" s="92">
        <f t="shared" si="1"/>
        <v>0</v>
      </c>
      <c r="N21" s="94">
        <f t="shared" si="2"/>
        <v>0</v>
      </c>
    </row>
    <row r="22" spans="1:14">
      <c r="A22" s="89">
        <v>47</v>
      </c>
      <c r="B22" s="89">
        <v>1820</v>
      </c>
      <c r="C22" s="90" t="s">
        <v>292</v>
      </c>
      <c r="D22" s="91"/>
      <c r="E22" s="47">
        <f>'App.2-B_Fixed Asset Con''ty 2008'!H22</f>
        <v>15648867.550000001</v>
      </c>
      <c r="F22" s="47">
        <v>437621.15</v>
      </c>
      <c r="G22" s="47"/>
      <c r="H22" s="92">
        <f t="shared" si="0"/>
        <v>16086488.700000001</v>
      </c>
      <c r="I22" s="93"/>
      <c r="J22" s="47">
        <f>'App.2-B_Fixed Asset Con''ty 2008'!M22</f>
        <v>-9479298.2699999996</v>
      </c>
      <c r="K22" s="47">
        <v>-426248.20999999996</v>
      </c>
      <c r="L22" s="47"/>
      <c r="M22" s="92">
        <f t="shared" si="1"/>
        <v>-9905546.4800000004</v>
      </c>
      <c r="N22" s="94">
        <f t="shared" si="2"/>
        <v>6180942.2200000007</v>
      </c>
    </row>
    <row r="23" spans="1:14">
      <c r="A23" s="89">
        <v>47</v>
      </c>
      <c r="B23" s="89">
        <v>1825</v>
      </c>
      <c r="C23" s="97" t="s">
        <v>293</v>
      </c>
      <c r="D23" s="91"/>
      <c r="E23" s="47">
        <f>'App.2-B_Fixed Asset Con''ty 2008'!H23</f>
        <v>0</v>
      </c>
      <c r="F23" s="47"/>
      <c r="G23" s="47"/>
      <c r="H23" s="92">
        <f t="shared" si="0"/>
        <v>0</v>
      </c>
      <c r="I23" s="93"/>
      <c r="J23" s="47">
        <f>'App.2-B_Fixed Asset Con''ty 2008'!M23</f>
        <v>0</v>
      </c>
      <c r="K23" s="47"/>
      <c r="L23" s="47"/>
      <c r="M23" s="92">
        <f t="shared" si="1"/>
        <v>0</v>
      </c>
      <c r="N23" s="94">
        <f t="shared" si="2"/>
        <v>0</v>
      </c>
    </row>
    <row r="24" spans="1:14">
      <c r="A24" s="89">
        <v>47</v>
      </c>
      <c r="B24" s="89">
        <v>1830</v>
      </c>
      <c r="C24" s="97" t="s">
        <v>146</v>
      </c>
      <c r="D24" s="91"/>
      <c r="E24" s="47">
        <f>'App.2-B_Fixed Asset Con''ty 2008'!H24</f>
        <v>13306986.409999998</v>
      </c>
      <c r="F24" s="47">
        <v>2004152.65</v>
      </c>
      <c r="G24" s="47"/>
      <c r="H24" s="92">
        <f t="shared" si="0"/>
        <v>15311139.059999999</v>
      </c>
      <c r="I24" s="93"/>
      <c r="J24" s="47">
        <f>'App.2-B_Fixed Asset Con''ty 2008'!M24</f>
        <v>-6354105.1100000003</v>
      </c>
      <c r="K24" s="47">
        <v>-919046.33</v>
      </c>
      <c r="L24" s="47"/>
      <c r="M24" s="92">
        <f t="shared" si="1"/>
        <v>-7273151.4400000004</v>
      </c>
      <c r="N24" s="94">
        <f t="shared" si="2"/>
        <v>8037987.6199999982</v>
      </c>
    </row>
    <row r="25" spans="1:14">
      <c r="A25" s="89">
        <v>47</v>
      </c>
      <c r="B25" s="89">
        <v>1835</v>
      </c>
      <c r="C25" s="97" t="s">
        <v>152</v>
      </c>
      <c r="D25" s="91"/>
      <c r="E25" s="47">
        <f>'App.2-B_Fixed Asset Con''ty 2008'!H25</f>
        <v>38250711.859999999</v>
      </c>
      <c r="F25" s="47">
        <v>1395457.51</v>
      </c>
      <c r="G25" s="47"/>
      <c r="H25" s="92">
        <f t="shared" si="0"/>
        <v>39646169.369999997</v>
      </c>
      <c r="I25" s="93"/>
      <c r="J25" s="47">
        <f>'App.2-B_Fixed Asset Con''ty 2008'!M25</f>
        <v>-23934233.700000003</v>
      </c>
      <c r="K25" s="47">
        <v>-838387.4</v>
      </c>
      <c r="L25" s="47"/>
      <c r="M25" s="92">
        <f t="shared" si="1"/>
        <v>-24772621.100000001</v>
      </c>
      <c r="N25" s="94">
        <f t="shared" si="2"/>
        <v>14873548.269999996</v>
      </c>
    </row>
    <row r="26" spans="1:14">
      <c r="A26" s="89">
        <v>47</v>
      </c>
      <c r="B26" s="89">
        <v>1840</v>
      </c>
      <c r="C26" s="97" t="s">
        <v>294</v>
      </c>
      <c r="D26" s="91"/>
      <c r="E26" s="47">
        <f>'App.2-B_Fixed Asset Con''ty 2008'!H26</f>
        <v>17745714.719999999</v>
      </c>
      <c r="F26" s="47">
        <v>733233.62</v>
      </c>
      <c r="G26" s="47"/>
      <c r="H26" s="92">
        <f t="shared" si="0"/>
        <v>18478948.34</v>
      </c>
      <c r="I26" s="93"/>
      <c r="J26" s="47">
        <f>'App.2-B_Fixed Asset Con''ty 2008'!M26</f>
        <v>-9454498.4100000001</v>
      </c>
      <c r="K26" s="47">
        <v>-654415.1</v>
      </c>
      <c r="L26" s="47"/>
      <c r="M26" s="92">
        <f t="shared" si="1"/>
        <v>-10108913.51</v>
      </c>
      <c r="N26" s="94">
        <f t="shared" si="2"/>
        <v>8370034.8300000001</v>
      </c>
    </row>
    <row r="27" spans="1:14">
      <c r="A27" s="89">
        <v>47</v>
      </c>
      <c r="B27" s="89">
        <v>1845</v>
      </c>
      <c r="C27" s="97" t="s">
        <v>295</v>
      </c>
      <c r="D27" s="91"/>
      <c r="E27" s="47">
        <f>'App.2-B_Fixed Asset Con''ty 2008'!H27</f>
        <v>18000754.650000002</v>
      </c>
      <c r="F27" s="47">
        <v>968524.56</v>
      </c>
      <c r="G27" s="47"/>
      <c r="H27" s="92">
        <f t="shared" si="0"/>
        <v>18969279.210000001</v>
      </c>
      <c r="I27" s="93"/>
      <c r="J27" s="47">
        <f>'App.2-B_Fixed Asset Con''ty 2008'!M27</f>
        <v>-8721423.2999999989</v>
      </c>
      <c r="K27" s="47">
        <v>-685094.17</v>
      </c>
      <c r="L27" s="47"/>
      <c r="M27" s="92">
        <f t="shared" si="1"/>
        <v>-9406517.4699999988</v>
      </c>
      <c r="N27" s="94">
        <f t="shared" si="2"/>
        <v>9562761.7400000021</v>
      </c>
    </row>
    <row r="28" spans="1:14">
      <c r="A28" s="89">
        <v>47</v>
      </c>
      <c r="B28" s="89">
        <v>1850</v>
      </c>
      <c r="C28" s="97" t="s">
        <v>154</v>
      </c>
      <c r="D28" s="91"/>
      <c r="E28" s="47">
        <f>'App.2-B_Fixed Asset Con''ty 2008'!H28</f>
        <v>23847742.819999997</v>
      </c>
      <c r="F28" s="47">
        <v>1103841.6299999999</v>
      </c>
      <c r="G28" s="47"/>
      <c r="H28" s="92">
        <f t="shared" si="0"/>
        <v>24951584.449999996</v>
      </c>
      <c r="I28" s="93"/>
      <c r="J28" s="47">
        <f>'App.2-B_Fixed Asset Con''ty 2008'!M28</f>
        <v>-14625331.399999999</v>
      </c>
      <c r="K28" s="47">
        <v>-776793.41</v>
      </c>
      <c r="L28" s="47"/>
      <c r="M28" s="92">
        <f t="shared" si="1"/>
        <v>-15402124.809999999</v>
      </c>
      <c r="N28" s="94">
        <f t="shared" si="2"/>
        <v>9549459.6399999969</v>
      </c>
    </row>
    <row r="29" spans="1:14">
      <c r="A29" s="89">
        <v>47</v>
      </c>
      <c r="B29" s="89">
        <v>1855</v>
      </c>
      <c r="C29" s="97" t="s">
        <v>155</v>
      </c>
      <c r="D29" s="91"/>
      <c r="E29" s="47">
        <f>'App.2-B_Fixed Asset Con''ty 2008'!H29</f>
        <v>9088230.370000001</v>
      </c>
      <c r="F29" s="47">
        <f>193021.31+160293.66</f>
        <v>353314.97</v>
      </c>
      <c r="G29" s="47"/>
      <c r="H29" s="92">
        <f t="shared" si="0"/>
        <v>9441545.3400000017</v>
      </c>
      <c r="I29" s="93"/>
      <c r="J29" s="47">
        <f>'App.2-B_Fixed Asset Con''ty 2008'!M29</f>
        <v>-5287948.4399999995</v>
      </c>
      <c r="K29" s="47">
        <f>-31292.86-144769.84</f>
        <v>-176062.7</v>
      </c>
      <c r="L29" s="47"/>
      <c r="M29" s="92">
        <f t="shared" si="1"/>
        <v>-5464011.1399999997</v>
      </c>
      <c r="N29" s="94">
        <f t="shared" si="2"/>
        <v>3977534.200000002</v>
      </c>
    </row>
    <row r="30" spans="1:14">
      <c r="A30" s="89">
        <v>47</v>
      </c>
      <c r="B30" s="89">
        <v>1860</v>
      </c>
      <c r="C30" s="97" t="s">
        <v>147</v>
      </c>
      <c r="D30" s="91"/>
      <c r="E30" s="47">
        <f>'App.2-B_Fixed Asset Con''ty 2008'!H30</f>
        <v>8741511.1199999992</v>
      </c>
      <c r="F30" s="47">
        <v>38347.509999999776</v>
      </c>
      <c r="G30" s="47"/>
      <c r="H30" s="92">
        <f t="shared" si="0"/>
        <v>8779858.629999999</v>
      </c>
      <c r="I30" s="93"/>
      <c r="J30" s="47">
        <f>'App.2-B_Fixed Asset Con''ty 2008'!M30</f>
        <v>-5829611.4100000001</v>
      </c>
      <c r="K30" s="47">
        <v>-262260.42</v>
      </c>
      <c r="L30" s="47"/>
      <c r="M30" s="92">
        <f t="shared" si="1"/>
        <v>-6091871.8300000001</v>
      </c>
      <c r="N30" s="94">
        <f t="shared" si="2"/>
        <v>2687986.7999999989</v>
      </c>
    </row>
    <row r="31" spans="1:14">
      <c r="A31" s="95">
        <v>47</v>
      </c>
      <c r="B31" s="95">
        <v>1860</v>
      </c>
      <c r="C31" s="96" t="s">
        <v>296</v>
      </c>
      <c r="D31" s="91"/>
      <c r="E31" s="47">
        <f>'App.2-B_Fixed Asset Con''ty 2008'!H31</f>
        <v>0</v>
      </c>
      <c r="F31" s="47"/>
      <c r="G31" s="47"/>
      <c r="H31" s="92">
        <f t="shared" si="0"/>
        <v>0</v>
      </c>
      <c r="I31" s="93"/>
      <c r="J31" s="47">
        <f>'App.2-B_Fixed Asset Con''ty 2008'!M31</f>
        <v>0</v>
      </c>
      <c r="K31" s="47"/>
      <c r="L31" s="47"/>
      <c r="M31" s="92">
        <f t="shared" si="1"/>
        <v>0</v>
      </c>
      <c r="N31" s="94">
        <f t="shared" si="2"/>
        <v>0</v>
      </c>
    </row>
    <row r="32" spans="1:14">
      <c r="A32" s="95" t="s">
        <v>289</v>
      </c>
      <c r="B32" s="95">
        <v>1905</v>
      </c>
      <c r="C32" s="96" t="s">
        <v>163</v>
      </c>
      <c r="D32" s="91"/>
      <c r="E32" s="47">
        <f>'App.2-B_Fixed Asset Con''ty 2008'!H32</f>
        <v>0</v>
      </c>
      <c r="F32" s="47"/>
      <c r="G32" s="47"/>
      <c r="H32" s="92">
        <f t="shared" si="0"/>
        <v>0</v>
      </c>
      <c r="I32" s="93"/>
      <c r="J32" s="47">
        <f>'App.2-B_Fixed Asset Con''ty 2008'!M32</f>
        <v>0</v>
      </c>
      <c r="K32" s="47"/>
      <c r="L32" s="47"/>
      <c r="M32" s="92">
        <f t="shared" si="1"/>
        <v>0</v>
      </c>
      <c r="N32" s="94">
        <f t="shared" si="2"/>
        <v>0</v>
      </c>
    </row>
    <row r="33" spans="1:14">
      <c r="A33" s="89">
        <v>47</v>
      </c>
      <c r="B33" s="89">
        <v>1908</v>
      </c>
      <c r="C33" s="97" t="s">
        <v>297</v>
      </c>
      <c r="D33" s="91"/>
      <c r="E33" s="47">
        <f>'App.2-B_Fixed Asset Con''ty 2008'!H33</f>
        <v>0</v>
      </c>
      <c r="F33" s="47"/>
      <c r="G33" s="47"/>
      <c r="H33" s="92">
        <f t="shared" si="0"/>
        <v>0</v>
      </c>
      <c r="I33" s="93"/>
      <c r="J33" s="47">
        <f>'App.2-B_Fixed Asset Con''ty 2008'!M33</f>
        <v>0</v>
      </c>
      <c r="K33" s="47"/>
      <c r="L33" s="47"/>
      <c r="M33" s="92">
        <f t="shared" si="1"/>
        <v>0</v>
      </c>
      <c r="N33" s="94">
        <f t="shared" si="2"/>
        <v>0</v>
      </c>
    </row>
    <row r="34" spans="1:14">
      <c r="A34" s="89">
        <v>13</v>
      </c>
      <c r="B34" s="89">
        <v>1910</v>
      </c>
      <c r="C34" s="97" t="s">
        <v>298</v>
      </c>
      <c r="D34" s="91"/>
      <c r="E34" s="47">
        <f>'App.2-B_Fixed Asset Con''ty 2008'!H34</f>
        <v>0</v>
      </c>
      <c r="F34" s="47"/>
      <c r="G34" s="47"/>
      <c r="H34" s="92">
        <f t="shared" si="0"/>
        <v>0</v>
      </c>
      <c r="I34" s="93"/>
      <c r="J34" s="47">
        <f>'App.2-B_Fixed Asset Con''ty 2008'!M34</f>
        <v>0</v>
      </c>
      <c r="K34" s="47"/>
      <c r="L34" s="47"/>
      <c r="M34" s="92">
        <f t="shared" si="1"/>
        <v>0</v>
      </c>
      <c r="N34" s="94">
        <f t="shared" si="2"/>
        <v>0</v>
      </c>
    </row>
    <row r="35" spans="1:14">
      <c r="A35" s="89">
        <v>8</v>
      </c>
      <c r="B35" s="89">
        <v>1915</v>
      </c>
      <c r="C35" s="97" t="s">
        <v>299</v>
      </c>
      <c r="D35" s="91"/>
      <c r="E35" s="47">
        <f>'App.2-B_Fixed Asset Con''ty 2008'!H35</f>
        <v>44314.559999999998</v>
      </c>
      <c r="F35" s="47"/>
      <c r="G35" s="47"/>
      <c r="H35" s="92">
        <f t="shared" si="0"/>
        <v>44314.559999999998</v>
      </c>
      <c r="I35" s="93"/>
      <c r="J35" s="47">
        <f>'App.2-B_Fixed Asset Con''ty 2008'!M35</f>
        <v>-37959.5</v>
      </c>
      <c r="K35" s="47">
        <v>-938.52</v>
      </c>
      <c r="L35" s="47"/>
      <c r="M35" s="92">
        <f t="shared" si="1"/>
        <v>-38898.019999999997</v>
      </c>
      <c r="N35" s="94">
        <f t="shared" si="2"/>
        <v>5416.5400000000009</v>
      </c>
    </row>
    <row r="36" spans="1:14">
      <c r="A36" s="89">
        <v>8</v>
      </c>
      <c r="B36" s="89">
        <v>1915</v>
      </c>
      <c r="C36" s="97" t="s">
        <v>300</v>
      </c>
      <c r="D36" s="91"/>
      <c r="E36" s="47">
        <f>'App.2-B_Fixed Asset Con''ty 2008'!H36</f>
        <v>0</v>
      </c>
      <c r="F36" s="47"/>
      <c r="G36" s="47"/>
      <c r="H36" s="92">
        <f t="shared" si="0"/>
        <v>0</v>
      </c>
      <c r="I36" s="93"/>
      <c r="J36" s="47">
        <f>'App.2-B_Fixed Asset Con''ty 2008'!M36</f>
        <v>0</v>
      </c>
      <c r="K36" s="47"/>
      <c r="L36" s="47"/>
      <c r="M36" s="92">
        <f t="shared" si="1"/>
        <v>0</v>
      </c>
      <c r="N36" s="94">
        <f t="shared" si="2"/>
        <v>0</v>
      </c>
    </row>
    <row r="37" spans="1:14">
      <c r="A37" s="89">
        <v>10</v>
      </c>
      <c r="B37" s="89">
        <v>1920</v>
      </c>
      <c r="C37" s="97" t="s">
        <v>301</v>
      </c>
      <c r="D37" s="91"/>
      <c r="E37" s="47">
        <f>'App.2-B_Fixed Asset Con''ty 2008'!H37</f>
        <v>0</v>
      </c>
      <c r="F37" s="47"/>
      <c r="G37" s="47"/>
      <c r="H37" s="92">
        <f t="shared" si="0"/>
        <v>0</v>
      </c>
      <c r="I37" s="93"/>
      <c r="J37" s="47">
        <f>'App.2-B_Fixed Asset Con''ty 2008'!M37</f>
        <v>0</v>
      </c>
      <c r="K37" s="47"/>
      <c r="L37" s="47"/>
      <c r="M37" s="92">
        <f t="shared" si="1"/>
        <v>0</v>
      </c>
      <c r="N37" s="94">
        <f t="shared" si="2"/>
        <v>0</v>
      </c>
    </row>
    <row r="38" spans="1:14" ht="25.5">
      <c r="A38" s="89">
        <v>45</v>
      </c>
      <c r="B38" s="98">
        <v>1920</v>
      </c>
      <c r="C38" s="90" t="s">
        <v>302</v>
      </c>
      <c r="D38" s="91"/>
      <c r="E38" s="47">
        <f>'App.2-B_Fixed Asset Con''ty 2008'!H38</f>
        <v>0</v>
      </c>
      <c r="F38" s="47"/>
      <c r="G38" s="47"/>
      <c r="H38" s="92">
        <f t="shared" si="0"/>
        <v>0</v>
      </c>
      <c r="I38" s="93"/>
      <c r="J38" s="47">
        <f>'App.2-B_Fixed Asset Con''ty 2008'!M38</f>
        <v>0</v>
      </c>
      <c r="K38" s="47"/>
      <c r="L38" s="47"/>
      <c r="M38" s="92">
        <f t="shared" si="1"/>
        <v>0</v>
      </c>
      <c r="N38" s="94">
        <f t="shared" si="2"/>
        <v>0</v>
      </c>
    </row>
    <row r="39" spans="1:14" ht="25.5">
      <c r="A39" s="89">
        <v>45.1</v>
      </c>
      <c r="B39" s="98">
        <v>1920</v>
      </c>
      <c r="C39" s="90" t="s">
        <v>303</v>
      </c>
      <c r="D39" s="91"/>
      <c r="E39" s="47">
        <f>'App.2-B_Fixed Asset Con''ty 2008'!H39</f>
        <v>0</v>
      </c>
      <c r="F39" s="47"/>
      <c r="G39" s="47"/>
      <c r="H39" s="92">
        <f t="shared" si="0"/>
        <v>0</v>
      </c>
      <c r="I39" s="93"/>
      <c r="J39" s="47">
        <f>'App.2-B_Fixed Asset Con''ty 2008'!M39</f>
        <v>0</v>
      </c>
      <c r="K39" s="47"/>
      <c r="L39" s="47"/>
      <c r="M39" s="92">
        <f t="shared" si="1"/>
        <v>0</v>
      </c>
      <c r="N39" s="94">
        <f t="shared" si="2"/>
        <v>0</v>
      </c>
    </row>
    <row r="40" spans="1:14">
      <c r="A40" s="89">
        <v>10</v>
      </c>
      <c r="B40" s="89">
        <v>1930</v>
      </c>
      <c r="C40" s="97" t="s">
        <v>304</v>
      </c>
      <c r="D40" s="91"/>
      <c r="E40" s="47">
        <f>'App.2-B_Fixed Asset Con''ty 2008'!H40</f>
        <v>4056281.7700000005</v>
      </c>
      <c r="F40" s="47">
        <v>495784.05</v>
      </c>
      <c r="G40" s="47">
        <v>-51563.68</v>
      </c>
      <c r="H40" s="92">
        <f t="shared" si="0"/>
        <v>4500502.1400000006</v>
      </c>
      <c r="I40" s="93"/>
      <c r="J40" s="47">
        <f>'App.2-B_Fixed Asset Con''ty 2008'!M40</f>
        <v>-2829949.41</v>
      </c>
      <c r="K40" s="47">
        <v>-352036.49</v>
      </c>
      <c r="L40" s="47">
        <v>51563.68</v>
      </c>
      <c r="M40" s="92">
        <f t="shared" si="1"/>
        <v>-3130422.22</v>
      </c>
      <c r="N40" s="94">
        <f t="shared" si="2"/>
        <v>1370079.9200000004</v>
      </c>
    </row>
    <row r="41" spans="1:14">
      <c r="A41" s="89">
        <v>8</v>
      </c>
      <c r="B41" s="89">
        <v>1935</v>
      </c>
      <c r="C41" s="97" t="s">
        <v>305</v>
      </c>
      <c r="D41" s="91"/>
      <c r="E41" s="47">
        <f>'App.2-B_Fixed Asset Con''ty 2008'!H41</f>
        <v>0</v>
      </c>
      <c r="F41" s="47"/>
      <c r="G41" s="47"/>
      <c r="H41" s="92">
        <f t="shared" si="0"/>
        <v>0</v>
      </c>
      <c r="I41" s="93"/>
      <c r="J41" s="47">
        <f>'App.2-B_Fixed Asset Con''ty 2008'!M41</f>
        <v>0</v>
      </c>
      <c r="K41" s="47"/>
      <c r="L41" s="47"/>
      <c r="M41" s="92">
        <f t="shared" si="1"/>
        <v>0</v>
      </c>
      <c r="N41" s="94">
        <f t="shared" si="2"/>
        <v>0</v>
      </c>
    </row>
    <row r="42" spans="1:14">
      <c r="A42" s="89">
        <v>8</v>
      </c>
      <c r="B42" s="89">
        <v>1940</v>
      </c>
      <c r="C42" s="97" t="s">
        <v>185</v>
      </c>
      <c r="D42" s="91"/>
      <c r="E42" s="47">
        <f>'App.2-B_Fixed Asset Con''ty 2008'!H42</f>
        <v>1552716.65</v>
      </c>
      <c r="F42" s="47">
        <v>114714.62</v>
      </c>
      <c r="G42" s="47"/>
      <c r="H42" s="92">
        <f t="shared" si="0"/>
        <v>1667431.27</v>
      </c>
      <c r="I42" s="93"/>
      <c r="J42" s="47">
        <f>'App.2-B_Fixed Asset Con''ty 2008'!M42</f>
        <v>-1134560.8600000001</v>
      </c>
      <c r="K42" s="47">
        <v>-82322.42</v>
      </c>
      <c r="L42" s="47"/>
      <c r="M42" s="92">
        <f t="shared" si="1"/>
        <v>-1216883.28</v>
      </c>
      <c r="N42" s="94">
        <f t="shared" si="2"/>
        <v>450547.99</v>
      </c>
    </row>
    <row r="43" spans="1:14">
      <c r="A43" s="89">
        <v>8</v>
      </c>
      <c r="B43" s="89">
        <v>1945</v>
      </c>
      <c r="C43" s="97" t="s">
        <v>306</v>
      </c>
      <c r="D43" s="91"/>
      <c r="E43" s="47">
        <f>'App.2-B_Fixed Asset Con''ty 2008'!H43</f>
        <v>0</v>
      </c>
      <c r="F43" s="47"/>
      <c r="G43" s="47"/>
      <c r="H43" s="92">
        <f t="shared" si="0"/>
        <v>0</v>
      </c>
      <c r="I43" s="93"/>
      <c r="J43" s="47">
        <f>'App.2-B_Fixed Asset Con''ty 2008'!M43</f>
        <v>0</v>
      </c>
      <c r="K43" s="47"/>
      <c r="L43" s="47"/>
      <c r="M43" s="92">
        <f t="shared" si="1"/>
        <v>0</v>
      </c>
      <c r="N43" s="94">
        <f t="shared" si="2"/>
        <v>0</v>
      </c>
    </row>
    <row r="44" spans="1:14">
      <c r="A44" s="89">
        <v>8</v>
      </c>
      <c r="B44" s="89">
        <v>1950</v>
      </c>
      <c r="C44" s="97" t="s">
        <v>307</v>
      </c>
      <c r="D44" s="91"/>
      <c r="E44" s="47">
        <f>'App.2-B_Fixed Asset Con''ty 2008'!H44</f>
        <v>0</v>
      </c>
      <c r="F44" s="47"/>
      <c r="G44" s="47"/>
      <c r="H44" s="92">
        <f t="shared" si="0"/>
        <v>0</v>
      </c>
      <c r="I44" s="93"/>
      <c r="J44" s="47">
        <f>'App.2-B_Fixed Asset Con''ty 2008'!M44</f>
        <v>0</v>
      </c>
      <c r="K44" s="47"/>
      <c r="L44" s="47"/>
      <c r="M44" s="92">
        <f t="shared" si="1"/>
        <v>0</v>
      </c>
      <c r="N44" s="94">
        <f t="shared" si="2"/>
        <v>0</v>
      </c>
    </row>
    <row r="45" spans="1:14">
      <c r="A45" s="89">
        <v>8</v>
      </c>
      <c r="B45" s="89">
        <v>1955</v>
      </c>
      <c r="C45" s="97" t="s">
        <v>308</v>
      </c>
      <c r="D45" s="91"/>
      <c r="E45" s="47">
        <f>'App.2-B_Fixed Asset Con''ty 2008'!H45</f>
        <v>2193008.73</v>
      </c>
      <c r="F45" s="47">
        <v>19821.13</v>
      </c>
      <c r="G45" s="47"/>
      <c r="H45" s="92">
        <f t="shared" si="0"/>
        <v>2212829.86</v>
      </c>
      <c r="I45" s="93"/>
      <c r="J45" s="47">
        <f>'App.2-B_Fixed Asset Con''ty 2008'!M45</f>
        <v>-988105.07</v>
      </c>
      <c r="K45" s="47">
        <v>-79943.92</v>
      </c>
      <c r="L45" s="47"/>
      <c r="M45" s="92">
        <f t="shared" si="1"/>
        <v>-1068048.99</v>
      </c>
      <c r="N45" s="94">
        <f t="shared" si="2"/>
        <v>1144780.8699999999</v>
      </c>
    </row>
    <row r="46" spans="1:14">
      <c r="A46" s="99">
        <v>8</v>
      </c>
      <c r="B46" s="99">
        <v>1955</v>
      </c>
      <c r="C46" s="100" t="s">
        <v>309</v>
      </c>
      <c r="D46" s="91"/>
      <c r="E46" s="47">
        <f>'App.2-B_Fixed Asset Con''ty 2008'!H46</f>
        <v>0</v>
      </c>
      <c r="F46" s="47"/>
      <c r="G46" s="47"/>
      <c r="H46" s="92">
        <f t="shared" si="0"/>
        <v>0</v>
      </c>
      <c r="I46" s="93"/>
      <c r="J46" s="47">
        <f>'App.2-B_Fixed Asset Con''ty 2008'!M46</f>
        <v>0</v>
      </c>
      <c r="K46" s="47"/>
      <c r="L46" s="47"/>
      <c r="M46" s="92">
        <f t="shared" si="1"/>
        <v>0</v>
      </c>
      <c r="N46" s="94">
        <f t="shared" si="2"/>
        <v>0</v>
      </c>
    </row>
    <row r="47" spans="1:14">
      <c r="A47" s="98">
        <v>8</v>
      </c>
      <c r="B47" s="98">
        <v>1960</v>
      </c>
      <c r="C47" s="90" t="s">
        <v>310</v>
      </c>
      <c r="D47" s="91"/>
      <c r="E47" s="47">
        <f>'App.2-B_Fixed Asset Con''ty 2008'!H47</f>
        <v>0</v>
      </c>
      <c r="F47" s="47"/>
      <c r="G47" s="47"/>
      <c r="H47" s="92">
        <f t="shared" si="0"/>
        <v>0</v>
      </c>
      <c r="I47" s="93"/>
      <c r="J47" s="47">
        <f>'App.2-B_Fixed Asset Con''ty 2008'!M47</f>
        <v>0</v>
      </c>
      <c r="K47" s="47"/>
      <c r="L47" s="47"/>
      <c r="M47" s="92">
        <f t="shared" si="1"/>
        <v>0</v>
      </c>
      <c r="N47" s="94">
        <f t="shared" si="2"/>
        <v>0</v>
      </c>
    </row>
    <row r="48" spans="1:14" ht="25.5">
      <c r="A48" s="89">
        <v>47</v>
      </c>
      <c r="B48" s="89">
        <v>1975</v>
      </c>
      <c r="C48" s="97" t="s">
        <v>311</v>
      </c>
      <c r="D48" s="91"/>
      <c r="E48" s="47">
        <f>'App.2-B_Fixed Asset Con''ty 2008'!H48</f>
        <v>0</v>
      </c>
      <c r="F48" s="47"/>
      <c r="G48" s="47"/>
      <c r="H48" s="92">
        <f t="shared" si="0"/>
        <v>0</v>
      </c>
      <c r="I48" s="93"/>
      <c r="J48" s="47">
        <f>'App.2-B_Fixed Asset Con''ty 2008'!M48</f>
        <v>0</v>
      </c>
      <c r="K48" s="47"/>
      <c r="L48" s="47"/>
      <c r="M48" s="92">
        <f t="shared" si="1"/>
        <v>0</v>
      </c>
      <c r="N48" s="94">
        <f t="shared" si="2"/>
        <v>0</v>
      </c>
    </row>
    <row r="49" spans="1:14">
      <c r="A49" s="89">
        <v>47</v>
      </c>
      <c r="B49" s="89">
        <v>1980</v>
      </c>
      <c r="C49" s="97" t="s">
        <v>202</v>
      </c>
      <c r="D49" s="91"/>
      <c r="E49" s="47">
        <f>'App.2-B_Fixed Asset Con''ty 2008'!H49</f>
        <v>1245223.47</v>
      </c>
      <c r="F49" s="47">
        <v>297471.74</v>
      </c>
      <c r="G49" s="47"/>
      <c r="H49" s="92">
        <f t="shared" si="0"/>
        <v>1542695.21</v>
      </c>
      <c r="I49" s="93"/>
      <c r="J49" s="47">
        <f>'App.2-B_Fixed Asset Con''ty 2008'!M49</f>
        <v>-1049029.83</v>
      </c>
      <c r="K49" s="47">
        <v>-53749.599999999999</v>
      </c>
      <c r="L49" s="47"/>
      <c r="M49" s="92">
        <f t="shared" si="1"/>
        <v>-1102779.4300000002</v>
      </c>
      <c r="N49" s="94">
        <f t="shared" si="2"/>
        <v>439915.7799999998</v>
      </c>
    </row>
    <row r="50" spans="1:14">
      <c r="A50" s="89">
        <v>47</v>
      </c>
      <c r="B50" s="89">
        <v>1985</v>
      </c>
      <c r="C50" s="97" t="s">
        <v>312</v>
      </c>
      <c r="D50" s="91"/>
      <c r="E50" s="47">
        <f>'App.2-B_Fixed Asset Con''ty 2008'!H50</f>
        <v>42116.86</v>
      </c>
      <c r="F50" s="47"/>
      <c r="G50" s="47"/>
      <c r="H50" s="92">
        <f t="shared" si="0"/>
        <v>42116.86</v>
      </c>
      <c r="I50" s="93"/>
      <c r="J50" s="47">
        <f>'App.2-B_Fixed Asset Con''ty 2008'!M50</f>
        <v>-42116.86</v>
      </c>
      <c r="K50" s="47"/>
      <c r="L50" s="47"/>
      <c r="M50" s="92">
        <f t="shared" si="1"/>
        <v>-42116.86</v>
      </c>
      <c r="N50" s="94">
        <f t="shared" si="2"/>
        <v>0</v>
      </c>
    </row>
    <row r="51" spans="1:14">
      <c r="A51" s="89">
        <v>47</v>
      </c>
      <c r="B51" s="89">
        <v>1995</v>
      </c>
      <c r="C51" s="97" t="s">
        <v>313</v>
      </c>
      <c r="D51" s="91"/>
      <c r="E51" s="47">
        <f>'App.2-B_Fixed Asset Con''ty 2008'!H51</f>
        <v>-11463452.149999999</v>
      </c>
      <c r="F51" s="47">
        <v>-788212.03</v>
      </c>
      <c r="G51" s="47"/>
      <c r="H51" s="92">
        <f t="shared" si="0"/>
        <v>-12251664.179999998</v>
      </c>
      <c r="I51" s="93"/>
      <c r="J51" s="47">
        <f>'App.2-B_Fixed Asset Con''ty 2008'!M51</f>
        <v>1854237.99</v>
      </c>
      <c r="K51" s="47">
        <v>474302.32</v>
      </c>
      <c r="L51" s="47"/>
      <c r="M51" s="92">
        <f t="shared" si="1"/>
        <v>2328540.31</v>
      </c>
      <c r="N51" s="94">
        <f t="shared" si="2"/>
        <v>-9923123.8699999973</v>
      </c>
    </row>
    <row r="52" spans="1:14">
      <c r="A52" s="101"/>
      <c r="B52" s="101">
        <v>2055</v>
      </c>
      <c r="C52" s="102" t="s">
        <v>314</v>
      </c>
      <c r="D52" s="91"/>
      <c r="E52" s="47">
        <f>'App.2-B_Fixed Asset Con''ty 2008'!H52</f>
        <v>840330.32000000007</v>
      </c>
      <c r="F52" s="47">
        <v>8220.5400000000009</v>
      </c>
      <c r="G52" s="47">
        <v>-840330</v>
      </c>
      <c r="H52" s="92">
        <f t="shared" si="0"/>
        <v>8220.8600000001024</v>
      </c>
      <c r="I52" s="103"/>
      <c r="J52" s="47">
        <f>'App.2-B_Fixed Asset Con''ty 2008'!M52</f>
        <v>0</v>
      </c>
      <c r="K52" s="47"/>
      <c r="L52" s="47"/>
      <c r="M52" s="92">
        <f t="shared" si="1"/>
        <v>0</v>
      </c>
      <c r="N52" s="94">
        <f t="shared" si="2"/>
        <v>8220.8600000001024</v>
      </c>
    </row>
    <row r="53" spans="1:14">
      <c r="A53" s="101"/>
      <c r="B53" s="101"/>
      <c r="C53" s="104"/>
      <c r="D53" s="91"/>
      <c r="E53" s="46"/>
      <c r="F53" s="46"/>
      <c r="G53" s="46"/>
      <c r="H53" s="94"/>
      <c r="I53" s="103"/>
      <c r="J53" s="46"/>
      <c r="K53" s="46"/>
      <c r="L53" s="46"/>
      <c r="M53" s="94"/>
      <c r="N53" s="94"/>
    </row>
    <row r="54" spans="1:14">
      <c r="A54" s="101"/>
      <c r="B54" s="101"/>
      <c r="C54" s="105" t="s">
        <v>267</v>
      </c>
      <c r="D54" s="105"/>
      <c r="E54" s="106">
        <f>SUM(E16:E52)</f>
        <v>154959313.14000002</v>
      </c>
      <c r="F54" s="106">
        <f t="shared" ref="F54:N54" si="3">SUM(F16:F52)</f>
        <v>7746423.6899999976</v>
      </c>
      <c r="G54" s="106">
        <f t="shared" si="3"/>
        <v>-892984.25</v>
      </c>
      <c r="H54" s="106">
        <f t="shared" si="3"/>
        <v>161812752.58000004</v>
      </c>
      <c r="I54" s="106"/>
      <c r="J54" s="106">
        <f t="shared" si="3"/>
        <v>-93177138.629999995</v>
      </c>
      <c r="K54" s="106">
        <f t="shared" si="3"/>
        <v>-5071631.7199999988</v>
      </c>
      <c r="L54" s="106">
        <f t="shared" si="3"/>
        <v>51672.68</v>
      </c>
      <c r="M54" s="106">
        <f t="shared" si="3"/>
        <v>-98197097.669999987</v>
      </c>
      <c r="N54" s="106">
        <f t="shared" si="3"/>
        <v>63615654.910000004</v>
      </c>
    </row>
    <row r="56" spans="1:14">
      <c r="D56" s="73"/>
      <c r="J56" s="107" t="s">
        <v>315</v>
      </c>
      <c r="K56" s="108"/>
    </row>
    <row r="57" spans="1:14">
      <c r="A57" s="101">
        <v>10</v>
      </c>
      <c r="B57" s="101"/>
      <c r="C57" s="104" t="s">
        <v>316</v>
      </c>
      <c r="D57" s="73"/>
      <c r="J57" s="108" t="s">
        <v>316</v>
      </c>
      <c r="K57" s="108"/>
      <c r="L57" s="109">
        <f>-358466.27+109</f>
        <v>-358357.27</v>
      </c>
    </row>
    <row r="58" spans="1:14">
      <c r="A58" s="101">
        <v>8</v>
      </c>
      <c r="B58" s="101"/>
      <c r="C58" s="104" t="s">
        <v>305</v>
      </c>
      <c r="J58" s="108" t="s">
        <v>305</v>
      </c>
      <c r="K58" s="108"/>
      <c r="L58" s="110">
        <v>-78664.039999999994</v>
      </c>
    </row>
    <row r="59" spans="1:14">
      <c r="J59" s="111" t="s">
        <v>317</v>
      </c>
      <c r="L59" s="112">
        <f>K54-L57-L58</f>
        <v>-4634610.4099999992</v>
      </c>
    </row>
    <row r="61" spans="1:14">
      <c r="A61" s="113" t="s">
        <v>270</v>
      </c>
    </row>
    <row r="63" spans="1:14">
      <c r="A63" s="72">
        <v>1</v>
      </c>
      <c r="B63" s="1128" t="s">
        <v>318</v>
      </c>
      <c r="C63" s="1128"/>
      <c r="D63" s="1128"/>
      <c r="E63" s="1128"/>
      <c r="F63" s="1128"/>
      <c r="G63" s="1128"/>
      <c r="H63" s="1128"/>
      <c r="I63" s="1128"/>
      <c r="J63" s="1128"/>
      <c r="K63" s="1128"/>
      <c r="L63" s="1128"/>
      <c r="M63" s="1128"/>
      <c r="N63" s="1128"/>
    </row>
    <row r="64" spans="1:14">
      <c r="B64" s="1128"/>
      <c r="C64" s="1128"/>
      <c r="D64" s="1128"/>
      <c r="E64" s="1128"/>
      <c r="F64" s="1128"/>
      <c r="G64" s="1128"/>
      <c r="H64" s="1128"/>
      <c r="I64" s="1128"/>
      <c r="J64" s="1128"/>
      <c r="K64" s="1128"/>
      <c r="L64" s="1128"/>
      <c r="M64" s="1128"/>
      <c r="N64" s="1128"/>
    </row>
    <row r="65" spans="1:14" ht="12.75" customHeight="1"/>
    <row r="66" spans="1:14">
      <c r="A66" s="72">
        <v>2</v>
      </c>
      <c r="B66" s="1123" t="s">
        <v>319</v>
      </c>
      <c r="C66" s="1123"/>
      <c r="D66" s="1123"/>
      <c r="E66" s="1123"/>
      <c r="F66" s="1123"/>
      <c r="G66" s="1123"/>
      <c r="H66" s="1123"/>
      <c r="I66" s="1123"/>
      <c r="J66" s="1123"/>
      <c r="K66" s="1123"/>
      <c r="L66" s="1123"/>
      <c r="M66" s="1123"/>
      <c r="N66" s="1123"/>
    </row>
    <row r="67" spans="1:14">
      <c r="B67" s="1123"/>
      <c r="C67" s="1123"/>
      <c r="D67" s="1123"/>
      <c r="E67" s="1123"/>
      <c r="F67" s="1123"/>
      <c r="G67" s="1123"/>
      <c r="H67" s="1123"/>
      <c r="I67" s="1123"/>
      <c r="J67" s="1123"/>
      <c r="K67" s="1123"/>
      <c r="L67" s="1123"/>
      <c r="M67" s="1123"/>
      <c r="N67" s="1123"/>
    </row>
    <row r="69" spans="1:14">
      <c r="A69" s="72">
        <v>3</v>
      </c>
      <c r="B69" s="1124" t="s">
        <v>320</v>
      </c>
      <c r="C69" s="1124"/>
      <c r="D69" s="1124"/>
      <c r="E69" s="1124"/>
      <c r="F69" s="1124"/>
      <c r="G69" s="1124"/>
      <c r="H69" s="1124"/>
      <c r="I69" s="1124"/>
      <c r="J69" s="1124"/>
      <c r="K69" s="1124"/>
      <c r="L69" s="1124"/>
      <c r="M69" s="1124"/>
      <c r="N69" s="1124"/>
    </row>
    <row r="71" spans="1:14">
      <c r="A71" s="72">
        <v>4</v>
      </c>
      <c r="B71" s="114" t="s">
        <v>321</v>
      </c>
    </row>
  </sheetData>
  <mergeCells count="6">
    <mergeCell ref="B69:N69"/>
    <mergeCell ref="A9:N9"/>
    <mergeCell ref="A10:N10"/>
    <mergeCell ref="E14:H14"/>
    <mergeCell ref="B63:N64"/>
    <mergeCell ref="B66:N67"/>
  </mergeCells>
  <printOptions horizontalCentered="1"/>
  <pageMargins left="0.74803149606299213" right="0.74803149606299213" top="0.74803149606299213" bottom="0.70866141732283472" header="0.51181102362204722" footer="0.51181102362204722"/>
  <pageSetup scale="54" fitToHeight="0" orientation="landscape" r:id="rId1"/>
  <headerFooter alignWithMargins="0"/>
</worksheet>
</file>

<file path=xl/worksheets/sheet7.xml><?xml version="1.0" encoding="utf-8"?>
<worksheet xmlns="http://schemas.openxmlformats.org/spreadsheetml/2006/main" xmlns:r="http://schemas.openxmlformats.org/officeDocument/2006/relationships">
  <dimension ref="A1:N74"/>
  <sheetViews>
    <sheetView showGridLines="0" zoomScale="95" zoomScaleNormal="95" workbookViewId="0">
      <selection activeCell="J24" sqref="J24"/>
    </sheetView>
  </sheetViews>
  <sheetFormatPr defaultRowHeight="12.75"/>
  <cols>
    <col min="1" max="1" width="7.7109375" style="72" customWidth="1"/>
    <col min="2" max="2" width="6.42578125" style="72" customWidth="1"/>
    <col min="3" max="3" width="57.7109375" style="30" customWidth="1"/>
    <col min="4" max="4" width="14" style="30" customWidth="1"/>
    <col min="5" max="5" width="14.42578125" style="30" customWidth="1"/>
    <col min="6" max="6" width="13" style="30" customWidth="1"/>
    <col min="7" max="7" width="11.7109375" style="30" customWidth="1"/>
    <col min="8" max="8" width="16" style="30" customWidth="1"/>
    <col min="9" max="9" width="1.7109375" style="73" customWidth="1"/>
    <col min="10" max="10" width="14.28515625" style="30" customWidth="1"/>
    <col min="11" max="11" width="13.42578125" style="30" customWidth="1"/>
    <col min="12" max="12" width="12.7109375" style="30" customWidth="1"/>
    <col min="13" max="13" width="14.5703125" style="30" bestFit="1" customWidth="1"/>
    <col min="14" max="14" width="14.140625" style="30" bestFit="1" customWidth="1"/>
    <col min="15" max="16384" width="9.140625" style="30"/>
  </cols>
  <sheetData>
    <row r="1" spans="1:14">
      <c r="M1" s="31" t="s">
        <v>131</v>
      </c>
      <c r="N1" s="32" t="str">
        <f>'LDC Info'!$E$18</f>
        <v>EB-2012-0126</v>
      </c>
    </row>
    <row r="2" spans="1:14">
      <c r="M2" s="31" t="s">
        <v>132</v>
      </c>
      <c r="N2" s="33"/>
    </row>
    <row r="3" spans="1:14">
      <c r="M3" s="31" t="s">
        <v>133</v>
      </c>
      <c r="N3" s="33"/>
    </row>
    <row r="4" spans="1:14">
      <c r="M4" s="31" t="s">
        <v>134</v>
      </c>
      <c r="N4" s="33"/>
    </row>
    <row r="5" spans="1:14">
      <c r="M5" s="31" t="s">
        <v>135</v>
      </c>
      <c r="N5" s="34"/>
    </row>
    <row r="6" spans="1:14" ht="9" customHeight="1">
      <c r="M6" s="31"/>
      <c r="N6" s="32"/>
    </row>
    <row r="7" spans="1:14">
      <c r="M7" s="31" t="s">
        <v>136</v>
      </c>
      <c r="N7" s="34" t="s">
        <v>1171</v>
      </c>
    </row>
    <row r="8" spans="1:14" ht="9" customHeight="1"/>
    <row r="9" spans="1:14" ht="20.25" customHeight="1">
      <c r="A9" s="1122" t="s">
        <v>272</v>
      </c>
      <c r="B9" s="1122"/>
      <c r="C9" s="1122"/>
      <c r="D9" s="1122"/>
      <c r="E9" s="1122"/>
      <c r="F9" s="1122"/>
      <c r="G9" s="1122"/>
      <c r="H9" s="1122"/>
      <c r="I9" s="1122"/>
      <c r="J9" s="1122"/>
      <c r="K9" s="1122"/>
      <c r="L9" s="1122"/>
      <c r="M9" s="1122"/>
      <c r="N9" s="1122"/>
    </row>
    <row r="10" spans="1:14" ht="18">
      <c r="A10" s="1122" t="s">
        <v>273</v>
      </c>
      <c r="B10" s="1122"/>
      <c r="C10" s="1122"/>
      <c r="D10" s="1122"/>
      <c r="E10" s="1122"/>
      <c r="F10" s="1122"/>
      <c r="G10" s="1122"/>
      <c r="H10" s="1122"/>
      <c r="I10" s="1122"/>
      <c r="J10" s="1122"/>
      <c r="K10" s="1122"/>
      <c r="L10" s="1122"/>
      <c r="M10" s="1122"/>
      <c r="N10" s="1122"/>
    </row>
    <row r="12" spans="1:14" ht="15">
      <c r="C12" s="74"/>
      <c r="F12" s="75" t="s">
        <v>274</v>
      </c>
      <c r="G12" s="76">
        <v>2010</v>
      </c>
      <c r="H12" s="77"/>
    </row>
    <row r="14" spans="1:14">
      <c r="D14" s="78"/>
      <c r="E14" s="1125" t="s">
        <v>275</v>
      </c>
      <c r="F14" s="1126"/>
      <c r="G14" s="1126"/>
      <c r="H14" s="1127"/>
      <c r="J14" s="79"/>
      <c r="K14" s="80" t="s">
        <v>276</v>
      </c>
      <c r="L14" s="80"/>
      <c r="M14" s="81"/>
      <c r="N14" s="73"/>
    </row>
    <row r="15" spans="1:14" ht="25.5">
      <c r="A15" s="82" t="s">
        <v>277</v>
      </c>
      <c r="B15" s="83" t="s">
        <v>278</v>
      </c>
      <c r="C15" s="84" t="s">
        <v>279</v>
      </c>
      <c r="D15" s="82" t="s">
        <v>280</v>
      </c>
      <c r="E15" s="82" t="s">
        <v>281</v>
      </c>
      <c r="F15" s="83" t="s">
        <v>282</v>
      </c>
      <c r="G15" s="83" t="s">
        <v>283</v>
      </c>
      <c r="H15" s="82" t="s">
        <v>284</v>
      </c>
      <c r="I15" s="85"/>
      <c r="J15" s="86" t="s">
        <v>281</v>
      </c>
      <c r="K15" s="87" t="s">
        <v>282</v>
      </c>
      <c r="L15" s="87" t="s">
        <v>283</v>
      </c>
      <c r="M15" s="88" t="s">
        <v>284</v>
      </c>
      <c r="N15" s="82" t="s">
        <v>285</v>
      </c>
    </row>
    <row r="16" spans="1:14">
      <c r="A16" s="89">
        <v>12</v>
      </c>
      <c r="B16" s="89">
        <v>1611</v>
      </c>
      <c r="C16" s="90" t="s">
        <v>286</v>
      </c>
      <c r="D16" s="91"/>
      <c r="E16" s="47">
        <f>'App.2-B_Fixed Asset Con''ty 2009'!H16</f>
        <v>1853568.83</v>
      </c>
      <c r="F16" s="47">
        <v>651780.67000000004</v>
      </c>
      <c r="G16" s="47"/>
      <c r="H16" s="92">
        <f>E16+F16+G16</f>
        <v>2505349.5</v>
      </c>
      <c r="I16" s="93"/>
      <c r="J16" s="116">
        <f>'App.2-B_Fixed Asset Con''ty 2009'!M16</f>
        <v>-1544887.82</v>
      </c>
      <c r="K16" s="47">
        <v>-135730.16</v>
      </c>
      <c r="L16" s="47"/>
      <c r="M16" s="92">
        <f>J16+K16+L16</f>
        <v>-1680617.98</v>
      </c>
      <c r="N16" s="94">
        <f>H16+M16</f>
        <v>824731.52</v>
      </c>
    </row>
    <row r="17" spans="1:14">
      <c r="A17" s="89" t="s">
        <v>287</v>
      </c>
      <c r="B17" s="89">
        <v>1612</v>
      </c>
      <c r="C17" s="90" t="s">
        <v>288</v>
      </c>
      <c r="D17" s="91"/>
      <c r="E17" s="47">
        <f>'App.2-B_Fixed Asset Con''ty 2009'!H17</f>
        <v>0</v>
      </c>
      <c r="F17" s="47"/>
      <c r="G17" s="47"/>
      <c r="H17" s="92">
        <f>E17+F17+G17</f>
        <v>0</v>
      </c>
      <c r="I17" s="93"/>
      <c r="J17" s="116">
        <f>'App.2-B_Fixed Asset Con''ty 2009'!M17</f>
        <v>0</v>
      </c>
      <c r="K17" s="47"/>
      <c r="L17" s="47"/>
      <c r="M17" s="92">
        <f>J17+K17+L17</f>
        <v>0</v>
      </c>
      <c r="N17" s="94">
        <f>H17+M17</f>
        <v>0</v>
      </c>
    </row>
    <row r="18" spans="1:14">
      <c r="A18" s="95" t="s">
        <v>289</v>
      </c>
      <c r="B18" s="95">
        <v>1805</v>
      </c>
      <c r="C18" s="96" t="s">
        <v>163</v>
      </c>
      <c r="D18" s="91"/>
      <c r="E18" s="47">
        <f>'App.2-B_Fixed Asset Con''ty 2009'!H18</f>
        <v>890957.93</v>
      </c>
      <c r="F18" s="47">
        <v>32744.71</v>
      </c>
      <c r="G18" s="47">
        <v>-66404.399999999994</v>
      </c>
      <c r="H18" s="92">
        <f>E18+F18+G18</f>
        <v>857298.24</v>
      </c>
      <c r="I18" s="93"/>
      <c r="J18" s="116">
        <f>'App.2-B_Fixed Asset Con''ty 2009'!M18</f>
        <v>0</v>
      </c>
      <c r="K18" s="47"/>
      <c r="L18" s="47"/>
      <c r="M18" s="92">
        <f>J18+K18+L18</f>
        <v>0</v>
      </c>
      <c r="N18" s="94">
        <f>H18+M18</f>
        <v>857298.24</v>
      </c>
    </row>
    <row r="19" spans="1:14">
      <c r="A19" s="89">
        <v>47</v>
      </c>
      <c r="B19" s="89">
        <v>1808</v>
      </c>
      <c r="C19" s="97" t="s">
        <v>162</v>
      </c>
      <c r="D19" s="91"/>
      <c r="E19" s="47">
        <f>'App.2-B_Fixed Asset Con''ty 2009'!H19</f>
        <v>9230592.6199999992</v>
      </c>
      <c r="F19" s="47"/>
      <c r="G19" s="47"/>
      <c r="H19" s="92">
        <f t="shared" ref="H19:H56" si="0">E19+F19+G19</f>
        <v>9230592.6199999992</v>
      </c>
      <c r="I19" s="93"/>
      <c r="J19" s="116">
        <f>'App.2-B_Fixed Asset Con''ty 2009'!M19</f>
        <v>-3926703.98</v>
      </c>
      <c r="K19" s="47">
        <v>-170576.89</v>
      </c>
      <c r="L19" s="47"/>
      <c r="M19" s="92">
        <f t="shared" ref="M19:M56" si="1">J19+K19+L19</f>
        <v>-4097280.87</v>
      </c>
      <c r="N19" s="94">
        <f t="shared" ref="N19:N56" si="2">H19+M19</f>
        <v>5133311.7499999991</v>
      </c>
    </row>
    <row r="20" spans="1:14">
      <c r="A20" s="89">
        <v>13</v>
      </c>
      <c r="B20" s="89">
        <v>1808</v>
      </c>
      <c r="C20" s="97" t="s">
        <v>290</v>
      </c>
      <c r="D20" s="91"/>
      <c r="E20" s="47">
        <f>'App.2-B_Fixed Asset Con''ty 2009'!H20</f>
        <v>406173.52</v>
      </c>
      <c r="F20" s="47">
        <v>161354.82999999999</v>
      </c>
      <c r="G20" s="47"/>
      <c r="H20" s="92">
        <f t="shared" si="0"/>
        <v>567528.35</v>
      </c>
      <c r="I20" s="93"/>
      <c r="J20" s="116">
        <f>'App.2-B_Fixed Asset Con''ty 2009'!M20</f>
        <v>-30139.599999999999</v>
      </c>
      <c r="K20" s="47">
        <v>-32456.720000000001</v>
      </c>
      <c r="L20" s="47"/>
      <c r="M20" s="92">
        <f t="shared" si="1"/>
        <v>-62596.32</v>
      </c>
      <c r="N20" s="94">
        <f t="shared" si="2"/>
        <v>504932.02999999997</v>
      </c>
    </row>
    <row r="21" spans="1:14">
      <c r="A21" s="89">
        <v>47</v>
      </c>
      <c r="B21" s="89">
        <v>1815</v>
      </c>
      <c r="C21" s="97" t="s">
        <v>291</v>
      </c>
      <c r="D21" s="91"/>
      <c r="E21" s="47">
        <f>'App.2-B_Fixed Asset Con''ty 2009'!H21</f>
        <v>0</v>
      </c>
      <c r="F21" s="47"/>
      <c r="G21" s="47"/>
      <c r="H21" s="92">
        <f t="shared" si="0"/>
        <v>0</v>
      </c>
      <c r="I21" s="93"/>
      <c r="J21" s="116">
        <f>'App.2-B_Fixed Asset Con''ty 2009'!M21</f>
        <v>0</v>
      </c>
      <c r="K21" s="47"/>
      <c r="L21" s="47"/>
      <c r="M21" s="92">
        <f t="shared" si="1"/>
        <v>0</v>
      </c>
      <c r="N21" s="94">
        <f t="shared" si="2"/>
        <v>0</v>
      </c>
    </row>
    <row r="22" spans="1:14">
      <c r="A22" s="89">
        <v>47</v>
      </c>
      <c r="B22" s="89">
        <v>1820</v>
      </c>
      <c r="C22" s="90" t="s">
        <v>292</v>
      </c>
      <c r="D22" s="91"/>
      <c r="E22" s="47">
        <f>'App.2-B_Fixed Asset Con''ty 2009'!H22</f>
        <v>16086488.700000001</v>
      </c>
      <c r="F22" s="47">
        <v>213181.65</v>
      </c>
      <c r="G22" s="47"/>
      <c r="H22" s="92">
        <f t="shared" si="0"/>
        <v>16299670.350000001</v>
      </c>
      <c r="I22" s="93"/>
      <c r="J22" s="116">
        <f>'App.2-B_Fixed Asset Con''ty 2009'!M22</f>
        <v>-9905546.4800000004</v>
      </c>
      <c r="K22" s="47">
        <v>-442557.14</v>
      </c>
      <c r="L22" s="47"/>
      <c r="M22" s="92">
        <f t="shared" si="1"/>
        <v>-10348103.620000001</v>
      </c>
      <c r="N22" s="94">
        <f t="shared" si="2"/>
        <v>5951566.7300000004</v>
      </c>
    </row>
    <row r="23" spans="1:14">
      <c r="A23" s="89">
        <v>47</v>
      </c>
      <c r="B23" s="89">
        <v>1825</v>
      </c>
      <c r="C23" s="97" t="s">
        <v>293</v>
      </c>
      <c r="D23" s="91"/>
      <c r="E23" s="47">
        <f>'App.2-B_Fixed Asset Con''ty 2009'!H23</f>
        <v>0</v>
      </c>
      <c r="F23" s="47"/>
      <c r="G23" s="47"/>
      <c r="H23" s="92">
        <f t="shared" si="0"/>
        <v>0</v>
      </c>
      <c r="I23" s="93"/>
      <c r="J23" s="116">
        <f>'App.2-B_Fixed Asset Con''ty 2009'!M23</f>
        <v>0</v>
      </c>
      <c r="K23" s="47"/>
      <c r="L23" s="47"/>
      <c r="M23" s="92">
        <f t="shared" si="1"/>
        <v>0</v>
      </c>
      <c r="N23" s="94">
        <f t="shared" si="2"/>
        <v>0</v>
      </c>
    </row>
    <row r="24" spans="1:14">
      <c r="A24" s="89">
        <v>47</v>
      </c>
      <c r="B24" s="89">
        <v>1830</v>
      </c>
      <c r="C24" s="97" t="s">
        <v>146</v>
      </c>
      <c r="D24" s="91"/>
      <c r="E24" s="47">
        <f>'App.2-B_Fixed Asset Con''ty 2009'!H24</f>
        <v>15311139.059999999</v>
      </c>
      <c r="F24" s="47">
        <v>1072043.6200000001</v>
      </c>
      <c r="G24" s="47"/>
      <c r="H24" s="92">
        <f t="shared" si="0"/>
        <v>16383182.68</v>
      </c>
      <c r="I24" s="93"/>
      <c r="J24" s="116">
        <f>'App.2-B_Fixed Asset Con''ty 2009'!M24</f>
        <v>-7273151.4400000004</v>
      </c>
      <c r="K24" s="47">
        <v>-562387.23</v>
      </c>
      <c r="L24" s="47"/>
      <c r="M24" s="92">
        <f t="shared" si="1"/>
        <v>-7835538.6699999999</v>
      </c>
      <c r="N24" s="94">
        <f t="shared" si="2"/>
        <v>8547644.0099999998</v>
      </c>
    </row>
    <row r="25" spans="1:14">
      <c r="A25" s="89">
        <v>47</v>
      </c>
      <c r="B25" s="89">
        <v>1835</v>
      </c>
      <c r="C25" s="97" t="s">
        <v>152</v>
      </c>
      <c r="D25" s="91"/>
      <c r="E25" s="47">
        <f>'App.2-B_Fixed Asset Con''ty 2009'!H25</f>
        <v>39646169.369999997</v>
      </c>
      <c r="F25" s="47">
        <v>1220522.06</v>
      </c>
      <c r="G25" s="47"/>
      <c r="H25" s="92">
        <f t="shared" si="0"/>
        <v>40866691.43</v>
      </c>
      <c r="I25" s="93"/>
      <c r="J25" s="116">
        <f>'App.2-B_Fixed Asset Con''ty 2009'!M25</f>
        <v>-24772621.100000001</v>
      </c>
      <c r="K25" s="47">
        <v>-1155368.3999999999</v>
      </c>
      <c r="L25" s="47"/>
      <c r="M25" s="92">
        <f t="shared" si="1"/>
        <v>-25927989.5</v>
      </c>
      <c r="N25" s="94">
        <f t="shared" si="2"/>
        <v>14938701.93</v>
      </c>
    </row>
    <row r="26" spans="1:14">
      <c r="A26" s="89">
        <v>47</v>
      </c>
      <c r="B26" s="89">
        <v>1840</v>
      </c>
      <c r="C26" s="97" t="s">
        <v>294</v>
      </c>
      <c r="D26" s="91"/>
      <c r="E26" s="47">
        <f>'App.2-B_Fixed Asset Con''ty 2009'!H26</f>
        <v>18478948.34</v>
      </c>
      <c r="F26" s="47">
        <v>616101.56000000006</v>
      </c>
      <c r="G26" s="47"/>
      <c r="H26" s="92">
        <f t="shared" si="0"/>
        <v>19095049.899999999</v>
      </c>
      <c r="I26" s="93"/>
      <c r="J26" s="116">
        <f>'App.2-B_Fixed Asset Con''ty 2009'!M26</f>
        <v>-10108913.51</v>
      </c>
      <c r="K26" s="47">
        <v>-689250.92</v>
      </c>
      <c r="L26" s="47"/>
      <c r="M26" s="92">
        <f t="shared" si="1"/>
        <v>-10798164.43</v>
      </c>
      <c r="N26" s="94">
        <f t="shared" si="2"/>
        <v>8296885.4699999988</v>
      </c>
    </row>
    <row r="27" spans="1:14">
      <c r="A27" s="89">
        <v>47</v>
      </c>
      <c r="B27" s="89">
        <v>1845</v>
      </c>
      <c r="C27" s="97" t="s">
        <v>295</v>
      </c>
      <c r="D27" s="91"/>
      <c r="E27" s="47">
        <f>'App.2-B_Fixed Asset Con''ty 2009'!H27</f>
        <v>18969279.210000001</v>
      </c>
      <c r="F27" s="47">
        <v>1019872.03</v>
      </c>
      <c r="G27" s="47"/>
      <c r="H27" s="92">
        <f t="shared" si="0"/>
        <v>19989151.240000002</v>
      </c>
      <c r="I27" s="93"/>
      <c r="J27" s="116">
        <f>'App.2-B_Fixed Asset Con''ty 2009'!M27</f>
        <v>-9406517.4699999988</v>
      </c>
      <c r="K27" s="47">
        <v>-722401.72</v>
      </c>
      <c r="L27" s="47"/>
      <c r="M27" s="92">
        <f t="shared" si="1"/>
        <v>-10128919.189999999</v>
      </c>
      <c r="N27" s="94">
        <f t="shared" si="2"/>
        <v>9860232.0500000026</v>
      </c>
    </row>
    <row r="28" spans="1:14">
      <c r="A28" s="89">
        <v>47</v>
      </c>
      <c r="B28" s="89">
        <v>1850</v>
      </c>
      <c r="C28" s="97" t="s">
        <v>154</v>
      </c>
      <c r="D28" s="91"/>
      <c r="E28" s="47">
        <f>'App.2-B_Fixed Asset Con''ty 2009'!H28</f>
        <v>24951584.449999996</v>
      </c>
      <c r="F28" s="47">
        <v>1957831.08</v>
      </c>
      <c r="G28" s="47"/>
      <c r="H28" s="92">
        <f t="shared" si="0"/>
        <v>26909415.529999994</v>
      </c>
      <c r="I28" s="93"/>
      <c r="J28" s="116">
        <f>'App.2-B_Fixed Asset Con''ty 2009'!M28</f>
        <v>-15402124.809999999</v>
      </c>
      <c r="K28" s="47">
        <v>-840186.72</v>
      </c>
      <c r="L28" s="47"/>
      <c r="M28" s="92">
        <f t="shared" si="1"/>
        <v>-16242311.529999999</v>
      </c>
      <c r="N28" s="94">
        <f t="shared" si="2"/>
        <v>10667103.999999994</v>
      </c>
    </row>
    <row r="29" spans="1:14">
      <c r="A29" s="89">
        <v>47</v>
      </c>
      <c r="B29" s="89">
        <v>1855</v>
      </c>
      <c r="C29" s="97" t="s">
        <v>155</v>
      </c>
      <c r="D29" s="91"/>
      <c r="E29" s="47">
        <f>'App.2-B_Fixed Asset Con''ty 2009'!H29</f>
        <v>9441545.3400000017</v>
      </c>
      <c r="F29" s="47">
        <f>262123.77+273570.59</f>
        <v>535694.36</v>
      </c>
      <c r="G29" s="47"/>
      <c r="H29" s="92">
        <f t="shared" si="0"/>
        <v>9977239.7000000011</v>
      </c>
      <c r="I29" s="93"/>
      <c r="J29" s="116">
        <f>'App.2-B_Fixed Asset Con''ty 2009'!M29</f>
        <v>-5464011.1399999997</v>
      </c>
      <c r="K29" s="47">
        <f>-164104.07-155236.53</f>
        <v>-319340.59999999998</v>
      </c>
      <c r="L29" s="47"/>
      <c r="M29" s="92">
        <f t="shared" si="1"/>
        <v>-5783351.7399999993</v>
      </c>
      <c r="N29" s="94">
        <f t="shared" si="2"/>
        <v>4193887.9600000018</v>
      </c>
    </row>
    <row r="30" spans="1:14">
      <c r="A30" s="89">
        <v>47</v>
      </c>
      <c r="B30" s="89">
        <v>1860</v>
      </c>
      <c r="C30" s="97" t="s">
        <v>147</v>
      </c>
      <c r="D30" s="91"/>
      <c r="E30" s="47">
        <f>'App.2-B_Fixed Asset Con''ty 2009'!H30</f>
        <v>8779858.629999999</v>
      </c>
      <c r="F30" s="47">
        <v>30166.68</v>
      </c>
      <c r="G30" s="47"/>
      <c r="H30" s="92">
        <f t="shared" si="0"/>
        <v>8810025.3099999987</v>
      </c>
      <c r="I30" s="93"/>
      <c r="J30" s="116">
        <f>'App.2-B_Fixed Asset Con''ty 2009'!M30</f>
        <v>-6091871.8300000001</v>
      </c>
      <c r="K30" s="47">
        <v>-263282.8</v>
      </c>
      <c r="L30" s="47"/>
      <c r="M30" s="92">
        <f t="shared" si="1"/>
        <v>-6355154.6299999999</v>
      </c>
      <c r="N30" s="94">
        <f t="shared" si="2"/>
        <v>2454870.6799999988</v>
      </c>
    </row>
    <row r="31" spans="1:14">
      <c r="A31" s="95">
        <v>47</v>
      </c>
      <c r="B31" s="95">
        <v>1860</v>
      </c>
      <c r="C31" s="96" t="s">
        <v>296</v>
      </c>
      <c r="D31" s="91"/>
      <c r="E31" s="47">
        <f>'App.2-B_Fixed Asset Con''ty 2009'!H31</f>
        <v>0</v>
      </c>
      <c r="F31" s="47"/>
      <c r="G31" s="47"/>
      <c r="H31" s="92">
        <f t="shared" si="0"/>
        <v>0</v>
      </c>
      <c r="I31" s="93"/>
      <c r="J31" s="116">
        <f>'App.2-B_Fixed Asset Con''ty 2009'!M31</f>
        <v>0</v>
      </c>
      <c r="K31" s="47"/>
      <c r="L31" s="47"/>
      <c r="M31" s="92">
        <f t="shared" si="1"/>
        <v>0</v>
      </c>
      <c r="N31" s="94">
        <f t="shared" si="2"/>
        <v>0</v>
      </c>
    </row>
    <row r="32" spans="1:14">
      <c r="A32" s="95" t="s">
        <v>289</v>
      </c>
      <c r="B32" s="95">
        <v>1905</v>
      </c>
      <c r="C32" s="96" t="s">
        <v>163</v>
      </c>
      <c r="D32" s="91"/>
      <c r="E32" s="47">
        <f>'App.2-B_Fixed Asset Con''ty 2009'!H32</f>
        <v>0</v>
      </c>
      <c r="F32" s="47"/>
      <c r="G32" s="47"/>
      <c r="H32" s="92">
        <f t="shared" si="0"/>
        <v>0</v>
      </c>
      <c r="I32" s="93"/>
      <c r="J32" s="116">
        <f>'App.2-B_Fixed Asset Con''ty 2009'!M32</f>
        <v>0</v>
      </c>
      <c r="K32" s="47"/>
      <c r="L32" s="47"/>
      <c r="M32" s="92">
        <f t="shared" si="1"/>
        <v>0</v>
      </c>
      <c r="N32" s="94">
        <f t="shared" si="2"/>
        <v>0</v>
      </c>
    </row>
    <row r="33" spans="1:14">
      <c r="A33" s="89">
        <v>47</v>
      </c>
      <c r="B33" s="89">
        <v>1908</v>
      </c>
      <c r="C33" s="97" t="s">
        <v>297</v>
      </c>
      <c r="D33" s="91"/>
      <c r="E33" s="47">
        <f>'App.2-B_Fixed Asset Con''ty 2009'!H33</f>
        <v>0</v>
      </c>
      <c r="F33" s="47"/>
      <c r="G33" s="47"/>
      <c r="H33" s="92">
        <f t="shared" si="0"/>
        <v>0</v>
      </c>
      <c r="I33" s="93"/>
      <c r="J33" s="116">
        <f>'App.2-B_Fixed Asset Con''ty 2009'!M33</f>
        <v>0</v>
      </c>
      <c r="K33" s="47"/>
      <c r="L33" s="47"/>
      <c r="M33" s="92">
        <f t="shared" si="1"/>
        <v>0</v>
      </c>
      <c r="N33" s="94">
        <f t="shared" si="2"/>
        <v>0</v>
      </c>
    </row>
    <row r="34" spans="1:14">
      <c r="A34" s="89">
        <v>13</v>
      </c>
      <c r="B34" s="89">
        <v>1910</v>
      </c>
      <c r="C34" s="97" t="s">
        <v>298</v>
      </c>
      <c r="D34" s="91"/>
      <c r="E34" s="47">
        <f>'App.2-B_Fixed Asset Con''ty 2009'!H34</f>
        <v>0</v>
      </c>
      <c r="F34" s="47"/>
      <c r="G34" s="47"/>
      <c r="H34" s="92">
        <f t="shared" si="0"/>
        <v>0</v>
      </c>
      <c r="I34" s="93"/>
      <c r="J34" s="116">
        <f>'App.2-B_Fixed Asset Con''ty 2009'!M34</f>
        <v>0</v>
      </c>
      <c r="K34" s="47"/>
      <c r="L34" s="47"/>
      <c r="M34" s="92">
        <f t="shared" si="1"/>
        <v>0</v>
      </c>
      <c r="N34" s="94">
        <f t="shared" si="2"/>
        <v>0</v>
      </c>
    </row>
    <row r="35" spans="1:14">
      <c r="A35" s="89">
        <v>8</v>
      </c>
      <c r="B35" s="89">
        <v>1915</v>
      </c>
      <c r="C35" s="97" t="s">
        <v>299</v>
      </c>
      <c r="D35" s="91"/>
      <c r="E35" s="47">
        <f>'App.2-B_Fixed Asset Con''ty 2009'!H35</f>
        <v>44314.559999999998</v>
      </c>
      <c r="F35" s="47"/>
      <c r="G35" s="47"/>
      <c r="H35" s="92">
        <f t="shared" si="0"/>
        <v>44314.559999999998</v>
      </c>
      <c r="I35" s="93"/>
      <c r="J35" s="116">
        <f>'App.2-B_Fixed Asset Con''ty 2009'!M35</f>
        <v>-38898.019999999997</v>
      </c>
      <c r="K35" s="47">
        <v>-938.52</v>
      </c>
      <c r="L35" s="47"/>
      <c r="M35" s="92">
        <f t="shared" si="1"/>
        <v>-39836.539999999994</v>
      </c>
      <c r="N35" s="94">
        <f t="shared" si="2"/>
        <v>4478.0200000000041</v>
      </c>
    </row>
    <row r="36" spans="1:14">
      <c r="A36" s="89">
        <v>8</v>
      </c>
      <c r="B36" s="89">
        <v>1915</v>
      </c>
      <c r="C36" s="97" t="s">
        <v>300</v>
      </c>
      <c r="D36" s="91"/>
      <c r="E36" s="47">
        <f>'App.2-B_Fixed Asset Con''ty 2009'!H36</f>
        <v>0</v>
      </c>
      <c r="F36" s="47"/>
      <c r="G36" s="47"/>
      <c r="H36" s="92">
        <f t="shared" si="0"/>
        <v>0</v>
      </c>
      <c r="I36" s="93"/>
      <c r="J36" s="116">
        <f>'App.2-B_Fixed Asset Con''ty 2009'!M36</f>
        <v>0</v>
      </c>
      <c r="K36" s="47"/>
      <c r="L36" s="47"/>
      <c r="M36" s="92">
        <f t="shared" si="1"/>
        <v>0</v>
      </c>
      <c r="N36" s="94">
        <f t="shared" si="2"/>
        <v>0</v>
      </c>
    </row>
    <row r="37" spans="1:14">
      <c r="A37" s="89">
        <v>10</v>
      </c>
      <c r="B37" s="89">
        <v>1920</v>
      </c>
      <c r="C37" s="97" t="s">
        <v>301</v>
      </c>
      <c r="D37" s="91"/>
      <c r="E37" s="47">
        <f>'App.2-B_Fixed Asset Con''ty 2009'!H37</f>
        <v>0</v>
      </c>
      <c r="F37" s="47"/>
      <c r="G37" s="47"/>
      <c r="H37" s="92">
        <f t="shared" si="0"/>
        <v>0</v>
      </c>
      <c r="I37" s="93"/>
      <c r="J37" s="116">
        <f>'App.2-B_Fixed Asset Con''ty 2009'!M37</f>
        <v>0</v>
      </c>
      <c r="K37" s="47"/>
      <c r="L37" s="47"/>
      <c r="M37" s="92">
        <f t="shared" si="1"/>
        <v>0</v>
      </c>
      <c r="N37" s="94">
        <f t="shared" si="2"/>
        <v>0</v>
      </c>
    </row>
    <row r="38" spans="1:14">
      <c r="A38" s="89">
        <v>45</v>
      </c>
      <c r="B38" s="98">
        <v>1920</v>
      </c>
      <c r="C38" s="90" t="s">
        <v>302</v>
      </c>
      <c r="D38" s="91"/>
      <c r="E38" s="47">
        <f>'App.2-B_Fixed Asset Con''ty 2009'!H38</f>
        <v>0</v>
      </c>
      <c r="F38" s="47"/>
      <c r="G38" s="47"/>
      <c r="H38" s="92">
        <f t="shared" si="0"/>
        <v>0</v>
      </c>
      <c r="I38" s="93"/>
      <c r="J38" s="116">
        <f>'App.2-B_Fixed Asset Con''ty 2009'!M38</f>
        <v>0</v>
      </c>
      <c r="K38" s="47"/>
      <c r="L38" s="47"/>
      <c r="M38" s="92">
        <f t="shared" si="1"/>
        <v>0</v>
      </c>
      <c r="N38" s="94">
        <f t="shared" si="2"/>
        <v>0</v>
      </c>
    </row>
    <row r="39" spans="1:14">
      <c r="A39" s="89">
        <v>45.1</v>
      </c>
      <c r="B39" s="98">
        <v>1920</v>
      </c>
      <c r="C39" s="90" t="s">
        <v>303</v>
      </c>
      <c r="D39" s="91"/>
      <c r="E39" s="47">
        <f>'App.2-B_Fixed Asset Con''ty 2009'!H39</f>
        <v>0</v>
      </c>
      <c r="F39" s="47"/>
      <c r="G39" s="47"/>
      <c r="H39" s="92">
        <f t="shared" si="0"/>
        <v>0</v>
      </c>
      <c r="I39" s="93"/>
      <c r="J39" s="116">
        <f>'App.2-B_Fixed Asset Con''ty 2009'!M39</f>
        <v>0</v>
      </c>
      <c r="K39" s="47"/>
      <c r="L39" s="47"/>
      <c r="M39" s="92">
        <f t="shared" si="1"/>
        <v>0</v>
      </c>
      <c r="N39" s="94">
        <f t="shared" si="2"/>
        <v>0</v>
      </c>
    </row>
    <row r="40" spans="1:14">
      <c r="A40" s="89">
        <v>10</v>
      </c>
      <c r="B40" s="89">
        <v>1930</v>
      </c>
      <c r="C40" s="97" t="s">
        <v>304</v>
      </c>
      <c r="D40" s="91"/>
      <c r="E40" s="47">
        <f>'App.2-B_Fixed Asset Con''ty 2009'!H40</f>
        <v>4500502.1400000006</v>
      </c>
      <c r="F40" s="47">
        <v>540987.26</v>
      </c>
      <c r="G40" s="47"/>
      <c r="H40" s="92">
        <f t="shared" si="0"/>
        <v>5041489.4000000004</v>
      </c>
      <c r="I40" s="93"/>
      <c r="J40" s="116">
        <f>'App.2-B_Fixed Asset Con''ty 2009'!M40</f>
        <v>-3130422.22</v>
      </c>
      <c r="K40" s="47">
        <v>-423415.19</v>
      </c>
      <c r="L40" s="47"/>
      <c r="M40" s="92">
        <f t="shared" si="1"/>
        <v>-3553837.41</v>
      </c>
      <c r="N40" s="94">
        <f t="shared" si="2"/>
        <v>1487651.9900000002</v>
      </c>
    </row>
    <row r="41" spans="1:14">
      <c r="A41" s="89">
        <v>8</v>
      </c>
      <c r="B41" s="89">
        <v>1935</v>
      </c>
      <c r="C41" s="97" t="s">
        <v>305</v>
      </c>
      <c r="D41" s="91"/>
      <c r="E41" s="47">
        <f>'App.2-B_Fixed Asset Con''ty 2009'!H41</f>
        <v>0</v>
      </c>
      <c r="F41" s="47"/>
      <c r="G41" s="47"/>
      <c r="H41" s="92">
        <f t="shared" si="0"/>
        <v>0</v>
      </c>
      <c r="I41" s="93"/>
      <c r="J41" s="116">
        <f>'App.2-B_Fixed Asset Con''ty 2009'!M41</f>
        <v>0</v>
      </c>
      <c r="K41" s="47"/>
      <c r="L41" s="47"/>
      <c r="M41" s="92">
        <f t="shared" si="1"/>
        <v>0</v>
      </c>
      <c r="N41" s="94">
        <f t="shared" si="2"/>
        <v>0</v>
      </c>
    </row>
    <row r="42" spans="1:14">
      <c r="A42" s="89">
        <v>8</v>
      </c>
      <c r="B42" s="89">
        <v>1940</v>
      </c>
      <c r="C42" s="97" t="s">
        <v>185</v>
      </c>
      <c r="D42" s="91"/>
      <c r="E42" s="47">
        <f>'App.2-B_Fixed Asset Con''ty 2009'!H42</f>
        <v>1667431.27</v>
      </c>
      <c r="F42" s="47">
        <v>74324.509999999995</v>
      </c>
      <c r="G42" s="47"/>
      <c r="H42" s="92">
        <f t="shared" si="0"/>
        <v>1741755.78</v>
      </c>
      <c r="I42" s="93"/>
      <c r="J42" s="116">
        <f>'App.2-B_Fixed Asset Con''ty 2009'!M42</f>
        <v>-1216883.28</v>
      </c>
      <c r="K42" s="47">
        <v>-78563.839999999997</v>
      </c>
      <c r="L42" s="47"/>
      <c r="M42" s="92">
        <f t="shared" si="1"/>
        <v>-1295447.1200000001</v>
      </c>
      <c r="N42" s="94">
        <f t="shared" si="2"/>
        <v>446308.65999999992</v>
      </c>
    </row>
    <row r="43" spans="1:14">
      <c r="A43" s="89">
        <v>8</v>
      </c>
      <c r="B43" s="89">
        <v>1945</v>
      </c>
      <c r="C43" s="97" t="s">
        <v>306</v>
      </c>
      <c r="D43" s="91"/>
      <c r="E43" s="47">
        <f>'App.2-B_Fixed Asset Con''ty 2009'!H43</f>
        <v>0</v>
      </c>
      <c r="F43" s="47"/>
      <c r="G43" s="47"/>
      <c r="H43" s="92">
        <f t="shared" si="0"/>
        <v>0</v>
      </c>
      <c r="I43" s="93"/>
      <c r="J43" s="116">
        <f>'App.2-B_Fixed Asset Con''ty 2009'!M43</f>
        <v>0</v>
      </c>
      <c r="K43" s="47"/>
      <c r="L43" s="47"/>
      <c r="M43" s="92">
        <f t="shared" si="1"/>
        <v>0</v>
      </c>
      <c r="N43" s="94">
        <f t="shared" si="2"/>
        <v>0</v>
      </c>
    </row>
    <row r="44" spans="1:14">
      <c r="A44" s="89">
        <v>8</v>
      </c>
      <c r="B44" s="89">
        <v>1950</v>
      </c>
      <c r="C44" s="97" t="s">
        <v>307</v>
      </c>
      <c r="D44" s="91"/>
      <c r="E44" s="47">
        <f>'App.2-B_Fixed Asset Con''ty 2009'!H44</f>
        <v>0</v>
      </c>
      <c r="F44" s="47"/>
      <c r="G44" s="47"/>
      <c r="H44" s="92">
        <f t="shared" si="0"/>
        <v>0</v>
      </c>
      <c r="I44" s="93"/>
      <c r="J44" s="116">
        <f>'App.2-B_Fixed Asset Con''ty 2009'!M44</f>
        <v>0</v>
      </c>
      <c r="K44" s="47"/>
      <c r="L44" s="47"/>
      <c r="M44" s="92">
        <f t="shared" si="1"/>
        <v>0</v>
      </c>
      <c r="N44" s="94">
        <f t="shared" si="2"/>
        <v>0</v>
      </c>
    </row>
    <row r="45" spans="1:14">
      <c r="A45" s="89">
        <v>8</v>
      </c>
      <c r="B45" s="89">
        <v>1955</v>
      </c>
      <c r="C45" s="97" t="s">
        <v>308</v>
      </c>
      <c r="D45" s="91"/>
      <c r="E45" s="47">
        <f>'App.2-B_Fixed Asset Con''ty 2009'!H45</f>
        <v>2212829.86</v>
      </c>
      <c r="F45" s="47"/>
      <c r="G45" s="47"/>
      <c r="H45" s="92">
        <f t="shared" si="0"/>
        <v>2212829.86</v>
      </c>
      <c r="I45" s="93"/>
      <c r="J45" s="116">
        <f>'App.2-B_Fixed Asset Con''ty 2009'!M45</f>
        <v>-1068048.99</v>
      </c>
      <c r="K45" s="47">
        <v>-80934.98</v>
      </c>
      <c r="L45" s="47"/>
      <c r="M45" s="92">
        <f t="shared" si="1"/>
        <v>-1148983.97</v>
      </c>
      <c r="N45" s="94">
        <f t="shared" si="2"/>
        <v>1063845.8899999999</v>
      </c>
    </row>
    <row r="46" spans="1:14">
      <c r="A46" s="99">
        <v>8</v>
      </c>
      <c r="B46" s="99">
        <v>1955</v>
      </c>
      <c r="C46" s="100" t="s">
        <v>309</v>
      </c>
      <c r="D46" s="91"/>
      <c r="E46" s="47">
        <f>'App.2-B_Fixed Asset Con''ty 2009'!H46</f>
        <v>0</v>
      </c>
      <c r="F46" s="47"/>
      <c r="G46" s="47"/>
      <c r="H46" s="92">
        <f t="shared" si="0"/>
        <v>0</v>
      </c>
      <c r="I46" s="93"/>
      <c r="J46" s="116">
        <f>'App.2-B_Fixed Asset Con''ty 2009'!M46</f>
        <v>0</v>
      </c>
      <c r="K46" s="47"/>
      <c r="L46" s="47"/>
      <c r="M46" s="92">
        <f t="shared" si="1"/>
        <v>0</v>
      </c>
      <c r="N46" s="94">
        <f t="shared" si="2"/>
        <v>0</v>
      </c>
    </row>
    <row r="47" spans="1:14">
      <c r="A47" s="98">
        <v>8</v>
      </c>
      <c r="B47" s="98">
        <v>1960</v>
      </c>
      <c r="C47" s="90" t="s">
        <v>310</v>
      </c>
      <c r="D47" s="91"/>
      <c r="E47" s="47">
        <f>'App.2-B_Fixed Asset Con''ty 2009'!H47</f>
        <v>0</v>
      </c>
      <c r="F47" s="47"/>
      <c r="G47" s="47"/>
      <c r="H47" s="92">
        <f t="shared" si="0"/>
        <v>0</v>
      </c>
      <c r="I47" s="93"/>
      <c r="J47" s="116">
        <f>'App.2-B_Fixed Asset Con''ty 2009'!M47</f>
        <v>0</v>
      </c>
      <c r="K47" s="47"/>
      <c r="L47" s="47"/>
      <c r="M47" s="92">
        <f t="shared" si="1"/>
        <v>0</v>
      </c>
      <c r="N47" s="94">
        <f t="shared" si="2"/>
        <v>0</v>
      </c>
    </row>
    <row r="48" spans="1:14">
      <c r="A48" s="89">
        <v>47</v>
      </c>
      <c r="B48" s="89">
        <v>1975</v>
      </c>
      <c r="C48" s="97" t="s">
        <v>311</v>
      </c>
      <c r="D48" s="91"/>
      <c r="E48" s="47">
        <f>'App.2-B_Fixed Asset Con''ty 2009'!H48</f>
        <v>0</v>
      </c>
      <c r="F48" s="47"/>
      <c r="G48" s="47"/>
      <c r="H48" s="92">
        <f t="shared" si="0"/>
        <v>0</v>
      </c>
      <c r="I48" s="93"/>
      <c r="J48" s="116">
        <f>'App.2-B_Fixed Asset Con''ty 2009'!M48</f>
        <v>0</v>
      </c>
      <c r="K48" s="47"/>
      <c r="L48" s="47"/>
      <c r="M48" s="92">
        <f t="shared" si="1"/>
        <v>0</v>
      </c>
      <c r="N48" s="94">
        <f t="shared" si="2"/>
        <v>0</v>
      </c>
    </row>
    <row r="49" spans="1:14">
      <c r="A49" s="89">
        <v>47</v>
      </c>
      <c r="B49" s="89">
        <v>1980</v>
      </c>
      <c r="C49" s="97" t="s">
        <v>202</v>
      </c>
      <c r="D49" s="91"/>
      <c r="E49" s="47">
        <f>'App.2-B_Fixed Asset Con''ty 2009'!H49</f>
        <v>1542695.21</v>
      </c>
      <c r="F49" s="47">
        <v>12747.92</v>
      </c>
      <c r="G49" s="47"/>
      <c r="H49" s="92">
        <f t="shared" si="0"/>
        <v>1555443.13</v>
      </c>
      <c r="I49" s="93"/>
      <c r="J49" s="116">
        <f>'App.2-B_Fixed Asset Con''ty 2009'!M49</f>
        <v>-1102779.4300000002</v>
      </c>
      <c r="K49" s="47">
        <v>-59725.64</v>
      </c>
      <c r="L49" s="47"/>
      <c r="M49" s="92">
        <f t="shared" si="1"/>
        <v>-1162505.07</v>
      </c>
      <c r="N49" s="94">
        <f t="shared" si="2"/>
        <v>392938.05999999982</v>
      </c>
    </row>
    <row r="50" spans="1:14">
      <c r="A50" s="89">
        <v>47</v>
      </c>
      <c r="B50" s="89">
        <v>1985</v>
      </c>
      <c r="C50" s="97" t="s">
        <v>312</v>
      </c>
      <c r="D50" s="91"/>
      <c r="E50" s="47">
        <f>'App.2-B_Fixed Asset Con''ty 2009'!H50</f>
        <v>42116.86</v>
      </c>
      <c r="F50" s="47"/>
      <c r="G50" s="47"/>
      <c r="H50" s="92">
        <f t="shared" si="0"/>
        <v>42116.86</v>
      </c>
      <c r="I50" s="93"/>
      <c r="J50" s="116">
        <f>'App.2-B_Fixed Asset Con''ty 2009'!M50</f>
        <v>-42116.86</v>
      </c>
      <c r="K50" s="47"/>
      <c r="L50" s="47"/>
      <c r="M50" s="92">
        <f t="shared" si="1"/>
        <v>-42116.86</v>
      </c>
      <c r="N50" s="94">
        <f t="shared" si="2"/>
        <v>0</v>
      </c>
    </row>
    <row r="51" spans="1:14">
      <c r="A51" s="89">
        <v>47</v>
      </c>
      <c r="B51" s="89">
        <v>1995</v>
      </c>
      <c r="C51" s="97" t="s">
        <v>313</v>
      </c>
      <c r="D51" s="91"/>
      <c r="E51" s="47">
        <f>'App.2-B_Fixed Asset Con''ty 2009'!H51</f>
        <v>-12251664.179999998</v>
      </c>
      <c r="F51" s="47">
        <v>-1261433.8799999999</v>
      </c>
      <c r="G51" s="47"/>
      <c r="H51" s="92">
        <f t="shared" si="0"/>
        <v>-13513098.059999999</v>
      </c>
      <c r="I51" s="93"/>
      <c r="J51" s="116">
        <f>'App.2-B_Fixed Asset Con''ty 2009'!M51</f>
        <v>2328540.31</v>
      </c>
      <c r="K51" s="47">
        <v>515295.24</v>
      </c>
      <c r="L51" s="47"/>
      <c r="M51" s="92">
        <f t="shared" si="1"/>
        <v>2843835.55</v>
      </c>
      <c r="N51" s="94">
        <f t="shared" si="2"/>
        <v>-10669262.509999998</v>
      </c>
    </row>
    <row r="52" spans="1:14">
      <c r="A52" s="89"/>
      <c r="B52" s="89">
        <v>1330</v>
      </c>
      <c r="C52" s="90" t="s">
        <v>322</v>
      </c>
      <c r="D52" s="91"/>
      <c r="E52" s="47">
        <v>0</v>
      </c>
      <c r="F52" s="47">
        <v>1022658</v>
      </c>
      <c r="G52" s="47"/>
      <c r="H52" s="92">
        <f t="shared" si="0"/>
        <v>1022658</v>
      </c>
      <c r="I52" s="103"/>
      <c r="J52" s="47">
        <f>'App.2-B_Fixed Asset Con''ty 2009'!M52</f>
        <v>0</v>
      </c>
      <c r="K52" s="47"/>
      <c r="L52" s="47"/>
      <c r="M52" s="92">
        <f t="shared" si="1"/>
        <v>0</v>
      </c>
      <c r="N52" s="94">
        <f t="shared" si="2"/>
        <v>1022658</v>
      </c>
    </row>
    <row r="53" spans="1:14">
      <c r="A53" s="101"/>
      <c r="B53" s="101">
        <v>2055</v>
      </c>
      <c r="C53" s="102" t="s">
        <v>314</v>
      </c>
      <c r="D53" s="91"/>
      <c r="E53" s="47">
        <f>'App.2-B_Fixed Asset Con''ty 2009'!H52</f>
        <v>8220.8600000001024</v>
      </c>
      <c r="F53" s="47">
        <v>228308</v>
      </c>
      <c r="G53" s="47">
        <f>-E53</f>
        <v>-8220.8600000001024</v>
      </c>
      <c r="H53" s="92">
        <f t="shared" si="0"/>
        <v>228308</v>
      </c>
      <c r="I53" s="103"/>
      <c r="J53" s="47">
        <f>'App.2-B_Fixed Asset Con''ty 2009'!M52</f>
        <v>0</v>
      </c>
      <c r="K53" s="47"/>
      <c r="L53" s="47"/>
      <c r="M53" s="92">
        <f t="shared" si="1"/>
        <v>0</v>
      </c>
      <c r="N53" s="94">
        <f t="shared" si="2"/>
        <v>228308</v>
      </c>
    </row>
    <row r="54" spans="1:14">
      <c r="A54" s="101"/>
      <c r="B54" s="101"/>
      <c r="C54" s="104"/>
      <c r="D54" s="91"/>
      <c r="E54" s="47">
        <f>'App.2-B_Fixed Asset Con''ty 2009'!H53</f>
        <v>0</v>
      </c>
      <c r="F54" s="47"/>
      <c r="G54" s="47"/>
      <c r="H54" s="92">
        <f t="shared" si="0"/>
        <v>0</v>
      </c>
      <c r="I54" s="103"/>
      <c r="J54" s="47">
        <f>'App.2-B_Fixed Asset Con''ty 2009'!M53</f>
        <v>0</v>
      </c>
      <c r="K54" s="46"/>
      <c r="L54" s="46"/>
      <c r="M54" s="92">
        <f t="shared" si="1"/>
        <v>0</v>
      </c>
      <c r="N54" s="94">
        <f t="shared" si="2"/>
        <v>0</v>
      </c>
    </row>
    <row r="55" spans="1:14">
      <c r="A55" s="1129" t="s">
        <v>323</v>
      </c>
      <c r="B55" s="1130"/>
      <c r="C55" s="1131"/>
      <c r="D55" s="105"/>
      <c r="E55" s="106">
        <f>SUM(E16:E54)</f>
        <v>161812752.58000004</v>
      </c>
      <c r="F55" s="106">
        <f>SUM(F16:F54)</f>
        <v>8128885.0599999996</v>
      </c>
      <c r="G55" s="106">
        <f>SUM(G16:G54)</f>
        <v>-74625.260000000097</v>
      </c>
      <c r="H55" s="106">
        <f>SUM(H16:H54)</f>
        <v>169867012.38000003</v>
      </c>
      <c r="I55" s="106"/>
      <c r="J55" s="106">
        <f>SUM(J16:J54)</f>
        <v>-98197097.669999987</v>
      </c>
      <c r="K55" s="106">
        <f t="shared" ref="K55:M55" si="3">SUM(K16:K54)</f>
        <v>-5461822.2299999986</v>
      </c>
      <c r="L55" s="106">
        <f t="shared" si="3"/>
        <v>0</v>
      </c>
      <c r="M55" s="106">
        <f t="shared" si="3"/>
        <v>-103658919.89999999</v>
      </c>
      <c r="N55" s="106">
        <f>SUM(N16:N54)</f>
        <v>66208092.479999982</v>
      </c>
    </row>
    <row r="56" spans="1:14">
      <c r="A56" s="101">
        <v>12</v>
      </c>
      <c r="B56" s="101">
        <v>1611</v>
      </c>
      <c r="C56" s="102" t="s">
        <v>148</v>
      </c>
      <c r="D56" s="91"/>
      <c r="E56" s="47">
        <f>'App.2-B_Fixed Asset Con''ty 2009'!H55</f>
        <v>0</v>
      </c>
      <c r="F56" s="47">
        <f>-602644.51*0.2104</f>
        <v>-126796.40490400001</v>
      </c>
      <c r="G56" s="47"/>
      <c r="H56" s="92">
        <f t="shared" si="0"/>
        <v>-126796.40490400001</v>
      </c>
      <c r="I56" s="103"/>
      <c r="J56" s="47">
        <f>'App.2-B_Fixed Asset Con''ty 2009'!M55</f>
        <v>0</v>
      </c>
      <c r="K56" s="46">
        <v>12679.64</v>
      </c>
      <c r="L56" s="46"/>
      <c r="M56" s="92">
        <f t="shared" si="1"/>
        <v>12679.64</v>
      </c>
      <c r="N56" s="94">
        <f t="shared" si="2"/>
        <v>-114116.76490400001</v>
      </c>
    </row>
    <row r="57" spans="1:14">
      <c r="A57" s="1129" t="s">
        <v>324</v>
      </c>
      <c r="B57" s="1130"/>
      <c r="C57" s="1131"/>
      <c r="D57" s="105"/>
      <c r="E57" s="106">
        <f>SUM(E55:E56)</f>
        <v>161812752.58000004</v>
      </c>
      <c r="F57" s="106">
        <f>SUM(F55:F56)</f>
        <v>8002088.6550959991</v>
      </c>
      <c r="G57" s="106">
        <f>SUM(G55:G56)</f>
        <v>-74625.260000000097</v>
      </c>
      <c r="H57" s="106">
        <f>SUM(H55:H56)</f>
        <v>169740215.97509602</v>
      </c>
      <c r="I57" s="106"/>
      <c r="J57" s="106">
        <f>SUM(J55:J56)</f>
        <v>-98197097.669999987</v>
      </c>
      <c r="K57" s="106">
        <f t="shared" ref="K57:N57" si="4">SUM(K55:K56)</f>
        <v>-5449142.5899999989</v>
      </c>
      <c r="L57" s="106">
        <f t="shared" si="4"/>
        <v>0</v>
      </c>
      <c r="M57" s="106">
        <f t="shared" si="4"/>
        <v>-103646240.25999999</v>
      </c>
      <c r="N57" s="106">
        <f t="shared" si="4"/>
        <v>66093975.715095982</v>
      </c>
    </row>
    <row r="59" spans="1:14">
      <c r="D59" s="73"/>
      <c r="J59" s="107" t="s">
        <v>315</v>
      </c>
      <c r="K59" s="108"/>
    </row>
    <row r="60" spans="1:14">
      <c r="A60" s="101">
        <v>10</v>
      </c>
      <c r="B60" s="101"/>
      <c r="C60" s="104" t="s">
        <v>316</v>
      </c>
      <c r="D60" s="73"/>
      <c r="J60" s="108" t="s">
        <v>316</v>
      </c>
      <c r="K60" s="108"/>
      <c r="L60" s="109">
        <v>-423415.19</v>
      </c>
    </row>
    <row r="61" spans="1:14">
      <c r="A61" s="101">
        <v>8</v>
      </c>
      <c r="B61" s="101"/>
      <c r="C61" s="104" t="s">
        <v>305</v>
      </c>
      <c r="J61" s="108" t="s">
        <v>305</v>
      </c>
      <c r="K61" s="108"/>
      <c r="L61" s="110">
        <v>-78563.839999999997</v>
      </c>
    </row>
    <row r="62" spans="1:14">
      <c r="J62" s="111" t="s">
        <v>317</v>
      </c>
      <c r="L62" s="112">
        <f>K55-L60-L61</f>
        <v>-4959843.1999999983</v>
      </c>
    </row>
    <row r="64" spans="1:14">
      <c r="A64" s="113" t="s">
        <v>270</v>
      </c>
    </row>
    <row r="66" spans="1:14">
      <c r="A66" s="72">
        <v>1</v>
      </c>
      <c r="B66" s="1128" t="s">
        <v>318</v>
      </c>
      <c r="C66" s="1128"/>
      <c r="D66" s="1128"/>
      <c r="E66" s="1128"/>
      <c r="F66" s="1128"/>
      <c r="G66" s="1128"/>
      <c r="H66" s="1128"/>
      <c r="I66" s="1128"/>
      <c r="J66" s="1128"/>
      <c r="K66" s="1128"/>
      <c r="L66" s="1128"/>
      <c r="M66" s="1128"/>
      <c r="N66" s="1128"/>
    </row>
    <row r="67" spans="1:14">
      <c r="B67" s="1128"/>
      <c r="C67" s="1128"/>
      <c r="D67" s="1128"/>
      <c r="E67" s="1128"/>
      <c r="F67" s="1128"/>
      <c r="G67" s="1128"/>
      <c r="H67" s="1128"/>
      <c r="I67" s="1128"/>
      <c r="J67" s="1128"/>
      <c r="K67" s="1128"/>
      <c r="L67" s="1128"/>
      <c r="M67" s="1128"/>
      <c r="N67" s="1128"/>
    </row>
    <row r="68" spans="1:14" ht="12.75" customHeight="1"/>
    <row r="69" spans="1:14">
      <c r="A69" s="72">
        <v>2</v>
      </c>
      <c r="B69" s="1123" t="s">
        <v>319</v>
      </c>
      <c r="C69" s="1123"/>
      <c r="D69" s="1123"/>
      <c r="E69" s="1123"/>
      <c r="F69" s="1123"/>
      <c r="G69" s="1123"/>
      <c r="H69" s="1123"/>
      <c r="I69" s="1123"/>
      <c r="J69" s="1123"/>
      <c r="K69" s="1123"/>
      <c r="L69" s="1123"/>
      <c r="M69" s="1123"/>
      <c r="N69" s="1123"/>
    </row>
    <row r="70" spans="1:14">
      <c r="B70" s="1123"/>
      <c r="C70" s="1123"/>
      <c r="D70" s="1123"/>
      <c r="E70" s="1123"/>
      <c r="F70" s="1123"/>
      <c r="G70" s="1123"/>
      <c r="H70" s="1123"/>
      <c r="I70" s="1123"/>
      <c r="J70" s="1123"/>
      <c r="K70" s="1123"/>
      <c r="L70" s="1123"/>
      <c r="M70" s="1123"/>
      <c r="N70" s="1123"/>
    </row>
    <row r="72" spans="1:14">
      <c r="A72" s="72">
        <v>3</v>
      </c>
      <c r="B72" s="1124" t="s">
        <v>320</v>
      </c>
      <c r="C72" s="1124"/>
      <c r="D72" s="1124"/>
      <c r="E72" s="1124"/>
      <c r="F72" s="1124"/>
      <c r="G72" s="1124"/>
      <c r="H72" s="1124"/>
      <c r="I72" s="1124"/>
      <c r="J72" s="1124"/>
      <c r="K72" s="1124"/>
      <c r="L72" s="1124"/>
      <c r="M72" s="1124"/>
      <c r="N72" s="1124"/>
    </row>
    <row r="74" spans="1:14">
      <c r="A74" s="72">
        <v>4</v>
      </c>
      <c r="B74" s="114" t="s">
        <v>321</v>
      </c>
    </row>
  </sheetData>
  <mergeCells count="8">
    <mergeCell ref="B69:N70"/>
    <mergeCell ref="B72:N72"/>
    <mergeCell ref="A9:N9"/>
    <mergeCell ref="A10:N10"/>
    <mergeCell ref="E14:H14"/>
    <mergeCell ref="A55:C55"/>
    <mergeCell ref="A57:C57"/>
    <mergeCell ref="B66:N67"/>
  </mergeCells>
  <printOptions horizontalCentered="1"/>
  <pageMargins left="0.74803149606299213" right="0.74803149606299213" top="0.74803149606299213" bottom="0.70866141732283472" header="0.51181102362204722" footer="0.51181102362204722"/>
  <pageSetup scale="54" fitToHeight="0" orientation="landscape" r:id="rId1"/>
  <headerFooter alignWithMargins="0"/>
</worksheet>
</file>

<file path=xl/worksheets/sheet8.xml><?xml version="1.0" encoding="utf-8"?>
<worksheet xmlns="http://schemas.openxmlformats.org/spreadsheetml/2006/main" xmlns:r="http://schemas.openxmlformats.org/officeDocument/2006/relationships">
  <dimension ref="A1:N74"/>
  <sheetViews>
    <sheetView showGridLines="0" zoomScale="95" zoomScaleNormal="95" workbookViewId="0">
      <selection activeCell="J24" sqref="J24"/>
    </sheetView>
  </sheetViews>
  <sheetFormatPr defaultRowHeight="12.75"/>
  <cols>
    <col min="1" max="1" width="7.7109375" style="72" customWidth="1"/>
    <col min="2" max="2" width="6.42578125" style="72" customWidth="1"/>
    <col min="3" max="3" width="57.7109375" style="30" customWidth="1"/>
    <col min="4" max="4" width="14" style="30" customWidth="1"/>
    <col min="5" max="5" width="14.42578125" style="30" customWidth="1"/>
    <col min="6" max="6" width="13" style="30" customWidth="1"/>
    <col min="7" max="7" width="11.7109375" style="30" customWidth="1"/>
    <col min="8" max="8" width="15.7109375" style="30" bestFit="1" customWidth="1"/>
    <col min="9" max="9" width="1.7109375" style="73" customWidth="1"/>
    <col min="10" max="10" width="14.28515625" style="30" customWidth="1"/>
    <col min="11" max="11" width="13.42578125" style="30" customWidth="1"/>
    <col min="12" max="12" width="12.42578125" style="30" bestFit="1" customWidth="1"/>
    <col min="13" max="13" width="14.5703125" style="30" bestFit="1" customWidth="1"/>
    <col min="14" max="14" width="14.140625" style="30" bestFit="1" customWidth="1"/>
    <col min="15" max="16384" width="9.140625" style="30"/>
  </cols>
  <sheetData>
    <row r="1" spans="1:14">
      <c r="M1" s="31" t="s">
        <v>131</v>
      </c>
      <c r="N1" s="32" t="str">
        <f>'LDC Info'!$E$18</f>
        <v>EB-2012-0126</v>
      </c>
    </row>
    <row r="2" spans="1:14">
      <c r="M2" s="31" t="s">
        <v>132</v>
      </c>
      <c r="N2" s="33"/>
    </row>
    <row r="3" spans="1:14">
      <c r="M3" s="31" t="s">
        <v>133</v>
      </c>
      <c r="N3" s="33"/>
    </row>
    <row r="4" spans="1:14">
      <c r="M4" s="31" t="s">
        <v>134</v>
      </c>
      <c r="N4" s="33"/>
    </row>
    <row r="5" spans="1:14">
      <c r="M5" s="31" t="s">
        <v>135</v>
      </c>
      <c r="N5" s="34"/>
    </row>
    <row r="6" spans="1:14" ht="9" customHeight="1">
      <c r="M6" s="31"/>
      <c r="N6" s="32"/>
    </row>
    <row r="7" spans="1:14">
      <c r="M7" s="31" t="s">
        <v>136</v>
      </c>
      <c r="N7" s="34" t="s">
        <v>1171</v>
      </c>
    </row>
    <row r="8" spans="1:14" ht="9" customHeight="1"/>
    <row r="9" spans="1:14" ht="20.25" customHeight="1">
      <c r="A9" s="1122" t="s">
        <v>272</v>
      </c>
      <c r="B9" s="1122"/>
      <c r="C9" s="1122"/>
      <c r="D9" s="1122"/>
      <c r="E9" s="1122"/>
      <c r="F9" s="1122"/>
      <c r="G9" s="1122"/>
      <c r="H9" s="1122"/>
      <c r="I9" s="1122"/>
      <c r="J9" s="1122"/>
      <c r="K9" s="1122"/>
      <c r="L9" s="1122"/>
      <c r="M9" s="1122"/>
      <c r="N9" s="1122"/>
    </row>
    <row r="10" spans="1:14" ht="18">
      <c r="A10" s="1122" t="s">
        <v>273</v>
      </c>
      <c r="B10" s="1122"/>
      <c r="C10" s="1122"/>
      <c r="D10" s="1122"/>
      <c r="E10" s="1122"/>
      <c r="F10" s="1122"/>
      <c r="G10" s="1122"/>
      <c r="H10" s="1122"/>
      <c r="I10" s="1122"/>
      <c r="J10" s="1122"/>
      <c r="K10" s="1122"/>
      <c r="L10" s="1122"/>
      <c r="M10" s="1122"/>
      <c r="N10" s="1122"/>
    </row>
    <row r="12" spans="1:14" ht="15">
      <c r="C12" s="74"/>
      <c r="F12" s="75" t="s">
        <v>274</v>
      </c>
      <c r="G12" s="76">
        <v>2011</v>
      </c>
      <c r="H12" s="77"/>
    </row>
    <row r="14" spans="1:14">
      <c r="D14" s="78"/>
      <c r="E14" s="1125" t="s">
        <v>275</v>
      </c>
      <c r="F14" s="1126"/>
      <c r="G14" s="1126"/>
      <c r="H14" s="1127"/>
      <c r="J14" s="79"/>
      <c r="K14" s="80" t="s">
        <v>276</v>
      </c>
      <c r="L14" s="80"/>
      <c r="M14" s="81"/>
      <c r="N14" s="73"/>
    </row>
    <row r="15" spans="1:14" ht="25.5">
      <c r="A15" s="82" t="s">
        <v>277</v>
      </c>
      <c r="B15" s="83" t="s">
        <v>278</v>
      </c>
      <c r="C15" s="84" t="s">
        <v>279</v>
      </c>
      <c r="D15" s="82" t="s">
        <v>280</v>
      </c>
      <c r="E15" s="82" t="s">
        <v>281</v>
      </c>
      <c r="F15" s="83" t="s">
        <v>282</v>
      </c>
      <c r="G15" s="83" t="s">
        <v>283</v>
      </c>
      <c r="H15" s="82" t="s">
        <v>284</v>
      </c>
      <c r="I15" s="85"/>
      <c r="J15" s="86" t="s">
        <v>281</v>
      </c>
      <c r="K15" s="87" t="s">
        <v>282</v>
      </c>
      <c r="L15" s="87" t="s">
        <v>283</v>
      </c>
      <c r="M15" s="88" t="s">
        <v>284</v>
      </c>
      <c r="N15" s="82" t="s">
        <v>285</v>
      </c>
    </row>
    <row r="16" spans="1:14">
      <c r="A16" s="89">
        <v>12</v>
      </c>
      <c r="B16" s="89">
        <v>1611</v>
      </c>
      <c r="C16" s="90" t="s">
        <v>286</v>
      </c>
      <c r="D16" s="91"/>
      <c r="E16" s="47">
        <f>'App.2-B_Fixed Asset Con''ty 2010'!H16</f>
        <v>2505349.5</v>
      </c>
      <c r="F16" s="47">
        <v>138685.47</v>
      </c>
      <c r="G16" s="47"/>
      <c r="H16" s="92">
        <f>E16+F16+G16</f>
        <v>2644034.9700000002</v>
      </c>
      <c r="I16" s="93"/>
      <c r="J16" s="116">
        <f>'App.2-B_Fixed Asset Con''ty 2010'!M16</f>
        <v>-1680617.98</v>
      </c>
      <c r="K16" s="116">
        <f>-214776.78</f>
        <v>-214776.78</v>
      </c>
      <c r="L16" s="116"/>
      <c r="M16" s="92">
        <f>J16+K16+L16</f>
        <v>-1895394.76</v>
      </c>
      <c r="N16" s="94">
        <f>H16+M16</f>
        <v>748640.2100000002</v>
      </c>
    </row>
    <row r="17" spans="1:14">
      <c r="A17" s="89" t="s">
        <v>287</v>
      </c>
      <c r="B17" s="89">
        <v>1612</v>
      </c>
      <c r="C17" s="90" t="s">
        <v>288</v>
      </c>
      <c r="D17" s="91"/>
      <c r="E17" s="47">
        <f>'App.2-B_Fixed Asset Con''ty 2010'!H17</f>
        <v>0</v>
      </c>
      <c r="F17" s="47"/>
      <c r="G17" s="47"/>
      <c r="H17" s="92">
        <f>E17+F17+G17</f>
        <v>0</v>
      </c>
      <c r="I17" s="93"/>
      <c r="J17" s="116">
        <f>'App.2-B_Fixed Asset Con''ty 2010'!M17</f>
        <v>0</v>
      </c>
      <c r="K17" s="116"/>
      <c r="L17" s="116"/>
      <c r="M17" s="92">
        <f>J17+K17+L17</f>
        <v>0</v>
      </c>
      <c r="N17" s="94">
        <f>H17+M17</f>
        <v>0</v>
      </c>
    </row>
    <row r="18" spans="1:14">
      <c r="A18" s="95" t="s">
        <v>289</v>
      </c>
      <c r="B18" s="95">
        <v>1805</v>
      </c>
      <c r="C18" s="96" t="s">
        <v>163</v>
      </c>
      <c r="D18" s="91"/>
      <c r="E18" s="47">
        <f>'App.2-B_Fixed Asset Con''ty 2010'!H18</f>
        <v>857298.24</v>
      </c>
      <c r="F18" s="47"/>
      <c r="G18" s="47"/>
      <c r="H18" s="92">
        <f>E18+F18+G18</f>
        <v>857298.24</v>
      </c>
      <c r="I18" s="93"/>
      <c r="J18" s="116">
        <f>'App.2-B_Fixed Asset Con''ty 2010'!M18</f>
        <v>0</v>
      </c>
      <c r="K18" s="116"/>
      <c r="L18" s="116"/>
      <c r="M18" s="92">
        <f>J18+K18+L18</f>
        <v>0</v>
      </c>
      <c r="N18" s="94">
        <f>H18+M18</f>
        <v>857298.24</v>
      </c>
    </row>
    <row r="19" spans="1:14">
      <c r="A19" s="89">
        <v>47</v>
      </c>
      <c r="B19" s="89">
        <v>1808</v>
      </c>
      <c r="C19" s="97" t="s">
        <v>162</v>
      </c>
      <c r="D19" s="91"/>
      <c r="E19" s="47">
        <f>'App.2-B_Fixed Asset Con''ty 2010'!H19</f>
        <v>9230592.6199999992</v>
      </c>
      <c r="F19" s="47"/>
      <c r="G19" s="47"/>
      <c r="H19" s="92">
        <f t="shared" ref="H19:H53" si="0">E19+F19+G19</f>
        <v>9230592.6199999992</v>
      </c>
      <c r="I19" s="93"/>
      <c r="J19" s="116">
        <f>'App.2-B_Fixed Asset Con''ty 2010'!M19</f>
        <v>-4097280.87</v>
      </c>
      <c r="K19" s="116">
        <v>-183886.11</v>
      </c>
      <c r="L19" s="116"/>
      <c r="M19" s="92">
        <f t="shared" ref="M19:M53" si="1">J19+K19+L19</f>
        <v>-4281166.9800000004</v>
      </c>
      <c r="N19" s="94">
        <f t="shared" ref="N19:N53" si="2">H19+M19</f>
        <v>4949425.6399999987</v>
      </c>
    </row>
    <row r="20" spans="1:14">
      <c r="A20" s="89">
        <v>13</v>
      </c>
      <c r="B20" s="89">
        <v>1808</v>
      </c>
      <c r="C20" s="97" t="s">
        <v>290</v>
      </c>
      <c r="D20" s="91"/>
      <c r="E20" s="47">
        <f>'App.2-B_Fixed Asset Con''ty 2010'!H20</f>
        <v>567528.35</v>
      </c>
      <c r="F20" s="47">
        <v>159351.34</v>
      </c>
      <c r="G20" s="47"/>
      <c r="H20" s="92">
        <f t="shared" si="0"/>
        <v>726879.69</v>
      </c>
      <c r="I20" s="93"/>
      <c r="J20" s="116">
        <f>'App.2-B_Fixed Asset Con''ty 2010'!M20</f>
        <v>-62596.32</v>
      </c>
      <c r="K20" s="116">
        <v>-43146.92</v>
      </c>
      <c r="L20" s="116"/>
      <c r="M20" s="92">
        <f t="shared" si="1"/>
        <v>-105743.23999999999</v>
      </c>
      <c r="N20" s="94">
        <f t="shared" si="2"/>
        <v>621136.44999999995</v>
      </c>
    </row>
    <row r="21" spans="1:14">
      <c r="A21" s="89">
        <v>47</v>
      </c>
      <c r="B21" s="89">
        <v>1815</v>
      </c>
      <c r="C21" s="97" t="s">
        <v>291</v>
      </c>
      <c r="D21" s="91"/>
      <c r="E21" s="47">
        <f>'App.2-B_Fixed Asset Con''ty 2010'!H21</f>
        <v>0</v>
      </c>
      <c r="F21" s="47"/>
      <c r="G21" s="47"/>
      <c r="H21" s="92">
        <f t="shared" si="0"/>
        <v>0</v>
      </c>
      <c r="I21" s="93"/>
      <c r="J21" s="116">
        <f>'App.2-B_Fixed Asset Con''ty 2010'!M21</f>
        <v>0</v>
      </c>
      <c r="K21" s="116"/>
      <c r="L21" s="116"/>
      <c r="M21" s="92">
        <f t="shared" si="1"/>
        <v>0</v>
      </c>
      <c r="N21" s="94">
        <f t="shared" si="2"/>
        <v>0</v>
      </c>
    </row>
    <row r="22" spans="1:14">
      <c r="A22" s="89">
        <v>47</v>
      </c>
      <c r="B22" s="89">
        <v>1820</v>
      </c>
      <c r="C22" s="90" t="s">
        <v>292</v>
      </c>
      <c r="D22" s="91"/>
      <c r="E22" s="47">
        <f>'App.2-B_Fixed Asset Con''ty 2010'!H22</f>
        <v>16299670.350000001</v>
      </c>
      <c r="F22" s="47">
        <v>161491.04999999999</v>
      </c>
      <c r="G22" s="47"/>
      <c r="H22" s="92">
        <f t="shared" si="0"/>
        <v>16461161.400000002</v>
      </c>
      <c r="I22" s="93"/>
      <c r="J22" s="116">
        <f>'App.2-B_Fixed Asset Con''ty 2010'!M22</f>
        <v>-10348103.620000001</v>
      </c>
      <c r="K22" s="116">
        <v>-436762.62</v>
      </c>
      <c r="L22" s="116"/>
      <c r="M22" s="92">
        <f t="shared" si="1"/>
        <v>-10784866.24</v>
      </c>
      <c r="N22" s="94">
        <f t="shared" si="2"/>
        <v>5676295.160000002</v>
      </c>
    </row>
    <row r="23" spans="1:14">
      <c r="A23" s="89">
        <v>47</v>
      </c>
      <c r="B23" s="89">
        <v>1825</v>
      </c>
      <c r="C23" s="97" t="s">
        <v>293</v>
      </c>
      <c r="D23" s="91"/>
      <c r="E23" s="47">
        <f>'App.2-B_Fixed Asset Con''ty 2010'!H23</f>
        <v>0</v>
      </c>
      <c r="F23" s="47"/>
      <c r="G23" s="47"/>
      <c r="H23" s="92">
        <f t="shared" si="0"/>
        <v>0</v>
      </c>
      <c r="I23" s="93"/>
      <c r="J23" s="116">
        <f>'App.2-B_Fixed Asset Con''ty 2010'!M23</f>
        <v>0</v>
      </c>
      <c r="K23" s="116"/>
      <c r="L23" s="116"/>
      <c r="M23" s="92">
        <f t="shared" si="1"/>
        <v>0</v>
      </c>
      <c r="N23" s="94">
        <f t="shared" si="2"/>
        <v>0</v>
      </c>
    </row>
    <row r="24" spans="1:14">
      <c r="A24" s="89">
        <v>47</v>
      </c>
      <c r="B24" s="89">
        <v>1830</v>
      </c>
      <c r="C24" s="97" t="s">
        <v>146</v>
      </c>
      <c r="D24" s="91"/>
      <c r="E24" s="47">
        <f>'App.2-B_Fixed Asset Con''ty 2010'!H24</f>
        <v>16383182.68</v>
      </c>
      <c r="F24" s="47">
        <v>1607668.4</v>
      </c>
      <c r="G24" s="47"/>
      <c r="H24" s="92">
        <f t="shared" si="0"/>
        <v>17990851.079999998</v>
      </c>
      <c r="I24" s="93"/>
      <c r="J24" s="116">
        <f>'App.2-B_Fixed Asset Con''ty 2010'!M24</f>
        <v>-7835538.6699999999</v>
      </c>
      <c r="K24" s="116">
        <v>-607615.34</v>
      </c>
      <c r="L24" s="116"/>
      <c r="M24" s="92">
        <f t="shared" si="1"/>
        <v>-8443154.0099999998</v>
      </c>
      <c r="N24" s="94">
        <f t="shared" si="2"/>
        <v>9547697.0699999984</v>
      </c>
    </row>
    <row r="25" spans="1:14">
      <c r="A25" s="89">
        <v>47</v>
      </c>
      <c r="B25" s="89">
        <v>1835</v>
      </c>
      <c r="C25" s="97" t="s">
        <v>152</v>
      </c>
      <c r="D25" s="91"/>
      <c r="E25" s="47">
        <f>'App.2-B_Fixed Asset Con''ty 2010'!H25</f>
        <v>40866691.43</v>
      </c>
      <c r="F25" s="47">
        <v>836176.62</v>
      </c>
      <c r="G25" s="47"/>
      <c r="H25" s="92">
        <f t="shared" si="0"/>
        <v>41702868.049999997</v>
      </c>
      <c r="I25" s="93"/>
      <c r="J25" s="116">
        <f>'App.2-B_Fixed Asset Con''ty 2010'!M25</f>
        <v>-25927989.5</v>
      </c>
      <c r="K25" s="116">
        <v>-1173922.6100000001</v>
      </c>
      <c r="L25" s="116"/>
      <c r="M25" s="92">
        <f t="shared" si="1"/>
        <v>-27101912.109999999</v>
      </c>
      <c r="N25" s="94">
        <f t="shared" si="2"/>
        <v>14600955.939999998</v>
      </c>
    </row>
    <row r="26" spans="1:14">
      <c r="A26" s="89">
        <v>47</v>
      </c>
      <c r="B26" s="89">
        <v>1840</v>
      </c>
      <c r="C26" s="97" t="s">
        <v>294</v>
      </c>
      <c r="D26" s="91"/>
      <c r="E26" s="47">
        <f>'App.2-B_Fixed Asset Con''ty 2010'!H26</f>
        <v>19095049.899999999</v>
      </c>
      <c r="F26" s="47">
        <v>862067.59</v>
      </c>
      <c r="G26" s="47"/>
      <c r="H26" s="117">
        <f t="shared" si="0"/>
        <v>19957117.489999998</v>
      </c>
      <c r="I26" s="93"/>
      <c r="J26" s="116">
        <f>'App.2-B_Fixed Asset Con''ty 2010'!M26</f>
        <v>-10798164.43</v>
      </c>
      <c r="K26" s="116">
        <v>-707708.22</v>
      </c>
      <c r="L26" s="116"/>
      <c r="M26" s="92">
        <f t="shared" si="1"/>
        <v>-11505872.65</v>
      </c>
      <c r="N26" s="94">
        <f t="shared" si="2"/>
        <v>8451244.839999998</v>
      </c>
    </row>
    <row r="27" spans="1:14">
      <c r="A27" s="89">
        <v>47</v>
      </c>
      <c r="B27" s="89">
        <v>1845</v>
      </c>
      <c r="C27" s="97" t="s">
        <v>295</v>
      </c>
      <c r="D27" s="91"/>
      <c r="E27" s="47">
        <f>'App.2-B_Fixed Asset Con''ty 2010'!H27</f>
        <v>19989151.240000002</v>
      </c>
      <c r="F27" s="47">
        <v>676951.37</v>
      </c>
      <c r="G27" s="47"/>
      <c r="H27" s="117">
        <f t="shared" si="0"/>
        <v>20666102.610000003</v>
      </c>
      <c r="I27" s="93"/>
      <c r="J27" s="116">
        <f>'App.2-B_Fixed Asset Con''ty 2010'!M27</f>
        <v>-10128919.189999999</v>
      </c>
      <c r="K27" s="116">
        <v>-746852.59</v>
      </c>
      <c r="L27" s="116"/>
      <c r="M27" s="92">
        <f t="shared" si="1"/>
        <v>-10875771.779999999</v>
      </c>
      <c r="N27" s="94">
        <f t="shared" si="2"/>
        <v>9790330.8300000038</v>
      </c>
    </row>
    <row r="28" spans="1:14">
      <c r="A28" s="89">
        <v>47</v>
      </c>
      <c r="B28" s="89">
        <v>1850</v>
      </c>
      <c r="C28" s="97" t="s">
        <v>154</v>
      </c>
      <c r="D28" s="91"/>
      <c r="E28" s="47">
        <f>'App.2-B_Fixed Asset Con''ty 2010'!H28</f>
        <v>26909415.529999994</v>
      </c>
      <c r="F28" s="47">
        <v>1019439.58</v>
      </c>
      <c r="G28" s="47"/>
      <c r="H28" s="92">
        <f t="shared" si="0"/>
        <v>27928855.109999992</v>
      </c>
      <c r="I28" s="93"/>
      <c r="J28" s="116">
        <f>'App.2-B_Fixed Asset Con''ty 2010'!M28</f>
        <v>-16242311.529999999</v>
      </c>
      <c r="K28" s="116">
        <v>-863400.9</v>
      </c>
      <c r="L28" s="116"/>
      <c r="M28" s="92">
        <f t="shared" si="1"/>
        <v>-17105712.43</v>
      </c>
      <c r="N28" s="94">
        <f t="shared" si="2"/>
        <v>10823142.679999992</v>
      </c>
    </row>
    <row r="29" spans="1:14">
      <c r="A29" s="89">
        <v>47</v>
      </c>
      <c r="B29" s="89">
        <v>1855</v>
      </c>
      <c r="C29" s="97" t="s">
        <v>155</v>
      </c>
      <c r="D29" s="91"/>
      <c r="E29" s="47">
        <f>'App.2-B_Fixed Asset Con''ty 2010'!H29</f>
        <v>9977239.7000000011</v>
      </c>
      <c r="F29" s="47">
        <f>549972.74+443838.51</f>
        <v>993811.25</v>
      </c>
      <c r="G29" s="47"/>
      <c r="H29" s="92">
        <f t="shared" si="0"/>
        <v>10971050.950000001</v>
      </c>
      <c r="I29" s="93"/>
      <c r="J29" s="116">
        <f>'App.2-B_Fixed Asset Con''ty 2010'!M29</f>
        <v>-5783351.7399999993</v>
      </c>
      <c r="K29" s="116">
        <f>-177083.18-166874.42</f>
        <v>-343957.6</v>
      </c>
      <c r="L29" s="116"/>
      <c r="M29" s="92">
        <f t="shared" si="1"/>
        <v>-6127309.3399999989</v>
      </c>
      <c r="N29" s="94">
        <f t="shared" si="2"/>
        <v>4843741.6100000022</v>
      </c>
    </row>
    <row r="30" spans="1:14">
      <c r="A30" s="89">
        <v>47</v>
      </c>
      <c r="B30" s="89">
        <v>1860</v>
      </c>
      <c r="C30" s="97" t="s">
        <v>147</v>
      </c>
      <c r="D30" s="91"/>
      <c r="E30" s="47">
        <f>'App.2-B_Fixed Asset Con''ty 2010'!H30</f>
        <v>8810025.3099999987</v>
      </c>
      <c r="F30" s="47">
        <v>18979.8</v>
      </c>
      <c r="G30" s="47"/>
      <c r="H30" s="92">
        <f t="shared" si="0"/>
        <v>8829005.1099999994</v>
      </c>
      <c r="I30" s="93"/>
      <c r="J30" s="116">
        <f>'App.2-B_Fixed Asset Con''ty 2010'!M30</f>
        <v>-6355154.6299999999</v>
      </c>
      <c r="K30" s="116">
        <v>-237974.5</v>
      </c>
      <c r="L30" s="116"/>
      <c r="M30" s="92">
        <f t="shared" si="1"/>
        <v>-6593129.1299999999</v>
      </c>
      <c r="N30" s="94">
        <f t="shared" si="2"/>
        <v>2235875.9799999995</v>
      </c>
    </row>
    <row r="31" spans="1:14">
      <c r="A31" s="95">
        <v>47</v>
      </c>
      <c r="B31" s="95">
        <v>1860</v>
      </c>
      <c r="C31" s="96" t="s">
        <v>296</v>
      </c>
      <c r="D31" s="91"/>
      <c r="E31" s="47">
        <f>'App.2-B_Fixed Asset Con''ty 2010'!H31</f>
        <v>0</v>
      </c>
      <c r="F31" s="47"/>
      <c r="G31" s="47"/>
      <c r="H31" s="92">
        <f t="shared" si="0"/>
        <v>0</v>
      </c>
      <c r="I31" s="93"/>
      <c r="J31" s="116">
        <f>'App.2-B_Fixed Asset Con''ty 2010'!M31</f>
        <v>0</v>
      </c>
      <c r="K31" s="116"/>
      <c r="L31" s="116"/>
      <c r="M31" s="92">
        <f t="shared" si="1"/>
        <v>0</v>
      </c>
      <c r="N31" s="94">
        <f t="shared" si="2"/>
        <v>0</v>
      </c>
    </row>
    <row r="32" spans="1:14">
      <c r="A32" s="95" t="s">
        <v>289</v>
      </c>
      <c r="B32" s="95">
        <v>1905</v>
      </c>
      <c r="C32" s="96" t="s">
        <v>163</v>
      </c>
      <c r="D32" s="91"/>
      <c r="E32" s="47">
        <f>'App.2-B_Fixed Asset Con''ty 2010'!H32</f>
        <v>0</v>
      </c>
      <c r="F32" s="47"/>
      <c r="G32" s="47"/>
      <c r="H32" s="92">
        <f t="shared" si="0"/>
        <v>0</v>
      </c>
      <c r="I32" s="93"/>
      <c r="J32" s="116">
        <f>'App.2-B_Fixed Asset Con''ty 2010'!M32</f>
        <v>0</v>
      </c>
      <c r="K32" s="116"/>
      <c r="L32" s="116"/>
      <c r="M32" s="92">
        <f t="shared" si="1"/>
        <v>0</v>
      </c>
      <c r="N32" s="94">
        <f t="shared" si="2"/>
        <v>0</v>
      </c>
    </row>
    <row r="33" spans="1:14">
      <c r="A33" s="89">
        <v>47</v>
      </c>
      <c r="B33" s="89">
        <v>1908</v>
      </c>
      <c r="C33" s="97" t="s">
        <v>297</v>
      </c>
      <c r="D33" s="91"/>
      <c r="E33" s="47">
        <f>'App.2-B_Fixed Asset Con''ty 2010'!H33</f>
        <v>0</v>
      </c>
      <c r="F33" s="47"/>
      <c r="G33" s="47"/>
      <c r="H33" s="92">
        <f t="shared" si="0"/>
        <v>0</v>
      </c>
      <c r="I33" s="93"/>
      <c r="J33" s="116">
        <f>'App.2-B_Fixed Asset Con''ty 2010'!M33</f>
        <v>0</v>
      </c>
      <c r="K33" s="116"/>
      <c r="L33" s="116"/>
      <c r="M33" s="92">
        <f t="shared" si="1"/>
        <v>0</v>
      </c>
      <c r="N33" s="94">
        <f t="shared" si="2"/>
        <v>0</v>
      </c>
    </row>
    <row r="34" spans="1:14">
      <c r="A34" s="89">
        <v>13</v>
      </c>
      <c r="B34" s="89">
        <v>1910</v>
      </c>
      <c r="C34" s="97" t="s">
        <v>298</v>
      </c>
      <c r="D34" s="91"/>
      <c r="E34" s="47">
        <f>'App.2-B_Fixed Asset Con''ty 2010'!H34</f>
        <v>0</v>
      </c>
      <c r="F34" s="47"/>
      <c r="G34" s="47"/>
      <c r="H34" s="92">
        <f t="shared" si="0"/>
        <v>0</v>
      </c>
      <c r="I34" s="93"/>
      <c r="J34" s="116">
        <f>'App.2-B_Fixed Asset Con''ty 2010'!M34</f>
        <v>0</v>
      </c>
      <c r="K34" s="116"/>
      <c r="L34" s="116"/>
      <c r="M34" s="92">
        <f t="shared" si="1"/>
        <v>0</v>
      </c>
      <c r="N34" s="94">
        <f t="shared" si="2"/>
        <v>0</v>
      </c>
    </row>
    <row r="35" spans="1:14">
      <c r="A35" s="89">
        <v>8</v>
      </c>
      <c r="B35" s="89">
        <v>1915</v>
      </c>
      <c r="C35" s="97" t="s">
        <v>299</v>
      </c>
      <c r="D35" s="91"/>
      <c r="E35" s="47">
        <f>'App.2-B_Fixed Asset Con''ty 2010'!H35</f>
        <v>44314.559999999998</v>
      </c>
      <c r="F35" s="47"/>
      <c r="G35" s="47"/>
      <c r="H35" s="92">
        <f t="shared" si="0"/>
        <v>44314.559999999998</v>
      </c>
      <c r="I35" s="93"/>
      <c r="J35" s="116">
        <f>'App.2-B_Fixed Asset Con''ty 2010'!M35</f>
        <v>-39836.539999999994</v>
      </c>
      <c r="K35" s="116">
        <v>-938.52</v>
      </c>
      <c r="L35" s="116"/>
      <c r="M35" s="92">
        <f t="shared" si="1"/>
        <v>-40775.05999999999</v>
      </c>
      <c r="N35" s="94">
        <f t="shared" si="2"/>
        <v>3539.5000000000073</v>
      </c>
    </row>
    <row r="36" spans="1:14">
      <c r="A36" s="89">
        <v>8</v>
      </c>
      <c r="B36" s="89">
        <v>1915</v>
      </c>
      <c r="C36" s="97" t="s">
        <v>300</v>
      </c>
      <c r="D36" s="91"/>
      <c r="E36" s="47">
        <f>'App.2-B_Fixed Asset Con''ty 2010'!H36</f>
        <v>0</v>
      </c>
      <c r="F36" s="47"/>
      <c r="G36" s="47"/>
      <c r="H36" s="92">
        <f t="shared" si="0"/>
        <v>0</v>
      </c>
      <c r="I36" s="93"/>
      <c r="J36" s="116">
        <f>'App.2-B_Fixed Asset Con''ty 2010'!M36</f>
        <v>0</v>
      </c>
      <c r="K36" s="116"/>
      <c r="L36" s="116"/>
      <c r="M36" s="92">
        <f t="shared" si="1"/>
        <v>0</v>
      </c>
      <c r="N36" s="94">
        <f t="shared" si="2"/>
        <v>0</v>
      </c>
    </row>
    <row r="37" spans="1:14">
      <c r="A37" s="89">
        <v>10</v>
      </c>
      <c r="B37" s="89">
        <v>1920</v>
      </c>
      <c r="C37" s="97" t="s">
        <v>301</v>
      </c>
      <c r="D37" s="91"/>
      <c r="E37" s="47">
        <f>'App.2-B_Fixed Asset Con''ty 2010'!H37</f>
        <v>0</v>
      </c>
      <c r="F37" s="47">
        <f>153986.72</f>
        <v>153986.72</v>
      </c>
      <c r="G37" s="47"/>
      <c r="H37" s="92">
        <f t="shared" si="0"/>
        <v>153986.72</v>
      </c>
      <c r="I37" s="93"/>
      <c r="J37" s="116">
        <f>'App.2-B_Fixed Asset Con''ty 2010'!M37</f>
        <v>0</v>
      </c>
      <c r="K37" s="116">
        <f>-15398.67</f>
        <v>-15398.67</v>
      </c>
      <c r="L37" s="116"/>
      <c r="M37" s="92">
        <f t="shared" si="1"/>
        <v>-15398.67</v>
      </c>
      <c r="N37" s="94">
        <f t="shared" si="2"/>
        <v>138588.04999999999</v>
      </c>
    </row>
    <row r="38" spans="1:14">
      <c r="A38" s="89">
        <v>45</v>
      </c>
      <c r="B38" s="98">
        <v>1920</v>
      </c>
      <c r="C38" s="90" t="s">
        <v>302</v>
      </c>
      <c r="D38" s="91"/>
      <c r="E38" s="47">
        <f>'App.2-B_Fixed Asset Con''ty 2010'!H38</f>
        <v>0</v>
      </c>
      <c r="F38" s="47"/>
      <c r="G38" s="47"/>
      <c r="H38" s="92">
        <f t="shared" si="0"/>
        <v>0</v>
      </c>
      <c r="I38" s="93"/>
      <c r="J38" s="116">
        <f>'App.2-B_Fixed Asset Con''ty 2010'!M38</f>
        <v>0</v>
      </c>
      <c r="K38" s="116"/>
      <c r="L38" s="116"/>
      <c r="M38" s="92">
        <f t="shared" si="1"/>
        <v>0</v>
      </c>
      <c r="N38" s="94">
        <f t="shared" si="2"/>
        <v>0</v>
      </c>
    </row>
    <row r="39" spans="1:14">
      <c r="A39" s="89">
        <v>45.1</v>
      </c>
      <c r="B39" s="98">
        <v>1920</v>
      </c>
      <c r="C39" s="90" t="s">
        <v>303</v>
      </c>
      <c r="D39" s="91"/>
      <c r="E39" s="47">
        <f>'App.2-B_Fixed Asset Con''ty 2010'!H39</f>
        <v>0</v>
      </c>
      <c r="F39" s="47"/>
      <c r="G39" s="47"/>
      <c r="H39" s="92">
        <f t="shared" si="0"/>
        <v>0</v>
      </c>
      <c r="I39" s="93"/>
      <c r="J39" s="116">
        <f>'App.2-B_Fixed Asset Con''ty 2010'!M39</f>
        <v>0</v>
      </c>
      <c r="K39" s="116"/>
      <c r="L39" s="116"/>
      <c r="M39" s="92">
        <f t="shared" si="1"/>
        <v>0</v>
      </c>
      <c r="N39" s="94">
        <f t="shared" si="2"/>
        <v>0</v>
      </c>
    </row>
    <row r="40" spans="1:14">
      <c r="A40" s="89">
        <v>10</v>
      </c>
      <c r="B40" s="89">
        <v>1930</v>
      </c>
      <c r="C40" s="97" t="s">
        <v>304</v>
      </c>
      <c r="D40" s="91"/>
      <c r="E40" s="47">
        <f>'App.2-B_Fixed Asset Con''ty 2010'!H40</f>
        <v>5041489.4000000004</v>
      </c>
      <c r="F40" s="47">
        <v>562950.06999999995</v>
      </c>
      <c r="G40" s="47">
        <v>-441360.72</v>
      </c>
      <c r="H40" s="92">
        <f t="shared" si="0"/>
        <v>5163078.7500000009</v>
      </c>
      <c r="I40" s="93"/>
      <c r="J40" s="116">
        <f>'App.2-B_Fixed Asset Con''ty 2010'!M40</f>
        <v>-3553837.41</v>
      </c>
      <c r="K40" s="116">
        <v>-419479.02</v>
      </c>
      <c r="L40" s="116">
        <v>441360.72</v>
      </c>
      <c r="M40" s="92">
        <f t="shared" si="1"/>
        <v>-3531955.71</v>
      </c>
      <c r="N40" s="94">
        <f t="shared" si="2"/>
        <v>1631123.040000001</v>
      </c>
    </row>
    <row r="41" spans="1:14">
      <c r="A41" s="89">
        <v>8</v>
      </c>
      <c r="B41" s="89">
        <v>1935</v>
      </c>
      <c r="C41" s="97" t="s">
        <v>305</v>
      </c>
      <c r="D41" s="91"/>
      <c r="E41" s="47">
        <f>'App.2-B_Fixed Asset Con''ty 2010'!H41</f>
        <v>0</v>
      </c>
      <c r="F41" s="47"/>
      <c r="G41" s="47"/>
      <c r="H41" s="92">
        <f t="shared" si="0"/>
        <v>0</v>
      </c>
      <c r="I41" s="93"/>
      <c r="J41" s="116">
        <f>'App.2-B_Fixed Asset Con''ty 2010'!M41</f>
        <v>0</v>
      </c>
      <c r="K41" s="116"/>
      <c r="L41" s="116"/>
      <c r="M41" s="92">
        <f t="shared" si="1"/>
        <v>0</v>
      </c>
      <c r="N41" s="94">
        <f t="shared" si="2"/>
        <v>0</v>
      </c>
    </row>
    <row r="42" spans="1:14">
      <c r="A42" s="89">
        <v>8</v>
      </c>
      <c r="B42" s="89">
        <v>1940</v>
      </c>
      <c r="C42" s="97" t="s">
        <v>185</v>
      </c>
      <c r="D42" s="91"/>
      <c r="E42" s="47">
        <f>'App.2-B_Fixed Asset Con''ty 2010'!H42</f>
        <v>1741755.78</v>
      </c>
      <c r="F42" s="47">
        <v>77853.63</v>
      </c>
      <c r="G42" s="47"/>
      <c r="H42" s="92">
        <f t="shared" si="0"/>
        <v>1819609.4100000001</v>
      </c>
      <c r="I42" s="93"/>
      <c r="J42" s="116">
        <f>'App.2-B_Fixed Asset Con''ty 2010'!M42</f>
        <v>-1295447.1200000001</v>
      </c>
      <c r="K42" s="116">
        <v>-82930.460000000006</v>
      </c>
      <c r="L42" s="116"/>
      <c r="M42" s="92">
        <f t="shared" si="1"/>
        <v>-1378377.58</v>
      </c>
      <c r="N42" s="94">
        <f t="shared" si="2"/>
        <v>441231.83000000007</v>
      </c>
    </row>
    <row r="43" spans="1:14">
      <c r="A43" s="89">
        <v>8</v>
      </c>
      <c r="B43" s="89">
        <v>1945</v>
      </c>
      <c r="C43" s="97" t="s">
        <v>306</v>
      </c>
      <c r="D43" s="91"/>
      <c r="E43" s="47">
        <f>'App.2-B_Fixed Asset Con''ty 2010'!H43</f>
        <v>0</v>
      </c>
      <c r="F43" s="47"/>
      <c r="G43" s="47"/>
      <c r="H43" s="92">
        <f t="shared" si="0"/>
        <v>0</v>
      </c>
      <c r="I43" s="93"/>
      <c r="J43" s="116">
        <f>'App.2-B_Fixed Asset Con''ty 2010'!M43</f>
        <v>0</v>
      </c>
      <c r="K43" s="116"/>
      <c r="L43" s="116"/>
      <c r="M43" s="92">
        <f t="shared" si="1"/>
        <v>0</v>
      </c>
      <c r="N43" s="94">
        <f t="shared" si="2"/>
        <v>0</v>
      </c>
    </row>
    <row r="44" spans="1:14">
      <c r="A44" s="89">
        <v>8</v>
      </c>
      <c r="B44" s="89">
        <v>1950</v>
      </c>
      <c r="C44" s="97" t="s">
        <v>307</v>
      </c>
      <c r="D44" s="91"/>
      <c r="E44" s="47">
        <f>'App.2-B_Fixed Asset Con''ty 2010'!H44</f>
        <v>0</v>
      </c>
      <c r="F44" s="47"/>
      <c r="G44" s="47"/>
      <c r="H44" s="92">
        <f t="shared" si="0"/>
        <v>0</v>
      </c>
      <c r="I44" s="93"/>
      <c r="J44" s="116">
        <f>'App.2-B_Fixed Asset Con''ty 2010'!M44</f>
        <v>0</v>
      </c>
      <c r="K44" s="116"/>
      <c r="L44" s="116"/>
      <c r="M44" s="92">
        <f t="shared" si="1"/>
        <v>0</v>
      </c>
      <c r="N44" s="94">
        <f t="shared" si="2"/>
        <v>0</v>
      </c>
    </row>
    <row r="45" spans="1:14">
      <c r="A45" s="89">
        <v>8</v>
      </c>
      <c r="B45" s="89">
        <v>1955</v>
      </c>
      <c r="C45" s="97" t="s">
        <v>308</v>
      </c>
      <c r="D45" s="91"/>
      <c r="E45" s="47">
        <f>'App.2-B_Fixed Asset Con''ty 2010'!H45</f>
        <v>2212829.86</v>
      </c>
      <c r="F45" s="47">
        <v>7757</v>
      </c>
      <c r="G45" s="47"/>
      <c r="H45" s="92">
        <f t="shared" si="0"/>
        <v>2220586.86</v>
      </c>
      <c r="I45" s="93"/>
      <c r="J45" s="116">
        <f>'App.2-B_Fixed Asset Con''ty 2010'!M45</f>
        <v>-1148983.97</v>
      </c>
      <c r="K45" s="116">
        <v>-78788.239999999991</v>
      </c>
      <c r="L45" s="116"/>
      <c r="M45" s="92">
        <f t="shared" si="1"/>
        <v>-1227772.21</v>
      </c>
      <c r="N45" s="94">
        <f t="shared" si="2"/>
        <v>992814.64999999991</v>
      </c>
    </row>
    <row r="46" spans="1:14">
      <c r="A46" s="99">
        <v>8</v>
      </c>
      <c r="B46" s="99">
        <v>1955</v>
      </c>
      <c r="C46" s="100" t="s">
        <v>309</v>
      </c>
      <c r="D46" s="91"/>
      <c r="E46" s="47">
        <f>'App.2-B_Fixed Asset Con''ty 2010'!H46</f>
        <v>0</v>
      </c>
      <c r="F46" s="47"/>
      <c r="G46" s="47"/>
      <c r="H46" s="92">
        <f t="shared" si="0"/>
        <v>0</v>
      </c>
      <c r="I46" s="93"/>
      <c r="J46" s="116">
        <f>'App.2-B_Fixed Asset Con''ty 2010'!M46</f>
        <v>0</v>
      </c>
      <c r="K46" s="116"/>
      <c r="L46" s="116"/>
      <c r="M46" s="92">
        <f t="shared" si="1"/>
        <v>0</v>
      </c>
      <c r="N46" s="94">
        <f t="shared" si="2"/>
        <v>0</v>
      </c>
    </row>
    <row r="47" spans="1:14">
      <c r="A47" s="98">
        <v>8</v>
      </c>
      <c r="B47" s="98">
        <v>1960</v>
      </c>
      <c r="C47" s="90" t="s">
        <v>310</v>
      </c>
      <c r="D47" s="91"/>
      <c r="E47" s="47">
        <f>'App.2-B_Fixed Asset Con''ty 2010'!H47</f>
        <v>0</v>
      </c>
      <c r="F47" s="47"/>
      <c r="G47" s="47"/>
      <c r="H47" s="92">
        <f t="shared" si="0"/>
        <v>0</v>
      </c>
      <c r="I47" s="93"/>
      <c r="J47" s="116">
        <f>'App.2-B_Fixed Asset Con''ty 2010'!M47</f>
        <v>0</v>
      </c>
      <c r="K47" s="116"/>
      <c r="L47" s="116"/>
      <c r="M47" s="92">
        <f t="shared" si="1"/>
        <v>0</v>
      </c>
      <c r="N47" s="94">
        <f t="shared" si="2"/>
        <v>0</v>
      </c>
    </row>
    <row r="48" spans="1:14">
      <c r="A48" s="89">
        <v>47</v>
      </c>
      <c r="B48" s="89">
        <v>1975</v>
      </c>
      <c r="C48" s="97" t="s">
        <v>311</v>
      </c>
      <c r="D48" s="91"/>
      <c r="E48" s="47">
        <f>'App.2-B_Fixed Asset Con''ty 2010'!H48</f>
        <v>0</v>
      </c>
      <c r="F48" s="47"/>
      <c r="G48" s="47"/>
      <c r="H48" s="92">
        <f t="shared" si="0"/>
        <v>0</v>
      </c>
      <c r="I48" s="93"/>
      <c r="J48" s="116">
        <f>'App.2-B_Fixed Asset Con''ty 2010'!M48</f>
        <v>0</v>
      </c>
      <c r="K48" s="116"/>
      <c r="L48" s="116"/>
      <c r="M48" s="92">
        <f t="shared" si="1"/>
        <v>0</v>
      </c>
      <c r="N48" s="94">
        <f t="shared" si="2"/>
        <v>0</v>
      </c>
    </row>
    <row r="49" spans="1:14">
      <c r="A49" s="89">
        <v>47</v>
      </c>
      <c r="B49" s="89">
        <v>1980</v>
      </c>
      <c r="C49" s="97" t="s">
        <v>202</v>
      </c>
      <c r="D49" s="91"/>
      <c r="E49" s="47">
        <f>'App.2-B_Fixed Asset Con''ty 2010'!H49</f>
        <v>1555443.13</v>
      </c>
      <c r="F49" s="47">
        <v>17265</v>
      </c>
      <c r="G49" s="47"/>
      <c r="H49" s="92">
        <f t="shared" si="0"/>
        <v>1572708.13</v>
      </c>
      <c r="I49" s="93"/>
      <c r="J49" s="116">
        <f>'App.2-B_Fixed Asset Con''ty 2010'!M49</f>
        <v>-1162505.07</v>
      </c>
      <c r="K49" s="116">
        <v>-56753.42</v>
      </c>
      <c r="L49" s="116"/>
      <c r="M49" s="92">
        <f t="shared" si="1"/>
        <v>-1219258.49</v>
      </c>
      <c r="N49" s="94">
        <f t="shared" si="2"/>
        <v>353449.6399999999</v>
      </c>
    </row>
    <row r="50" spans="1:14">
      <c r="A50" s="89">
        <v>47</v>
      </c>
      <c r="B50" s="89">
        <v>1985</v>
      </c>
      <c r="C50" s="97" t="s">
        <v>312</v>
      </c>
      <c r="D50" s="91"/>
      <c r="E50" s="47">
        <f>'App.2-B_Fixed Asset Con''ty 2010'!H50</f>
        <v>42116.86</v>
      </c>
      <c r="F50" s="47"/>
      <c r="G50" s="47"/>
      <c r="H50" s="92">
        <f t="shared" si="0"/>
        <v>42116.86</v>
      </c>
      <c r="I50" s="93"/>
      <c r="J50" s="116">
        <f>'App.2-B_Fixed Asset Con''ty 2010'!M50</f>
        <v>-42116.86</v>
      </c>
      <c r="K50" s="116"/>
      <c r="L50" s="116"/>
      <c r="M50" s="92">
        <f t="shared" si="1"/>
        <v>-42116.86</v>
      </c>
      <c r="N50" s="94">
        <f t="shared" si="2"/>
        <v>0</v>
      </c>
    </row>
    <row r="51" spans="1:14">
      <c r="A51" s="89">
        <v>47</v>
      </c>
      <c r="B51" s="89">
        <v>1995</v>
      </c>
      <c r="C51" s="97" t="s">
        <v>313</v>
      </c>
      <c r="D51" s="91"/>
      <c r="E51" s="47">
        <f>'App.2-B_Fixed Asset Con''ty 2010'!H51</f>
        <v>-13513098.059999999</v>
      </c>
      <c r="F51" s="47">
        <v>-1065202.67</v>
      </c>
      <c r="G51" s="47"/>
      <c r="H51" s="92">
        <f t="shared" si="0"/>
        <v>-14578300.729999999</v>
      </c>
      <c r="I51" s="93"/>
      <c r="J51" s="116">
        <f>'App.2-B_Fixed Asset Con''ty 2010'!M51</f>
        <v>2843835.55</v>
      </c>
      <c r="K51" s="116">
        <v>561827.97</v>
      </c>
      <c r="L51" s="116"/>
      <c r="M51" s="92">
        <f t="shared" si="1"/>
        <v>3405663.5199999996</v>
      </c>
      <c r="N51" s="94">
        <f t="shared" si="2"/>
        <v>-11172637.209999999</v>
      </c>
    </row>
    <row r="52" spans="1:14">
      <c r="A52" s="89"/>
      <c r="B52" s="89">
        <v>1330</v>
      </c>
      <c r="C52" s="90" t="s">
        <v>322</v>
      </c>
      <c r="D52" s="91"/>
      <c r="E52" s="47">
        <f>'App.2-B_Fixed Asset Con''ty 2010'!H52</f>
        <v>1022658</v>
      </c>
      <c r="F52" s="47">
        <v>105162</v>
      </c>
      <c r="G52" s="47"/>
      <c r="H52" s="92">
        <f t="shared" si="0"/>
        <v>1127820</v>
      </c>
      <c r="I52" s="103"/>
      <c r="J52" s="47">
        <f>'App.2-B_Fixed Asset Con''ty 2010'!M52</f>
        <v>0</v>
      </c>
      <c r="K52" s="47"/>
      <c r="L52" s="47"/>
      <c r="M52" s="92">
        <f t="shared" si="1"/>
        <v>0</v>
      </c>
      <c r="N52" s="94">
        <f t="shared" si="2"/>
        <v>1127820</v>
      </c>
    </row>
    <row r="53" spans="1:14">
      <c r="A53" s="101"/>
      <c r="B53" s="101">
        <v>2055</v>
      </c>
      <c r="C53" s="102" t="s">
        <v>314</v>
      </c>
      <c r="D53" s="91"/>
      <c r="E53" s="47">
        <f>'App.2-B_Fixed Asset Con''ty 2010'!H53</f>
        <v>228308</v>
      </c>
      <c r="F53" s="47">
        <v>430858.53</v>
      </c>
      <c r="G53" s="47">
        <v>-228308.38</v>
      </c>
      <c r="H53" s="92">
        <f t="shared" si="0"/>
        <v>430858.15</v>
      </c>
      <c r="I53" s="103"/>
      <c r="J53" s="47">
        <f>'App.2-B_Fixed Asset Con''ty 2010'!M53</f>
        <v>0</v>
      </c>
      <c r="K53" s="47"/>
      <c r="L53" s="47"/>
      <c r="M53" s="92">
        <f t="shared" si="1"/>
        <v>0</v>
      </c>
      <c r="N53" s="94">
        <f t="shared" si="2"/>
        <v>430858.15</v>
      </c>
    </row>
    <row r="54" spans="1:14">
      <c r="A54" s="101"/>
      <c r="B54" s="101"/>
      <c r="C54" s="104"/>
      <c r="D54" s="91"/>
      <c r="E54" s="47">
        <f>'App.2-B_Fixed Asset Con''ty 2010'!H54</f>
        <v>0</v>
      </c>
      <c r="F54" s="47"/>
      <c r="G54" s="47"/>
      <c r="H54" s="94"/>
      <c r="I54" s="103"/>
      <c r="J54" s="47">
        <f>'App.2-B_Fixed Asset Con''ty 2010'!M54</f>
        <v>0</v>
      </c>
      <c r="K54" s="47"/>
      <c r="L54" s="47"/>
      <c r="M54" s="94"/>
      <c r="N54" s="94"/>
    </row>
    <row r="55" spans="1:14">
      <c r="A55" s="1129" t="s">
        <v>323</v>
      </c>
      <c r="B55" s="1130"/>
      <c r="C55" s="1131"/>
      <c r="D55" s="105"/>
      <c r="E55" s="106">
        <f>SUM(E16:E54)</f>
        <v>169867012.38000003</v>
      </c>
      <c r="F55" s="106">
        <f>SUM(F16:F54)</f>
        <v>6765252.75</v>
      </c>
      <c r="G55" s="106">
        <f>SUM(G16:G54)</f>
        <v>-669669.1</v>
      </c>
      <c r="H55" s="106">
        <f>SUM(H16:H54)</f>
        <v>175962596.03000003</v>
      </c>
      <c r="I55" s="106"/>
      <c r="J55" s="106">
        <f t="shared" ref="J55:N55" si="3">SUM(J16:J53)</f>
        <v>-103658919.89999999</v>
      </c>
      <c r="K55" s="106">
        <f t="shared" si="3"/>
        <v>-5652464.5499999989</v>
      </c>
      <c r="L55" s="106">
        <f t="shared" si="3"/>
        <v>441360.72</v>
      </c>
      <c r="M55" s="106">
        <f t="shared" si="3"/>
        <v>-108870023.72999997</v>
      </c>
      <c r="N55" s="106">
        <f t="shared" si="3"/>
        <v>67092572.299999997</v>
      </c>
    </row>
    <row r="56" spans="1:14">
      <c r="A56" s="101">
        <v>12</v>
      </c>
      <c r="B56" s="101">
        <v>1611</v>
      </c>
      <c r="C56" s="102" t="s">
        <v>148</v>
      </c>
      <c r="D56" s="91"/>
      <c r="E56" s="47">
        <f>'App.2-B_Fixed Asset Con''ty 2010'!H56</f>
        <v>-126796.40490400001</v>
      </c>
      <c r="F56" s="47">
        <f>-13984.22*(1*0.2104)</f>
        <v>-2942.279888</v>
      </c>
      <c r="G56" s="47"/>
      <c r="H56" s="92">
        <f t="shared" ref="H56" si="4">E56+F56+G56</f>
        <v>-129738.68479200001</v>
      </c>
      <c r="I56" s="103"/>
      <c r="J56" s="47">
        <f>'App.2-B_Fixed Asset Con''ty 2010'!M56</f>
        <v>12679.64</v>
      </c>
      <c r="K56" s="47">
        <v>25653.51</v>
      </c>
      <c r="L56" s="47"/>
      <c r="M56" s="92">
        <f t="shared" ref="M56" si="5">J56+K56+L56</f>
        <v>38333.149999999994</v>
      </c>
      <c r="N56" s="94">
        <f t="shared" ref="N56" si="6">H56+M56</f>
        <v>-91405.53479200002</v>
      </c>
    </row>
    <row r="57" spans="1:14">
      <c r="A57" s="1129" t="s">
        <v>324</v>
      </c>
      <c r="B57" s="1130"/>
      <c r="C57" s="1131"/>
      <c r="D57" s="105"/>
      <c r="E57" s="106">
        <f>SUM(E55:E56)</f>
        <v>169740215.97509602</v>
      </c>
      <c r="F57" s="106">
        <f>SUM(F55:F56)</f>
        <v>6762310.4701119997</v>
      </c>
      <c r="G57" s="106">
        <f>SUM(G55:G56)</f>
        <v>-669669.1</v>
      </c>
      <c r="H57" s="106">
        <f>SUM(H55:H56)</f>
        <v>175832857.34520802</v>
      </c>
      <c r="I57" s="106"/>
      <c r="J57" s="106">
        <f>SUM(J55:J56)</f>
        <v>-103646240.25999999</v>
      </c>
      <c r="K57" s="106">
        <f t="shared" ref="K57:N57" si="7">SUM(K55:K56)</f>
        <v>-5626811.0399999991</v>
      </c>
      <c r="L57" s="106">
        <f t="shared" si="7"/>
        <v>441360.72</v>
      </c>
      <c r="M57" s="106">
        <f t="shared" si="7"/>
        <v>-108831690.57999997</v>
      </c>
      <c r="N57" s="106">
        <f t="shared" si="7"/>
        <v>67001166.765207998</v>
      </c>
    </row>
    <row r="59" spans="1:14">
      <c r="D59" s="73"/>
      <c r="J59" s="107" t="s">
        <v>315</v>
      </c>
      <c r="K59" s="108"/>
    </row>
    <row r="60" spans="1:14">
      <c r="A60" s="101">
        <v>10</v>
      </c>
      <c r="B60" s="101"/>
      <c r="C60" s="104" t="s">
        <v>316</v>
      </c>
      <c r="D60" s="73"/>
      <c r="J60" s="108" t="s">
        <v>316</v>
      </c>
      <c r="K60" s="108"/>
      <c r="L60" s="109">
        <v>-419479.02</v>
      </c>
    </row>
    <row r="61" spans="1:14">
      <c r="A61" s="101">
        <v>8</v>
      </c>
      <c r="B61" s="101"/>
      <c r="C61" s="104" t="s">
        <v>305</v>
      </c>
      <c r="J61" s="108" t="s">
        <v>305</v>
      </c>
      <c r="K61" s="108"/>
      <c r="L61" s="110">
        <v>-82930.460000000006</v>
      </c>
    </row>
    <row r="62" spans="1:14">
      <c r="J62" s="111" t="s">
        <v>317</v>
      </c>
      <c r="L62" s="112">
        <f>K57-L60-L61</f>
        <v>-5124401.5599999996</v>
      </c>
    </row>
    <row r="64" spans="1:14">
      <c r="A64" s="113" t="s">
        <v>270</v>
      </c>
    </row>
    <row r="66" spans="1:14">
      <c r="A66" s="72">
        <v>1</v>
      </c>
      <c r="B66" s="1128" t="s">
        <v>318</v>
      </c>
      <c r="C66" s="1128"/>
      <c r="D66" s="1128"/>
      <c r="E66" s="1128"/>
      <c r="F66" s="1128"/>
      <c r="G66" s="1128"/>
      <c r="H66" s="1128"/>
      <c r="I66" s="1128"/>
      <c r="J66" s="1128"/>
      <c r="K66" s="1128"/>
      <c r="L66" s="1128"/>
      <c r="M66" s="1128"/>
      <c r="N66" s="1128"/>
    </row>
    <row r="67" spans="1:14">
      <c r="B67" s="1128"/>
      <c r="C67" s="1128"/>
      <c r="D67" s="1128"/>
      <c r="E67" s="1128"/>
      <c r="F67" s="1128"/>
      <c r="G67" s="1128"/>
      <c r="H67" s="1128"/>
      <c r="I67" s="1128"/>
      <c r="J67" s="1128"/>
      <c r="K67" s="1128"/>
      <c r="L67" s="1128"/>
      <c r="M67" s="1128"/>
      <c r="N67" s="1128"/>
    </row>
    <row r="68" spans="1:14" ht="12.75" customHeight="1"/>
    <row r="69" spans="1:14">
      <c r="A69" s="72">
        <v>2</v>
      </c>
      <c r="B69" s="1123" t="s">
        <v>319</v>
      </c>
      <c r="C69" s="1123"/>
      <c r="D69" s="1123"/>
      <c r="E69" s="1123"/>
      <c r="F69" s="1123"/>
      <c r="G69" s="1123"/>
      <c r="H69" s="1123"/>
      <c r="I69" s="1123"/>
      <c r="J69" s="1123"/>
      <c r="K69" s="1123"/>
      <c r="L69" s="1123"/>
      <c r="M69" s="1123"/>
      <c r="N69" s="1123"/>
    </row>
    <row r="70" spans="1:14">
      <c r="B70" s="1123"/>
      <c r="C70" s="1123"/>
      <c r="D70" s="1123"/>
      <c r="E70" s="1123"/>
      <c r="F70" s="1123"/>
      <c r="G70" s="1123"/>
      <c r="H70" s="1123"/>
      <c r="I70" s="1123"/>
      <c r="J70" s="1123"/>
      <c r="K70" s="1123"/>
      <c r="L70" s="1123"/>
      <c r="M70" s="1123"/>
      <c r="N70" s="1123"/>
    </row>
    <row r="72" spans="1:14">
      <c r="A72" s="72">
        <v>3</v>
      </c>
      <c r="B72" s="1124" t="s">
        <v>320</v>
      </c>
      <c r="C72" s="1124"/>
      <c r="D72" s="1124"/>
      <c r="E72" s="1124"/>
      <c r="F72" s="1124"/>
      <c r="G72" s="1124"/>
      <c r="H72" s="1124"/>
      <c r="I72" s="1124"/>
      <c r="J72" s="1124"/>
      <c r="K72" s="1124"/>
      <c r="L72" s="1124"/>
      <c r="M72" s="1124"/>
      <c r="N72" s="1124"/>
    </row>
    <row r="74" spans="1:14">
      <c r="A74" s="72">
        <v>4</v>
      </c>
      <c r="B74" s="114" t="s">
        <v>321</v>
      </c>
    </row>
  </sheetData>
  <mergeCells count="8">
    <mergeCell ref="B69:N70"/>
    <mergeCell ref="B72:N72"/>
    <mergeCell ref="A9:N9"/>
    <mergeCell ref="A10:N10"/>
    <mergeCell ref="E14:H14"/>
    <mergeCell ref="A55:C55"/>
    <mergeCell ref="A57:C57"/>
    <mergeCell ref="B66:N67"/>
  </mergeCells>
  <printOptions horizontalCentered="1"/>
  <pageMargins left="0.74803149606299213" right="0.74803149606299213" top="0.74803149606299213" bottom="0.70866141732283472" header="0.51181102362204722" footer="0.51181102362204722"/>
  <pageSetup scale="54" fitToHeight="0" orientation="landscape" r:id="rId1"/>
  <headerFooter alignWithMargins="0"/>
</worksheet>
</file>

<file path=xl/worksheets/sheet9.xml><?xml version="1.0" encoding="utf-8"?>
<worksheet xmlns="http://schemas.openxmlformats.org/spreadsheetml/2006/main" xmlns:r="http://schemas.openxmlformats.org/officeDocument/2006/relationships">
  <dimension ref="A1:N74"/>
  <sheetViews>
    <sheetView showGridLines="0" zoomScale="95" zoomScaleNormal="95" workbookViewId="0">
      <selection activeCell="J24" sqref="J24"/>
    </sheetView>
  </sheetViews>
  <sheetFormatPr defaultRowHeight="12.75"/>
  <cols>
    <col min="1" max="1" width="7.7109375" style="72" customWidth="1"/>
    <col min="2" max="2" width="6.42578125" style="72" customWidth="1"/>
    <col min="3" max="3" width="57.7109375" style="30" customWidth="1"/>
    <col min="4" max="4" width="14" style="30" hidden="1" customWidth="1"/>
    <col min="5" max="5" width="14.42578125" style="30" customWidth="1"/>
    <col min="6" max="6" width="13" style="30" customWidth="1"/>
    <col min="7" max="7" width="11.7109375" style="30" customWidth="1"/>
    <col min="8" max="8" width="14.140625" style="30" bestFit="1" customWidth="1"/>
    <col min="9" max="9" width="1.7109375" style="73" customWidth="1"/>
    <col min="10" max="10" width="14.28515625" style="30" customWidth="1"/>
    <col min="11" max="11" width="13.42578125" style="30" customWidth="1"/>
    <col min="12" max="12" width="12.42578125" style="30" bestFit="1" customWidth="1"/>
    <col min="13" max="13" width="14.5703125" style="30" bestFit="1" customWidth="1"/>
    <col min="14" max="14" width="14.140625" style="30" bestFit="1" customWidth="1"/>
    <col min="15" max="16384" width="9.140625" style="30"/>
  </cols>
  <sheetData>
    <row r="1" spans="1:14" ht="18">
      <c r="A1" s="118"/>
      <c r="M1" s="31" t="s">
        <v>131</v>
      </c>
      <c r="N1" s="32" t="str">
        <f>'LDC Info'!$E$18</f>
        <v>EB-2012-0126</v>
      </c>
    </row>
    <row r="2" spans="1:14">
      <c r="M2" s="31" t="s">
        <v>132</v>
      </c>
      <c r="N2" s="33"/>
    </row>
    <row r="3" spans="1:14">
      <c r="M3" s="31" t="s">
        <v>133</v>
      </c>
      <c r="N3" s="33"/>
    </row>
    <row r="4" spans="1:14">
      <c r="M4" s="31" t="s">
        <v>134</v>
      </c>
      <c r="N4" s="33"/>
    </row>
    <row r="5" spans="1:14">
      <c r="M5" s="31" t="s">
        <v>135</v>
      </c>
      <c r="N5" s="34"/>
    </row>
    <row r="6" spans="1:14" ht="9" customHeight="1">
      <c r="M6" s="31"/>
      <c r="N6" s="32"/>
    </row>
    <row r="7" spans="1:14">
      <c r="M7" s="31" t="s">
        <v>136</v>
      </c>
      <c r="N7" s="34" t="s">
        <v>1171</v>
      </c>
    </row>
    <row r="8" spans="1:14" ht="9" customHeight="1"/>
    <row r="9" spans="1:14" ht="20.25" customHeight="1">
      <c r="A9" s="1122" t="s">
        <v>272</v>
      </c>
      <c r="B9" s="1122"/>
      <c r="C9" s="1122"/>
      <c r="D9" s="1122"/>
      <c r="E9" s="1122"/>
      <c r="F9" s="1122"/>
      <c r="G9" s="1122"/>
      <c r="H9" s="1122"/>
      <c r="I9" s="1122"/>
      <c r="J9" s="1122"/>
      <c r="K9" s="1122"/>
      <c r="L9" s="1122"/>
      <c r="M9" s="1122"/>
      <c r="N9" s="1122"/>
    </row>
    <row r="10" spans="1:14" ht="18">
      <c r="A10" s="1122" t="s">
        <v>325</v>
      </c>
      <c r="B10" s="1122"/>
      <c r="C10" s="1122"/>
      <c r="D10" s="1122"/>
      <c r="E10" s="1122"/>
      <c r="F10" s="1122"/>
      <c r="G10" s="1122"/>
      <c r="H10" s="1122"/>
      <c r="I10" s="1122"/>
      <c r="J10" s="1122"/>
      <c r="K10" s="1122"/>
      <c r="L10" s="1122"/>
      <c r="M10" s="1122"/>
      <c r="N10" s="1122"/>
    </row>
    <row r="12" spans="1:14" ht="15">
      <c r="C12" s="74"/>
      <c r="F12" s="75" t="s">
        <v>274</v>
      </c>
      <c r="G12" s="76">
        <v>2012</v>
      </c>
      <c r="H12" s="77"/>
    </row>
    <row r="14" spans="1:14">
      <c r="D14" s="78"/>
      <c r="E14" s="1125" t="s">
        <v>275</v>
      </c>
      <c r="F14" s="1126"/>
      <c r="G14" s="1126"/>
      <c r="H14" s="1127"/>
      <c r="J14" s="79"/>
      <c r="K14" s="80" t="s">
        <v>276</v>
      </c>
      <c r="L14" s="80"/>
      <c r="M14" s="81"/>
      <c r="N14" s="73"/>
    </row>
    <row r="15" spans="1:14" ht="25.5">
      <c r="A15" s="82" t="s">
        <v>277</v>
      </c>
      <c r="B15" s="83" t="s">
        <v>278</v>
      </c>
      <c r="C15" s="84" t="s">
        <v>279</v>
      </c>
      <c r="D15" s="82" t="s">
        <v>280</v>
      </c>
      <c r="E15" s="82" t="s">
        <v>281</v>
      </c>
      <c r="F15" s="83" t="s">
        <v>282</v>
      </c>
      <c r="G15" s="83" t="s">
        <v>283</v>
      </c>
      <c r="H15" s="82" t="s">
        <v>284</v>
      </c>
      <c r="I15" s="85"/>
      <c r="J15" s="86" t="s">
        <v>281</v>
      </c>
      <c r="K15" s="87" t="s">
        <v>282</v>
      </c>
      <c r="L15" s="87" t="s">
        <v>283</v>
      </c>
      <c r="M15" s="88" t="s">
        <v>284</v>
      </c>
      <c r="N15" s="82" t="s">
        <v>285</v>
      </c>
    </row>
    <row r="16" spans="1:14">
      <c r="A16" s="95">
        <v>12</v>
      </c>
      <c r="B16" s="95">
        <v>1611</v>
      </c>
      <c r="C16" s="100" t="s">
        <v>286</v>
      </c>
      <c r="D16" s="91"/>
      <c r="E16" s="47">
        <f>'App.2-B_Fixed Asset Con''ty 2011'!H16</f>
        <v>2644034.9700000002</v>
      </c>
      <c r="F16" s="47">
        <v>7887.6199999999953</v>
      </c>
      <c r="G16" s="47"/>
      <c r="H16" s="92">
        <f>E16+F16+G16</f>
        <v>2651922.5900000003</v>
      </c>
      <c r="I16" s="93"/>
      <c r="J16" s="116">
        <f>'App.2-B_Fixed Asset Con''ty 2011'!M16</f>
        <v>-1895394.76</v>
      </c>
      <c r="K16" s="116">
        <v>-229434.084</v>
      </c>
      <c r="L16" s="116"/>
      <c r="M16" s="92">
        <f>J16+K16+L16</f>
        <v>-2124828.844</v>
      </c>
      <c r="N16" s="94">
        <f>H16+M16</f>
        <v>527093.74600000028</v>
      </c>
    </row>
    <row r="17" spans="1:14">
      <c r="A17" s="95" t="s">
        <v>287</v>
      </c>
      <c r="B17" s="95">
        <v>1612</v>
      </c>
      <c r="C17" s="100" t="s">
        <v>288</v>
      </c>
      <c r="D17" s="91"/>
      <c r="E17" s="47">
        <f>'App.2-B_Fixed Asset Con''ty 2011'!H17</f>
        <v>0</v>
      </c>
      <c r="F17" s="47"/>
      <c r="G17" s="47"/>
      <c r="H17" s="92">
        <f>E17+F17+G17</f>
        <v>0</v>
      </c>
      <c r="I17" s="93"/>
      <c r="J17" s="116">
        <f>'App.2-B_Fixed Asset Con''ty 2011'!M17</f>
        <v>0</v>
      </c>
      <c r="K17" s="116"/>
      <c r="L17" s="116"/>
      <c r="M17" s="92">
        <f>J17+K17+L17</f>
        <v>0</v>
      </c>
      <c r="N17" s="94">
        <f>H17+M17</f>
        <v>0</v>
      </c>
    </row>
    <row r="18" spans="1:14">
      <c r="A18" s="95" t="s">
        <v>289</v>
      </c>
      <c r="B18" s="95">
        <v>1805</v>
      </c>
      <c r="C18" s="96" t="s">
        <v>163</v>
      </c>
      <c r="D18" s="91"/>
      <c r="E18" s="47">
        <f>'App.2-B_Fixed Asset Con''ty 2011'!H18</f>
        <v>857298.24</v>
      </c>
      <c r="F18" s="47">
        <v>1253.22</v>
      </c>
      <c r="G18" s="47"/>
      <c r="H18" s="92">
        <f>E18+F18+G18</f>
        <v>858551.46</v>
      </c>
      <c r="I18" s="93"/>
      <c r="J18" s="116">
        <f>'App.2-B_Fixed Asset Con''ty 2011'!M18</f>
        <v>0</v>
      </c>
      <c r="K18" s="116"/>
      <c r="L18" s="116"/>
      <c r="M18" s="92">
        <f>J18+K18+L18</f>
        <v>0</v>
      </c>
      <c r="N18" s="94">
        <f>H18+M18</f>
        <v>858551.46</v>
      </c>
    </row>
    <row r="19" spans="1:14">
      <c r="A19" s="95">
        <v>47</v>
      </c>
      <c r="B19" s="95">
        <v>1808</v>
      </c>
      <c r="C19" s="96" t="s">
        <v>162</v>
      </c>
      <c r="D19" s="91"/>
      <c r="E19" s="47">
        <f>'App.2-B_Fixed Asset Con''ty 2011'!H19</f>
        <v>9230592.6199999992</v>
      </c>
      <c r="F19" s="47"/>
      <c r="G19" s="47"/>
      <c r="H19" s="92">
        <f t="shared" ref="H19:H53" si="0">E19+F19+G19</f>
        <v>9230592.6199999992</v>
      </c>
      <c r="I19" s="93"/>
      <c r="J19" s="116">
        <f>'App.2-B_Fixed Asset Con''ty 2011'!M19</f>
        <v>-4281166.9800000004</v>
      </c>
      <c r="K19" s="116">
        <v>-183562.17645017616</v>
      </c>
      <c r="L19" s="116"/>
      <c r="M19" s="92">
        <f t="shared" ref="M19:M53" si="1">J19+K19+L19</f>
        <v>-4464729.1564501766</v>
      </c>
      <c r="N19" s="94">
        <f t="shared" ref="N19:N53" si="2">H19+M19</f>
        <v>4765863.4635498226</v>
      </c>
    </row>
    <row r="20" spans="1:14">
      <c r="A20" s="95">
        <v>47</v>
      </c>
      <c r="B20" s="95">
        <v>1808</v>
      </c>
      <c r="C20" s="96" t="s">
        <v>290</v>
      </c>
      <c r="D20" s="91"/>
      <c r="E20" s="47">
        <f>'App.2-B_Fixed Asset Con''ty 2011'!H20</f>
        <v>726879.69</v>
      </c>
      <c r="F20" s="47">
        <v>171884.86000000002</v>
      </c>
      <c r="G20" s="47"/>
      <c r="H20" s="92">
        <f t="shared" si="0"/>
        <v>898764.54999999993</v>
      </c>
      <c r="I20" s="93"/>
      <c r="J20" s="116">
        <f>'App.2-B_Fixed Asset Con''ty 2011'!M20</f>
        <v>-105743.23999999999</v>
      </c>
      <c r="K20" s="116">
        <v>-54188.13</v>
      </c>
      <c r="L20" s="116"/>
      <c r="M20" s="92">
        <f t="shared" si="1"/>
        <v>-159931.37</v>
      </c>
      <c r="N20" s="94">
        <f t="shared" si="2"/>
        <v>738833.17999999993</v>
      </c>
    </row>
    <row r="21" spans="1:14">
      <c r="A21" s="95">
        <v>47</v>
      </c>
      <c r="B21" s="95">
        <v>1815</v>
      </c>
      <c r="C21" s="96" t="s">
        <v>291</v>
      </c>
      <c r="D21" s="91"/>
      <c r="E21" s="47">
        <f>'App.2-B_Fixed Asset Con''ty 2011'!H21</f>
        <v>0</v>
      </c>
      <c r="F21" s="47"/>
      <c r="G21" s="47"/>
      <c r="H21" s="92">
        <f t="shared" si="0"/>
        <v>0</v>
      </c>
      <c r="I21" s="93"/>
      <c r="J21" s="116">
        <f>'App.2-B_Fixed Asset Con''ty 2011'!M21</f>
        <v>0</v>
      </c>
      <c r="K21" s="116"/>
      <c r="L21" s="116"/>
      <c r="M21" s="92">
        <f t="shared" si="1"/>
        <v>0</v>
      </c>
      <c r="N21" s="94">
        <f t="shared" si="2"/>
        <v>0</v>
      </c>
    </row>
    <row r="22" spans="1:14">
      <c r="A22" s="95">
        <v>47</v>
      </c>
      <c r="B22" s="95">
        <v>1820</v>
      </c>
      <c r="C22" s="100" t="s">
        <v>292</v>
      </c>
      <c r="D22" s="91"/>
      <c r="E22" s="47">
        <f>'App.2-B_Fixed Asset Con''ty 2011'!H22</f>
        <v>16461161.400000002</v>
      </c>
      <c r="F22" s="47">
        <v>1086544.29</v>
      </c>
      <c r="G22" s="47"/>
      <c r="H22" s="92">
        <f t="shared" si="0"/>
        <v>17547705.690000001</v>
      </c>
      <c r="I22" s="93"/>
      <c r="J22" s="116">
        <f>'App.2-B_Fixed Asset Con''ty 2011'!M22</f>
        <v>-10784866.24</v>
      </c>
      <c r="K22" s="116">
        <v>-441921.68714910385</v>
      </c>
      <c r="L22" s="116"/>
      <c r="M22" s="92">
        <f t="shared" si="1"/>
        <v>-11226787.927149104</v>
      </c>
      <c r="N22" s="94">
        <f t="shared" si="2"/>
        <v>6320917.7628508974</v>
      </c>
    </row>
    <row r="23" spans="1:14">
      <c r="A23" s="95">
        <v>47</v>
      </c>
      <c r="B23" s="95">
        <v>1825</v>
      </c>
      <c r="C23" s="96" t="s">
        <v>293</v>
      </c>
      <c r="D23" s="91"/>
      <c r="E23" s="47">
        <f>'App.2-B_Fixed Asset Con''ty 2011'!H23</f>
        <v>0</v>
      </c>
      <c r="F23" s="47"/>
      <c r="G23" s="47"/>
      <c r="H23" s="92">
        <f t="shared" si="0"/>
        <v>0</v>
      </c>
      <c r="I23" s="93"/>
      <c r="J23" s="116">
        <f>'App.2-B_Fixed Asset Con''ty 2011'!M23</f>
        <v>0</v>
      </c>
      <c r="K23" s="116"/>
      <c r="L23" s="116"/>
      <c r="M23" s="92">
        <f t="shared" si="1"/>
        <v>0</v>
      </c>
      <c r="N23" s="94">
        <f t="shared" si="2"/>
        <v>0</v>
      </c>
    </row>
    <row r="24" spans="1:14">
      <c r="A24" s="95">
        <v>47</v>
      </c>
      <c r="B24" s="95">
        <v>1830</v>
      </c>
      <c r="C24" s="96" t="s">
        <v>146</v>
      </c>
      <c r="D24" s="91"/>
      <c r="E24" s="47">
        <f>'App.2-B_Fixed Asset Con''ty 2011'!H24</f>
        <v>17990851.079999998</v>
      </c>
      <c r="F24" s="47">
        <v>1267128.7100000007</v>
      </c>
      <c r="G24" s="47"/>
      <c r="H24" s="92">
        <f t="shared" si="0"/>
        <v>19257979.789999999</v>
      </c>
      <c r="I24" s="93"/>
      <c r="J24" s="116">
        <f>'App.2-B_Fixed Asset Con''ty 2011'!M24</f>
        <v>-8443154.0099999998</v>
      </c>
      <c r="K24" s="116">
        <v>-622818.45006343047</v>
      </c>
      <c r="L24" s="116"/>
      <c r="M24" s="92">
        <f t="shared" si="1"/>
        <v>-9065972.4600634295</v>
      </c>
      <c r="N24" s="94">
        <f t="shared" si="2"/>
        <v>10192007.32993657</v>
      </c>
    </row>
    <row r="25" spans="1:14">
      <c r="A25" s="95">
        <v>47</v>
      </c>
      <c r="B25" s="95">
        <v>1835</v>
      </c>
      <c r="C25" s="96" t="s">
        <v>152</v>
      </c>
      <c r="D25" s="91"/>
      <c r="E25" s="47">
        <f>'App.2-B_Fixed Asset Con''ty 2011'!H25</f>
        <v>41702868.049999997</v>
      </c>
      <c r="F25" s="47">
        <v>322859.87</v>
      </c>
      <c r="G25" s="47"/>
      <c r="H25" s="92">
        <f t="shared" si="0"/>
        <v>42025727.919999994</v>
      </c>
      <c r="I25" s="93"/>
      <c r="J25" s="116">
        <f>'App.2-B_Fixed Asset Con''ty 2011'!M25</f>
        <v>-27101912.109999999</v>
      </c>
      <c r="K25" s="116">
        <v>-1211724.3708703134</v>
      </c>
      <c r="L25" s="116"/>
      <c r="M25" s="92">
        <f t="shared" si="1"/>
        <v>-28313636.480870314</v>
      </c>
      <c r="N25" s="94">
        <f t="shared" si="2"/>
        <v>13712091.43912968</v>
      </c>
    </row>
    <row r="26" spans="1:14">
      <c r="A26" s="95">
        <v>47</v>
      </c>
      <c r="B26" s="95">
        <v>1840</v>
      </c>
      <c r="C26" s="96" t="s">
        <v>294</v>
      </c>
      <c r="D26" s="91"/>
      <c r="E26" s="47">
        <f>'App.2-B_Fixed Asset Con''ty 2011'!H26</f>
        <v>19957117.489999998</v>
      </c>
      <c r="F26" s="47">
        <v>895602.46999999974</v>
      </c>
      <c r="G26" s="47"/>
      <c r="H26" s="92">
        <f t="shared" si="0"/>
        <v>20852719.959999997</v>
      </c>
      <c r="I26" s="93"/>
      <c r="J26" s="116">
        <f>'App.2-B_Fixed Asset Con''ty 2011'!M26</f>
        <v>-11505872.65</v>
      </c>
      <c r="K26" s="116">
        <v>-670416.66424324119</v>
      </c>
      <c r="L26" s="116"/>
      <c r="M26" s="92">
        <f t="shared" si="1"/>
        <v>-12176289.314243242</v>
      </c>
      <c r="N26" s="94">
        <f t="shared" si="2"/>
        <v>8676430.645756755</v>
      </c>
    </row>
    <row r="27" spans="1:14">
      <c r="A27" s="95">
        <v>47</v>
      </c>
      <c r="B27" s="95">
        <v>1845</v>
      </c>
      <c r="C27" s="96" t="s">
        <v>295</v>
      </c>
      <c r="D27" s="91"/>
      <c r="E27" s="47">
        <f>'App.2-B_Fixed Asset Con''ty 2011'!H27</f>
        <v>20666102.610000003</v>
      </c>
      <c r="F27" s="47">
        <v>604449.28000000003</v>
      </c>
      <c r="G27" s="47"/>
      <c r="H27" s="92">
        <f t="shared" si="0"/>
        <v>21270551.890000004</v>
      </c>
      <c r="I27" s="93"/>
      <c r="J27" s="116">
        <f>'App.2-B_Fixed Asset Con''ty 2011'!M27</f>
        <v>-10875771.779999999</v>
      </c>
      <c r="K27" s="116">
        <v>-786602.65907303477</v>
      </c>
      <c r="L27" s="116"/>
      <c r="M27" s="92">
        <f t="shared" si="1"/>
        <v>-11662374.439073034</v>
      </c>
      <c r="N27" s="94">
        <f t="shared" si="2"/>
        <v>9608177.4509269707</v>
      </c>
    </row>
    <row r="28" spans="1:14">
      <c r="A28" s="95">
        <v>47</v>
      </c>
      <c r="B28" s="95">
        <v>1850</v>
      </c>
      <c r="C28" s="96" t="s">
        <v>154</v>
      </c>
      <c r="D28" s="91"/>
      <c r="E28" s="47">
        <f>'App.2-B_Fixed Asset Con''ty 2011'!H28</f>
        <v>27928855.109999992</v>
      </c>
      <c r="F28" s="47">
        <v>1464764.8799999994</v>
      </c>
      <c r="G28" s="47"/>
      <c r="H28" s="92">
        <f t="shared" si="0"/>
        <v>29393619.989999991</v>
      </c>
      <c r="I28" s="93"/>
      <c r="J28" s="116">
        <f>'App.2-B_Fixed Asset Con''ty 2011'!M28</f>
        <v>-17105712.43</v>
      </c>
      <c r="K28" s="116">
        <v>-851131.3182846118</v>
      </c>
      <c r="L28" s="116"/>
      <c r="M28" s="92">
        <f t="shared" si="1"/>
        <v>-17956843.748284612</v>
      </c>
      <c r="N28" s="94">
        <f t="shared" si="2"/>
        <v>11436776.241715379</v>
      </c>
    </row>
    <row r="29" spans="1:14">
      <c r="A29" s="95">
        <v>47</v>
      </c>
      <c r="B29" s="95">
        <v>1855</v>
      </c>
      <c r="C29" s="96" t="s">
        <v>155</v>
      </c>
      <c r="D29" s="91"/>
      <c r="E29" s="47">
        <f>'App.2-B_Fixed Asset Con''ty 2011'!H29</f>
        <v>10971050.950000001</v>
      </c>
      <c r="F29" s="47">
        <v>1371878.8499999996</v>
      </c>
      <c r="G29" s="47"/>
      <c r="H29" s="92">
        <f t="shared" si="0"/>
        <v>12342929.800000001</v>
      </c>
      <c r="I29" s="93"/>
      <c r="J29" s="116">
        <f>'App.2-B_Fixed Asset Con''ty 2011'!M29</f>
        <v>-6127309.3399999989</v>
      </c>
      <c r="K29" s="116">
        <v>-373152.78870880837</v>
      </c>
      <c r="L29" s="116"/>
      <c r="M29" s="92">
        <f t="shared" si="1"/>
        <v>-6500462.1287088078</v>
      </c>
      <c r="N29" s="94">
        <f t="shared" si="2"/>
        <v>5842467.671291193</v>
      </c>
    </row>
    <row r="30" spans="1:14">
      <c r="A30" s="95">
        <v>47</v>
      </c>
      <c r="B30" s="95">
        <v>1860</v>
      </c>
      <c r="C30" s="96" t="s">
        <v>147</v>
      </c>
      <c r="D30" s="91"/>
      <c r="E30" s="47">
        <f>'App.2-B_Fixed Asset Con''ty 2011'!H30</f>
        <v>8829005.1099999994</v>
      </c>
      <c r="F30" s="47">
        <v>107253.98999999999</v>
      </c>
      <c r="G30" s="47"/>
      <c r="H30" s="92">
        <f t="shared" si="0"/>
        <v>8936259.0999999996</v>
      </c>
      <c r="I30" s="93"/>
      <c r="J30" s="116">
        <f>'App.2-B_Fixed Asset Con''ty 2011'!M30</f>
        <v>-6593129.1299999999</v>
      </c>
      <c r="K30" s="116">
        <v>-224692.84628571421</v>
      </c>
      <c r="L30" s="116"/>
      <c r="M30" s="92">
        <f t="shared" si="1"/>
        <v>-6817821.9762857137</v>
      </c>
      <c r="N30" s="94">
        <f t="shared" si="2"/>
        <v>2118437.1237142859</v>
      </c>
    </row>
    <row r="31" spans="1:14">
      <c r="A31" s="95">
        <v>47</v>
      </c>
      <c r="B31" s="95">
        <v>1860</v>
      </c>
      <c r="C31" s="96" t="s">
        <v>296</v>
      </c>
      <c r="D31" s="91"/>
      <c r="E31" s="47">
        <f>'App.2-B_Fixed Asset Con''ty 2011'!H31</f>
        <v>0</v>
      </c>
      <c r="F31" s="47"/>
      <c r="G31" s="47"/>
      <c r="H31" s="92">
        <f t="shared" si="0"/>
        <v>0</v>
      </c>
      <c r="I31" s="93"/>
      <c r="J31" s="116">
        <f>'App.2-B_Fixed Asset Con''ty 2011'!M31</f>
        <v>0</v>
      </c>
      <c r="K31" s="116"/>
      <c r="L31" s="116"/>
      <c r="M31" s="92">
        <f t="shared" si="1"/>
        <v>0</v>
      </c>
      <c r="N31" s="94">
        <f t="shared" si="2"/>
        <v>0</v>
      </c>
    </row>
    <row r="32" spans="1:14">
      <c r="A32" s="95" t="s">
        <v>289</v>
      </c>
      <c r="B32" s="95">
        <v>1905</v>
      </c>
      <c r="C32" s="96" t="s">
        <v>163</v>
      </c>
      <c r="D32" s="91"/>
      <c r="E32" s="47">
        <f>'App.2-B_Fixed Asset Con''ty 2011'!H32</f>
        <v>0</v>
      </c>
      <c r="F32" s="47"/>
      <c r="G32" s="47"/>
      <c r="H32" s="92">
        <f t="shared" si="0"/>
        <v>0</v>
      </c>
      <c r="I32" s="93"/>
      <c r="J32" s="116">
        <f>'App.2-B_Fixed Asset Con''ty 2011'!M32</f>
        <v>0</v>
      </c>
      <c r="K32" s="116"/>
      <c r="L32" s="116"/>
      <c r="M32" s="92">
        <f t="shared" si="1"/>
        <v>0</v>
      </c>
      <c r="N32" s="94">
        <f t="shared" si="2"/>
        <v>0</v>
      </c>
    </row>
    <row r="33" spans="1:14">
      <c r="A33" s="95">
        <v>47</v>
      </c>
      <c r="B33" s="95">
        <v>1908</v>
      </c>
      <c r="C33" s="96" t="s">
        <v>297</v>
      </c>
      <c r="D33" s="91"/>
      <c r="E33" s="47">
        <f>'App.2-B_Fixed Asset Con''ty 2011'!H33</f>
        <v>0</v>
      </c>
      <c r="F33" s="47"/>
      <c r="G33" s="47"/>
      <c r="H33" s="92">
        <f t="shared" si="0"/>
        <v>0</v>
      </c>
      <c r="I33" s="93"/>
      <c r="J33" s="116">
        <f>'App.2-B_Fixed Asset Con''ty 2011'!M33</f>
        <v>0</v>
      </c>
      <c r="K33" s="116"/>
      <c r="L33" s="116"/>
      <c r="M33" s="92">
        <f t="shared" si="1"/>
        <v>0</v>
      </c>
      <c r="N33" s="94">
        <f t="shared" si="2"/>
        <v>0</v>
      </c>
    </row>
    <row r="34" spans="1:14">
      <c r="A34" s="95">
        <v>13</v>
      </c>
      <c r="B34" s="95">
        <v>1910</v>
      </c>
      <c r="C34" s="96" t="s">
        <v>298</v>
      </c>
      <c r="D34" s="91"/>
      <c r="E34" s="47">
        <f>'App.2-B_Fixed Asset Con''ty 2011'!H34</f>
        <v>0</v>
      </c>
      <c r="F34" s="47"/>
      <c r="G34" s="47"/>
      <c r="H34" s="92">
        <f t="shared" si="0"/>
        <v>0</v>
      </c>
      <c r="I34" s="93"/>
      <c r="J34" s="116">
        <f>'App.2-B_Fixed Asset Con''ty 2011'!M34</f>
        <v>0</v>
      </c>
      <c r="K34" s="116"/>
      <c r="L34" s="116"/>
      <c r="M34" s="92">
        <f t="shared" si="1"/>
        <v>0</v>
      </c>
      <c r="N34" s="94">
        <f t="shared" si="2"/>
        <v>0</v>
      </c>
    </row>
    <row r="35" spans="1:14">
      <c r="A35" s="95">
        <v>8</v>
      </c>
      <c r="B35" s="95">
        <v>1915</v>
      </c>
      <c r="C35" s="96" t="s">
        <v>299</v>
      </c>
      <c r="D35" s="91"/>
      <c r="E35" s="47">
        <f>'App.2-B_Fixed Asset Con''ty 2011'!H35</f>
        <v>44314.559999999998</v>
      </c>
      <c r="F35" s="47"/>
      <c r="G35" s="47"/>
      <c r="H35" s="92">
        <f t="shared" si="0"/>
        <v>44314.559999999998</v>
      </c>
      <c r="I35" s="93"/>
      <c r="J35" s="116">
        <f>'App.2-B_Fixed Asset Con''ty 2011'!M35</f>
        <v>-40775.05999999999</v>
      </c>
      <c r="K35" s="116">
        <v>-938.51849999999945</v>
      </c>
      <c r="L35" s="116"/>
      <c r="M35" s="92">
        <f t="shared" si="1"/>
        <v>-41713.578499999989</v>
      </c>
      <c r="N35" s="94">
        <f t="shared" si="2"/>
        <v>2600.981500000009</v>
      </c>
    </row>
    <row r="36" spans="1:14">
      <c r="A36" s="95">
        <v>8</v>
      </c>
      <c r="B36" s="95">
        <v>1915</v>
      </c>
      <c r="C36" s="96" t="s">
        <v>300</v>
      </c>
      <c r="D36" s="91"/>
      <c r="E36" s="47">
        <f>'App.2-B_Fixed Asset Con''ty 2011'!H36</f>
        <v>0</v>
      </c>
      <c r="F36" s="47"/>
      <c r="G36" s="47"/>
      <c r="H36" s="92">
        <f t="shared" si="0"/>
        <v>0</v>
      </c>
      <c r="I36" s="93"/>
      <c r="J36" s="116">
        <f>'App.2-B_Fixed Asset Con''ty 2011'!M36</f>
        <v>0</v>
      </c>
      <c r="K36" s="116"/>
      <c r="L36" s="116"/>
      <c r="M36" s="92">
        <f t="shared" si="1"/>
        <v>0</v>
      </c>
      <c r="N36" s="94">
        <f t="shared" si="2"/>
        <v>0</v>
      </c>
    </row>
    <row r="37" spans="1:14">
      <c r="A37" s="95">
        <v>50</v>
      </c>
      <c r="B37" s="95">
        <v>1920</v>
      </c>
      <c r="C37" s="96" t="s">
        <v>301</v>
      </c>
      <c r="D37" s="91"/>
      <c r="E37" s="47">
        <f>'App.2-B_Fixed Asset Con''ty 2011'!H37</f>
        <v>153986.72</v>
      </c>
      <c r="F37" s="47">
        <v>9001</v>
      </c>
      <c r="G37" s="47"/>
      <c r="H37" s="92">
        <f t="shared" si="0"/>
        <v>162987.72</v>
      </c>
      <c r="I37" s="93"/>
      <c r="J37" s="116">
        <f>'App.2-B_Fixed Asset Con''ty 2011'!M37</f>
        <v>-15398.67</v>
      </c>
      <c r="K37" s="116">
        <v>-31697.444</v>
      </c>
      <c r="L37" s="116"/>
      <c r="M37" s="92">
        <f t="shared" si="1"/>
        <v>-47096.114000000001</v>
      </c>
      <c r="N37" s="94">
        <f t="shared" si="2"/>
        <v>115891.606</v>
      </c>
    </row>
    <row r="38" spans="1:14">
      <c r="A38" s="95">
        <v>45</v>
      </c>
      <c r="B38" s="99">
        <v>1920</v>
      </c>
      <c r="C38" s="100" t="s">
        <v>302</v>
      </c>
      <c r="D38" s="91"/>
      <c r="E38" s="47">
        <f>'App.2-B_Fixed Asset Con''ty 2011'!H38</f>
        <v>0</v>
      </c>
      <c r="F38" s="47"/>
      <c r="G38" s="47"/>
      <c r="H38" s="92">
        <f t="shared" si="0"/>
        <v>0</v>
      </c>
      <c r="I38" s="93"/>
      <c r="J38" s="116">
        <f>'App.2-B_Fixed Asset Con''ty 2011'!M38</f>
        <v>0</v>
      </c>
      <c r="K38" s="116"/>
      <c r="L38" s="116"/>
      <c r="M38" s="92">
        <f t="shared" si="1"/>
        <v>0</v>
      </c>
      <c r="N38" s="94">
        <f t="shared" si="2"/>
        <v>0</v>
      </c>
    </row>
    <row r="39" spans="1:14">
      <c r="A39" s="95">
        <v>45.1</v>
      </c>
      <c r="B39" s="99">
        <v>1920</v>
      </c>
      <c r="C39" s="100" t="s">
        <v>303</v>
      </c>
      <c r="D39" s="91"/>
      <c r="E39" s="47">
        <f>'App.2-B_Fixed Asset Con''ty 2011'!H39</f>
        <v>0</v>
      </c>
      <c r="F39" s="47"/>
      <c r="G39" s="47"/>
      <c r="H39" s="92">
        <f t="shared" si="0"/>
        <v>0</v>
      </c>
      <c r="I39" s="93"/>
      <c r="J39" s="116">
        <f>'App.2-B_Fixed Asset Con''ty 2011'!M39</f>
        <v>0</v>
      </c>
      <c r="K39" s="116"/>
      <c r="L39" s="116"/>
      <c r="M39" s="92">
        <f t="shared" si="1"/>
        <v>0</v>
      </c>
      <c r="N39" s="94">
        <f t="shared" si="2"/>
        <v>0</v>
      </c>
    </row>
    <row r="40" spans="1:14">
      <c r="A40" s="95">
        <v>10</v>
      </c>
      <c r="B40" s="95">
        <v>1930</v>
      </c>
      <c r="C40" s="96" t="s">
        <v>304</v>
      </c>
      <c r="D40" s="91"/>
      <c r="E40" s="47">
        <f>'App.2-B_Fixed Asset Con''ty 2011'!H40</f>
        <v>5163078.7500000009</v>
      </c>
      <c r="F40" s="47">
        <v>205905.27</v>
      </c>
      <c r="G40" s="47">
        <v>-110346.26000000001</v>
      </c>
      <c r="H40" s="92">
        <f t="shared" si="0"/>
        <v>5258637.7600000007</v>
      </c>
      <c r="I40" s="93"/>
      <c r="J40" s="116">
        <f>'App.2-B_Fixed Asset Con''ty 2011'!M40</f>
        <v>-3531955.71</v>
      </c>
      <c r="K40" s="116">
        <v>-433380.58372023818</v>
      </c>
      <c r="L40" s="116">
        <v>100831.125</v>
      </c>
      <c r="M40" s="92">
        <f t="shared" si="1"/>
        <v>-3864505.1687202379</v>
      </c>
      <c r="N40" s="94">
        <f t="shared" si="2"/>
        <v>1394132.5912797628</v>
      </c>
    </row>
    <row r="41" spans="1:14">
      <c r="A41" s="95">
        <v>8</v>
      </c>
      <c r="B41" s="95">
        <v>1935</v>
      </c>
      <c r="C41" s="96" t="s">
        <v>305</v>
      </c>
      <c r="D41" s="91"/>
      <c r="E41" s="47">
        <f>'App.2-B_Fixed Asset Con''ty 2011'!H41</f>
        <v>0</v>
      </c>
      <c r="F41" s="47"/>
      <c r="G41" s="47"/>
      <c r="H41" s="92">
        <f t="shared" si="0"/>
        <v>0</v>
      </c>
      <c r="I41" s="93"/>
      <c r="J41" s="116">
        <f>'App.2-B_Fixed Asset Con''ty 2011'!M41</f>
        <v>0</v>
      </c>
      <c r="K41" s="116"/>
      <c r="L41" s="116"/>
      <c r="M41" s="92">
        <f t="shared" si="1"/>
        <v>0</v>
      </c>
      <c r="N41" s="94">
        <f t="shared" si="2"/>
        <v>0</v>
      </c>
    </row>
    <row r="42" spans="1:14">
      <c r="A42" s="95">
        <v>8</v>
      </c>
      <c r="B42" s="95">
        <v>1940</v>
      </c>
      <c r="C42" s="96" t="s">
        <v>185</v>
      </c>
      <c r="D42" s="91"/>
      <c r="E42" s="47">
        <f>'App.2-B_Fixed Asset Con''ty 2011'!H42</f>
        <v>1819609.4100000001</v>
      </c>
      <c r="F42" s="47">
        <v>141886.66</v>
      </c>
      <c r="G42" s="47"/>
      <c r="H42" s="92">
        <f t="shared" si="0"/>
        <v>1961496.07</v>
      </c>
      <c r="I42" s="93"/>
      <c r="J42" s="116">
        <f>'App.2-B_Fixed Asset Con''ty 2011'!M42</f>
        <v>-1378377.58</v>
      </c>
      <c r="K42" s="116">
        <v>-88913.247999999992</v>
      </c>
      <c r="L42" s="116"/>
      <c r="M42" s="92">
        <f t="shared" si="1"/>
        <v>-1467290.828</v>
      </c>
      <c r="N42" s="94">
        <f t="shared" si="2"/>
        <v>494205.24200000009</v>
      </c>
    </row>
    <row r="43" spans="1:14">
      <c r="A43" s="95">
        <v>8</v>
      </c>
      <c r="B43" s="95">
        <v>1945</v>
      </c>
      <c r="C43" s="96" t="s">
        <v>306</v>
      </c>
      <c r="D43" s="91"/>
      <c r="E43" s="47">
        <f>'App.2-B_Fixed Asset Con''ty 2011'!H43</f>
        <v>0</v>
      </c>
      <c r="F43" s="47"/>
      <c r="G43" s="47"/>
      <c r="H43" s="92">
        <f t="shared" si="0"/>
        <v>0</v>
      </c>
      <c r="I43" s="93"/>
      <c r="J43" s="116">
        <f>'App.2-B_Fixed Asset Con''ty 2011'!M43</f>
        <v>0</v>
      </c>
      <c r="K43" s="116"/>
      <c r="L43" s="116"/>
      <c r="M43" s="92">
        <f t="shared" si="1"/>
        <v>0</v>
      </c>
      <c r="N43" s="94">
        <f t="shared" si="2"/>
        <v>0</v>
      </c>
    </row>
    <row r="44" spans="1:14">
      <c r="A44" s="95">
        <v>8</v>
      </c>
      <c r="B44" s="95">
        <v>1950</v>
      </c>
      <c r="C44" s="96" t="s">
        <v>307</v>
      </c>
      <c r="D44" s="91"/>
      <c r="E44" s="47">
        <f>'App.2-B_Fixed Asset Con''ty 2011'!H44</f>
        <v>0</v>
      </c>
      <c r="F44" s="47"/>
      <c r="G44" s="47"/>
      <c r="H44" s="92">
        <f t="shared" si="0"/>
        <v>0</v>
      </c>
      <c r="I44" s="93"/>
      <c r="J44" s="116">
        <f>'App.2-B_Fixed Asset Con''ty 2011'!M44</f>
        <v>0</v>
      </c>
      <c r="K44" s="116"/>
      <c r="L44" s="116"/>
      <c r="M44" s="92">
        <f t="shared" si="1"/>
        <v>0</v>
      </c>
      <c r="N44" s="94">
        <f t="shared" si="2"/>
        <v>0</v>
      </c>
    </row>
    <row r="45" spans="1:14">
      <c r="A45" s="95">
        <v>8</v>
      </c>
      <c r="B45" s="95">
        <v>1955</v>
      </c>
      <c r="C45" s="96" t="s">
        <v>308</v>
      </c>
      <c r="D45" s="91"/>
      <c r="E45" s="47">
        <f>'App.2-B_Fixed Asset Con''ty 2011'!H45</f>
        <v>2220586.86</v>
      </c>
      <c r="F45" s="47">
        <v>41872.11</v>
      </c>
      <c r="G45" s="47"/>
      <c r="H45" s="92">
        <f t="shared" si="0"/>
        <v>2262458.9699999997</v>
      </c>
      <c r="I45" s="93"/>
      <c r="J45" s="116">
        <f>'App.2-B_Fixed Asset Con''ty 2011'!M45</f>
        <v>-1227772.21</v>
      </c>
      <c r="K45" s="116">
        <v>-80040.861199999985</v>
      </c>
      <c r="L45" s="116"/>
      <c r="M45" s="92">
        <f t="shared" si="1"/>
        <v>-1307813.0711999999</v>
      </c>
      <c r="N45" s="94">
        <f t="shared" si="2"/>
        <v>954645.89879999985</v>
      </c>
    </row>
    <row r="46" spans="1:14">
      <c r="A46" s="99">
        <v>8</v>
      </c>
      <c r="B46" s="99">
        <v>1955</v>
      </c>
      <c r="C46" s="100" t="s">
        <v>309</v>
      </c>
      <c r="D46" s="91"/>
      <c r="E46" s="47">
        <f>'App.2-B_Fixed Asset Con''ty 2011'!H46</f>
        <v>0</v>
      </c>
      <c r="F46" s="47"/>
      <c r="G46" s="47"/>
      <c r="H46" s="92">
        <f t="shared" si="0"/>
        <v>0</v>
      </c>
      <c r="I46" s="93"/>
      <c r="J46" s="116">
        <f>'App.2-B_Fixed Asset Con''ty 2011'!M46</f>
        <v>0</v>
      </c>
      <c r="K46" s="116"/>
      <c r="L46" s="116"/>
      <c r="M46" s="92">
        <f t="shared" si="1"/>
        <v>0</v>
      </c>
      <c r="N46" s="94">
        <f t="shared" si="2"/>
        <v>0</v>
      </c>
    </row>
    <row r="47" spans="1:14">
      <c r="A47" s="99">
        <v>8</v>
      </c>
      <c r="B47" s="99">
        <v>1960</v>
      </c>
      <c r="C47" s="100" t="s">
        <v>310</v>
      </c>
      <c r="D47" s="91"/>
      <c r="E47" s="47">
        <f>'App.2-B_Fixed Asset Con''ty 2011'!H47</f>
        <v>0</v>
      </c>
      <c r="F47" s="47"/>
      <c r="G47" s="47"/>
      <c r="H47" s="92">
        <f t="shared" si="0"/>
        <v>0</v>
      </c>
      <c r="I47" s="93"/>
      <c r="J47" s="116">
        <f>'App.2-B_Fixed Asset Con''ty 2011'!M47</f>
        <v>0</v>
      </c>
      <c r="K47" s="116"/>
      <c r="L47" s="116"/>
      <c r="M47" s="92">
        <f t="shared" si="1"/>
        <v>0</v>
      </c>
      <c r="N47" s="94">
        <f t="shared" si="2"/>
        <v>0</v>
      </c>
    </row>
    <row r="48" spans="1:14">
      <c r="A48" s="95">
        <v>47</v>
      </c>
      <c r="B48" s="95">
        <v>1975</v>
      </c>
      <c r="C48" s="96" t="s">
        <v>311</v>
      </c>
      <c r="D48" s="91"/>
      <c r="E48" s="47">
        <f>'App.2-B_Fixed Asset Con''ty 2011'!H48</f>
        <v>0</v>
      </c>
      <c r="F48" s="47"/>
      <c r="G48" s="47"/>
      <c r="H48" s="92">
        <f t="shared" si="0"/>
        <v>0</v>
      </c>
      <c r="I48" s="93"/>
      <c r="J48" s="116">
        <f>'App.2-B_Fixed Asset Con''ty 2011'!M48</f>
        <v>0</v>
      </c>
      <c r="K48" s="116"/>
      <c r="L48" s="116"/>
      <c r="M48" s="92">
        <f t="shared" si="1"/>
        <v>0</v>
      </c>
      <c r="N48" s="94">
        <f t="shared" si="2"/>
        <v>0</v>
      </c>
    </row>
    <row r="49" spans="1:14">
      <c r="A49" s="95">
        <v>47</v>
      </c>
      <c r="B49" s="95">
        <v>1980</v>
      </c>
      <c r="C49" s="96" t="s">
        <v>202</v>
      </c>
      <c r="D49" s="91"/>
      <c r="E49" s="47">
        <f>'App.2-B_Fixed Asset Con''ty 2011'!H49</f>
        <v>1572708.13</v>
      </c>
      <c r="F49" s="47">
        <v>820.52000000000407</v>
      </c>
      <c r="G49" s="47"/>
      <c r="H49" s="92">
        <f t="shared" si="0"/>
        <v>1573528.65</v>
      </c>
      <c r="I49" s="93"/>
      <c r="J49" s="116">
        <f>'App.2-B_Fixed Asset Con''ty 2011'!M49</f>
        <v>-1219258.49</v>
      </c>
      <c r="K49" s="116">
        <v>-55371.203333333324</v>
      </c>
      <c r="L49" s="116"/>
      <c r="M49" s="92">
        <f t="shared" si="1"/>
        <v>-1274629.6933333334</v>
      </c>
      <c r="N49" s="94">
        <f t="shared" si="2"/>
        <v>298898.95666666655</v>
      </c>
    </row>
    <row r="50" spans="1:14">
      <c r="A50" s="95">
        <v>47</v>
      </c>
      <c r="B50" s="95">
        <v>1985</v>
      </c>
      <c r="C50" s="96" t="s">
        <v>312</v>
      </c>
      <c r="D50" s="91"/>
      <c r="E50" s="47">
        <f>'App.2-B_Fixed Asset Con''ty 2011'!H50</f>
        <v>42116.86</v>
      </c>
      <c r="F50" s="47"/>
      <c r="G50" s="47"/>
      <c r="H50" s="92">
        <f t="shared" si="0"/>
        <v>42116.86</v>
      </c>
      <c r="I50" s="93"/>
      <c r="J50" s="116">
        <f>'App.2-B_Fixed Asset Con''ty 2011'!M50</f>
        <v>-42116.86</v>
      </c>
      <c r="K50" s="116"/>
      <c r="L50" s="116"/>
      <c r="M50" s="92">
        <f t="shared" si="1"/>
        <v>-42116.86</v>
      </c>
      <c r="N50" s="94">
        <f t="shared" si="2"/>
        <v>0</v>
      </c>
    </row>
    <row r="51" spans="1:14">
      <c r="A51" s="95">
        <v>47</v>
      </c>
      <c r="B51" s="95">
        <v>1995</v>
      </c>
      <c r="C51" s="96" t="s">
        <v>313</v>
      </c>
      <c r="D51" s="91"/>
      <c r="E51" s="47">
        <f>'App.2-B_Fixed Asset Con''ty 2011'!H51</f>
        <v>-14578300.729999999</v>
      </c>
      <c r="F51" s="47">
        <v>-730784.28000000026</v>
      </c>
      <c r="G51" s="47"/>
      <c r="H51" s="92">
        <f t="shared" si="0"/>
        <v>-15309085.009999998</v>
      </c>
      <c r="I51" s="93"/>
      <c r="J51" s="116">
        <f>'App.2-B_Fixed Asset Con''ty 2011'!M51</f>
        <v>3405663.5199999996</v>
      </c>
      <c r="K51" s="116">
        <v>597747.70799999998</v>
      </c>
      <c r="L51" s="116"/>
      <c r="M51" s="92">
        <f t="shared" si="1"/>
        <v>4003411.2279999997</v>
      </c>
      <c r="N51" s="94">
        <f t="shared" si="2"/>
        <v>-11305673.781999998</v>
      </c>
    </row>
    <row r="52" spans="1:14">
      <c r="A52" s="89"/>
      <c r="B52" s="89">
        <v>1330</v>
      </c>
      <c r="C52" s="90" t="s">
        <v>322</v>
      </c>
      <c r="D52" s="91"/>
      <c r="E52" s="47">
        <f>'App.2-B_Fixed Asset Con''ty 2011'!H52</f>
        <v>1127820</v>
      </c>
      <c r="F52" s="47"/>
      <c r="G52" s="47"/>
      <c r="H52" s="92">
        <f t="shared" si="0"/>
        <v>1127820</v>
      </c>
      <c r="I52" s="103"/>
      <c r="J52" s="47">
        <f>'App.2-B_Fixed Asset Con''ty 2011'!M52</f>
        <v>0</v>
      </c>
      <c r="K52" s="47"/>
      <c r="L52" s="47"/>
      <c r="M52" s="92">
        <f t="shared" si="1"/>
        <v>0</v>
      </c>
      <c r="N52" s="94">
        <f t="shared" si="2"/>
        <v>1127820</v>
      </c>
    </row>
    <row r="53" spans="1:14">
      <c r="A53" s="101"/>
      <c r="B53" s="101">
        <v>2055</v>
      </c>
      <c r="C53" s="102" t="s">
        <v>314</v>
      </c>
      <c r="D53" s="91"/>
      <c r="E53" s="47">
        <f>'App.2-B_Fixed Asset Con''ty 2011'!H53</f>
        <v>430858.15</v>
      </c>
      <c r="F53" s="47">
        <v>450893.8</v>
      </c>
      <c r="G53" s="47">
        <v>-337127.39000000007</v>
      </c>
      <c r="H53" s="92">
        <f t="shared" si="0"/>
        <v>544624.55999999982</v>
      </c>
      <c r="I53" s="103"/>
      <c r="J53" s="47">
        <f>'App.2-B_Fixed Asset Con''ty 2011'!M53</f>
        <v>0</v>
      </c>
      <c r="K53" s="47"/>
      <c r="L53" s="47"/>
      <c r="M53" s="92">
        <f t="shared" si="1"/>
        <v>0</v>
      </c>
      <c r="N53" s="94">
        <f t="shared" si="2"/>
        <v>544624.55999999982</v>
      </c>
    </row>
    <row r="54" spans="1:14">
      <c r="A54" s="101"/>
      <c r="B54" s="101"/>
      <c r="C54" s="104"/>
      <c r="D54" s="91"/>
      <c r="E54" s="47">
        <f>'App.2-B_Fixed Asset Con''ty 2011'!H54</f>
        <v>0</v>
      </c>
      <c r="F54" s="47"/>
      <c r="G54" s="47"/>
      <c r="H54" s="94"/>
      <c r="I54" s="103"/>
      <c r="J54" s="47">
        <f>'App.2-B_Fixed Asset Con''ty 2011'!M54</f>
        <v>0</v>
      </c>
      <c r="K54" s="47"/>
      <c r="L54" s="47"/>
      <c r="M54" s="94"/>
      <c r="N54" s="94"/>
    </row>
    <row r="55" spans="1:14">
      <c r="A55" s="1129" t="s">
        <v>323</v>
      </c>
      <c r="B55" s="1130"/>
      <c r="C55" s="1131"/>
      <c r="D55" s="105"/>
      <c r="E55" s="106">
        <f>SUM(E16:E54)</f>
        <v>175962596.03000003</v>
      </c>
      <c r="F55" s="106">
        <f>SUM(F16:F54)</f>
        <v>7421103.1199999982</v>
      </c>
      <c r="G55" s="106">
        <f>SUM(G16:G54)</f>
        <v>-447473.65000000008</v>
      </c>
      <c r="H55" s="106">
        <f>SUM(H16:H54)</f>
        <v>182936225.5</v>
      </c>
      <c r="I55" s="106"/>
      <c r="J55" s="106">
        <f t="shared" ref="J55:N55" si="3">SUM(J16:J53)</f>
        <v>-108870023.72999997</v>
      </c>
      <c r="K55" s="106">
        <f t="shared" si="3"/>
        <v>-5742239.3258820055</v>
      </c>
      <c r="L55" s="106">
        <f t="shared" si="3"/>
        <v>100831.125</v>
      </c>
      <c r="M55" s="106">
        <f t="shared" si="3"/>
        <v>-114511431.93088198</v>
      </c>
      <c r="N55" s="106">
        <f t="shared" si="3"/>
        <v>68424793.569117993</v>
      </c>
    </row>
    <row r="56" spans="1:14">
      <c r="A56" s="101">
        <v>12</v>
      </c>
      <c r="B56" s="101">
        <v>1611</v>
      </c>
      <c r="C56" s="102" t="s">
        <v>148</v>
      </c>
      <c r="D56" s="91"/>
      <c r="E56" s="47">
        <f>'App.2-B_Fixed Asset Con''ty 2011'!H56</f>
        <v>-129738.68479200001</v>
      </c>
      <c r="F56" s="47"/>
      <c r="G56" s="47"/>
      <c r="H56" s="92">
        <f t="shared" ref="H56" si="4">E56+F56+G56</f>
        <v>-129738.68479200001</v>
      </c>
      <c r="I56" s="103"/>
      <c r="J56" s="47">
        <f>'App.2-B_Fixed Asset Con''ty 2011'!M56</f>
        <v>38333.149999999994</v>
      </c>
      <c r="K56" s="47">
        <f>25947.74</f>
        <v>25947.74</v>
      </c>
      <c r="L56" s="47"/>
      <c r="M56" s="92">
        <f t="shared" ref="M56" si="5">J56+K56+L56</f>
        <v>64280.89</v>
      </c>
      <c r="N56" s="94">
        <f t="shared" ref="N56" si="6">H56+M56</f>
        <v>-65457.794792000015</v>
      </c>
    </row>
    <row r="57" spans="1:14">
      <c r="A57" s="1129" t="s">
        <v>324</v>
      </c>
      <c r="B57" s="1130"/>
      <c r="C57" s="1131"/>
      <c r="D57" s="105"/>
      <c r="E57" s="106">
        <f>SUM(E55:E56)</f>
        <v>175832857.34520802</v>
      </c>
      <c r="F57" s="106">
        <f>SUM(F55:F56)</f>
        <v>7421103.1199999982</v>
      </c>
      <c r="G57" s="106">
        <f>SUM(G55:G56)</f>
        <v>-447473.65000000008</v>
      </c>
      <c r="H57" s="106">
        <f>SUM(H55:H56)</f>
        <v>182806486.81520799</v>
      </c>
      <c r="I57" s="106"/>
      <c r="J57" s="106">
        <f>SUM(J55:J56)</f>
        <v>-108831690.57999997</v>
      </c>
      <c r="K57" s="106">
        <f t="shared" ref="K57:N57" si="7">SUM(K55:K56)</f>
        <v>-5716291.5858820053</v>
      </c>
      <c r="L57" s="106">
        <f t="shared" si="7"/>
        <v>100831.125</v>
      </c>
      <c r="M57" s="106">
        <f t="shared" si="7"/>
        <v>-114447151.04088198</v>
      </c>
      <c r="N57" s="106">
        <f t="shared" si="7"/>
        <v>68359335.774325997</v>
      </c>
    </row>
    <row r="59" spans="1:14">
      <c r="D59" s="73"/>
      <c r="J59" s="107" t="s">
        <v>315</v>
      </c>
      <c r="K59" s="108"/>
    </row>
    <row r="60" spans="1:14">
      <c r="A60" s="101">
        <v>10</v>
      </c>
      <c r="B60" s="101"/>
      <c r="C60" s="104" t="s">
        <v>316</v>
      </c>
      <c r="D60" s="73"/>
      <c r="J60" s="108" t="s">
        <v>316</v>
      </c>
      <c r="K60" s="108"/>
      <c r="L60" s="109">
        <f>K40</f>
        <v>-433380.58372023818</v>
      </c>
    </row>
    <row r="61" spans="1:14">
      <c r="A61" s="101">
        <v>8</v>
      </c>
      <c r="B61" s="101"/>
      <c r="C61" s="104" t="s">
        <v>305</v>
      </c>
      <c r="J61" s="108" t="s">
        <v>305</v>
      </c>
      <c r="K61" s="108"/>
      <c r="L61" s="110">
        <f>K42</f>
        <v>-88913.247999999992</v>
      </c>
    </row>
    <row r="62" spans="1:14">
      <c r="J62" s="111" t="s">
        <v>317</v>
      </c>
      <c r="L62" s="112">
        <f>K57-L60-L61</f>
        <v>-5193997.7541617677</v>
      </c>
    </row>
    <row r="64" spans="1:14">
      <c r="A64" s="113" t="s">
        <v>270</v>
      </c>
    </row>
    <row r="66" spans="1:14">
      <c r="A66" s="72">
        <v>1</v>
      </c>
      <c r="B66" s="1128" t="s">
        <v>318</v>
      </c>
      <c r="C66" s="1128"/>
      <c r="D66" s="1128"/>
      <c r="E66" s="1128"/>
      <c r="F66" s="1128"/>
      <c r="G66" s="1128"/>
      <c r="H66" s="1128"/>
      <c r="I66" s="1128"/>
      <c r="J66" s="1128"/>
      <c r="K66" s="1128"/>
      <c r="L66" s="1128"/>
      <c r="M66" s="1128"/>
      <c r="N66" s="1128"/>
    </row>
    <row r="67" spans="1:14">
      <c r="B67" s="1128"/>
      <c r="C67" s="1128"/>
      <c r="D67" s="1128"/>
      <c r="E67" s="1128"/>
      <c r="F67" s="1128"/>
      <c r="G67" s="1128"/>
      <c r="H67" s="1128"/>
      <c r="I67" s="1128"/>
      <c r="J67" s="1128"/>
      <c r="K67" s="1128"/>
      <c r="L67" s="1128"/>
      <c r="M67" s="1128"/>
      <c r="N67" s="1128"/>
    </row>
    <row r="68" spans="1:14" ht="12.75" customHeight="1"/>
    <row r="69" spans="1:14">
      <c r="A69" s="72">
        <v>2</v>
      </c>
      <c r="B69" s="1123" t="s">
        <v>319</v>
      </c>
      <c r="C69" s="1123"/>
      <c r="D69" s="1123"/>
      <c r="E69" s="1123"/>
      <c r="F69" s="1123"/>
      <c r="G69" s="1123"/>
      <c r="H69" s="1123"/>
      <c r="I69" s="1123"/>
      <c r="J69" s="1123"/>
      <c r="K69" s="1123"/>
      <c r="L69" s="1123"/>
      <c r="M69" s="1123"/>
      <c r="N69" s="1123"/>
    </row>
    <row r="70" spans="1:14">
      <c r="B70" s="1123"/>
      <c r="C70" s="1123"/>
      <c r="D70" s="1123"/>
      <c r="E70" s="1123"/>
      <c r="F70" s="1123"/>
      <c r="G70" s="1123"/>
      <c r="H70" s="1123"/>
      <c r="I70" s="1123"/>
      <c r="J70" s="1123"/>
      <c r="K70" s="1123"/>
      <c r="L70" s="1123"/>
      <c r="M70" s="1123"/>
      <c r="N70" s="1123"/>
    </row>
    <row r="72" spans="1:14">
      <c r="A72" s="72">
        <v>3</v>
      </c>
      <c r="B72" s="1124" t="s">
        <v>320</v>
      </c>
      <c r="C72" s="1124"/>
      <c r="D72" s="1124"/>
      <c r="E72" s="1124"/>
      <c r="F72" s="1124"/>
      <c r="G72" s="1124"/>
      <c r="H72" s="1124"/>
      <c r="I72" s="1124"/>
      <c r="J72" s="1124"/>
      <c r="K72" s="1124"/>
      <c r="L72" s="1124"/>
      <c r="M72" s="1124"/>
      <c r="N72" s="1124"/>
    </row>
    <row r="74" spans="1:14">
      <c r="A74" s="72">
        <v>4</v>
      </c>
      <c r="B74" s="114" t="s">
        <v>321</v>
      </c>
    </row>
  </sheetData>
  <mergeCells count="8">
    <mergeCell ref="B69:N70"/>
    <mergeCell ref="B72:N72"/>
    <mergeCell ref="A9:N9"/>
    <mergeCell ref="A10:N10"/>
    <mergeCell ref="E14:H14"/>
    <mergeCell ref="A55:C55"/>
    <mergeCell ref="A57:C57"/>
    <mergeCell ref="B66:N67"/>
  </mergeCells>
  <printOptions horizontalCentered="1"/>
  <pageMargins left="0.74803149606299213" right="0.74803149606299213" top="0.74803149606299213" bottom="0.70866141732283472" header="0.51181102362204722" footer="0.51181102362204722"/>
  <pageSetup scale="54"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34</vt:i4>
      </vt:variant>
    </vt:vector>
  </HeadingPairs>
  <TitlesOfParts>
    <vt:vector size="67" baseType="lpstr">
      <vt:lpstr>LDC Info</vt:lpstr>
      <vt:lpstr>Index</vt:lpstr>
      <vt:lpstr>App.2-A_Cap Projects</vt:lpstr>
      <vt:lpstr>App.2-B_Fixed Asset Con'ty 2007</vt:lpstr>
      <vt:lpstr>App.2-B_Fixed Asset Con'ty 2008</vt:lpstr>
      <vt:lpstr>App.2-B_Fixed Asset Con'ty 2009</vt:lpstr>
      <vt:lpstr>App.2-B_Fixed Asset Con'ty 2010</vt:lpstr>
      <vt:lpstr>App.2-B_Fixed Asset Con'ty 2011</vt:lpstr>
      <vt:lpstr>App.2-B_Fixed Asset Con'ty 2012</vt:lpstr>
      <vt:lpstr>App.2-B_Fixed Asset Con'ty 2013</vt:lpstr>
      <vt:lpstr>App.2-CE_CGAAP_DepExp_2011</vt:lpstr>
      <vt:lpstr>App.2-CF_CGAAP_DepExp_2012</vt:lpstr>
      <vt:lpstr>App.2-CG_CGAAP_DepExp_2013</vt:lpstr>
      <vt:lpstr>App.2-D_Overhead</vt:lpstr>
      <vt:lpstr>App.2-F_Other_Oper_Rev</vt:lpstr>
      <vt:lpstr>App.2-G_Detailed_OM&amp;A</vt:lpstr>
      <vt:lpstr>App.2-H_OM&amp;A_Analysis</vt:lpstr>
      <vt:lpstr>App.2-I_OM&amp;A_Summary</vt:lpstr>
      <vt:lpstr>App.2-J_OM&amp;A_Cost _Drivers</vt:lpstr>
      <vt:lpstr>App.2-K_Employee Costs</vt:lpstr>
      <vt:lpstr>App.2-L_OM&amp;A_per_Cust</vt:lpstr>
      <vt:lpstr>App.2-M_Regulatory_Costs</vt:lpstr>
      <vt:lpstr>App.2-N_Corp_Cost_Allocation</vt:lpstr>
      <vt:lpstr>App.2-OA Cap Structure</vt:lpstr>
      <vt:lpstr>App.2-OB_Debt Inst</vt:lpstr>
      <vt:lpstr>App.2-P_Cost_Allocation</vt:lpstr>
      <vt:lpstr>App.2-R_Loss Factors</vt:lpstr>
      <vt:lpstr>App.2-S_Stranded Meters</vt:lpstr>
      <vt:lpstr>App.2-T_1592_Tax_Variance</vt:lpstr>
      <vt:lpstr>App.2-U_IFRS Trans Costs</vt:lpstr>
      <vt:lpstr>App.2-V_Rev_Reconciliation</vt:lpstr>
      <vt:lpstr>App.2-W Bill Impacts</vt:lpstr>
      <vt:lpstr>App.2-X_CoS_Flowchart</vt:lpstr>
      <vt:lpstr>LDCLIST</vt:lpstr>
      <vt:lpstr>'App.2-B_Fixed Asset Con''ty 2007'!Print_Area</vt:lpstr>
      <vt:lpstr>'App.2-B_Fixed Asset Con''ty 2008'!Print_Area</vt:lpstr>
      <vt:lpstr>'App.2-B_Fixed Asset Con''ty 2009'!Print_Area</vt:lpstr>
      <vt:lpstr>'App.2-B_Fixed Asset Con''ty 2010'!Print_Area</vt:lpstr>
      <vt:lpstr>'App.2-B_Fixed Asset Con''ty 2011'!Print_Area</vt:lpstr>
      <vt:lpstr>'App.2-B_Fixed Asset Con''ty 2012'!Print_Area</vt:lpstr>
      <vt:lpstr>'App.2-B_Fixed Asset Con''ty 2013'!Print_Area</vt:lpstr>
      <vt:lpstr>'App.2-CE_CGAAP_DepExp_2011'!Print_Area</vt:lpstr>
      <vt:lpstr>'App.2-CF_CGAAP_DepExp_2012'!Print_Area</vt:lpstr>
      <vt:lpstr>'App.2-CG_CGAAP_DepExp_2013'!Print_Area</vt:lpstr>
      <vt:lpstr>'App.2-D_Overhead'!Print_Area</vt:lpstr>
      <vt:lpstr>'App.2-F_Other_Oper_Rev'!Print_Area</vt:lpstr>
      <vt:lpstr>'App.2-G_Detailed_OM&amp;A'!Print_Area</vt:lpstr>
      <vt:lpstr>'App.2-H_OM&amp;A_Analysis'!Print_Area</vt:lpstr>
      <vt:lpstr>'App.2-I_OM&amp;A_Summary'!Print_Area</vt:lpstr>
      <vt:lpstr>'App.2-J_OM&amp;A_Cost _Drivers'!Print_Area</vt:lpstr>
      <vt:lpstr>'App.2-K_Employee Costs'!Print_Area</vt:lpstr>
      <vt:lpstr>'App.2-L_OM&amp;A_per_Cust'!Print_Area</vt:lpstr>
      <vt:lpstr>'App.2-M_Regulatory_Costs'!Print_Area</vt:lpstr>
      <vt:lpstr>'App.2-N_Corp_Cost_Allocation'!Print_Area</vt:lpstr>
      <vt:lpstr>'App.2-OA Cap Structure'!Print_Area</vt:lpstr>
      <vt:lpstr>'App.2-OB_Debt Inst'!Print_Area</vt:lpstr>
      <vt:lpstr>'App.2-P_Cost_Allocation'!Print_Area</vt:lpstr>
      <vt:lpstr>'App.2-R_Loss Factors'!Print_Area</vt:lpstr>
      <vt:lpstr>'App.2-S_Stranded Meters'!Print_Area</vt:lpstr>
      <vt:lpstr>'App.2-T_1592_Tax_Variance'!Print_Area</vt:lpstr>
      <vt:lpstr>'App.2-U_IFRS Trans Costs'!Print_Area</vt:lpstr>
      <vt:lpstr>'App.2-V_Rev_Reconciliation'!Print_Area</vt:lpstr>
      <vt:lpstr>'App.2-X_CoS_Flowchart'!Print_Area</vt:lpstr>
      <vt:lpstr>Index!Print_Area</vt:lpstr>
      <vt:lpstr>'App.2-A_Cap Projects'!Print_Titles</vt:lpstr>
      <vt:lpstr>'App.2-F_Other_Oper_Rev'!Print_Titles</vt:lpstr>
      <vt:lpstr>'App.2-N_Corp_Cost_Allocation'!Print_Titles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tiija.luttrell</dc:creator>
  <cp:lastModifiedBy>tiija.luttrell</cp:lastModifiedBy>
  <cp:lastPrinted>2013-04-05T17:06:09Z</cp:lastPrinted>
  <dcterms:created xsi:type="dcterms:W3CDTF">2013-03-28T19:36:21Z</dcterms:created>
  <dcterms:modified xsi:type="dcterms:W3CDTF">2013-04-05T17:07:43Z</dcterms:modified>
</cp:coreProperties>
</file>