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640" firstSheet="1" activeTab="1"/>
  </bookViews>
  <sheets>
    <sheet name="2013 MFC and DVR" sheetId="1" state="hidden" r:id="rId1"/>
    <sheet name="2013 DVR" sheetId="2" r:id="rId2"/>
    <sheet name="Output from 2013 IRM Model " sheetId="3" state="hidden" r:id="rId3"/>
  </sheets>
  <externalReferences>
    <externalReference r:id="rId6"/>
  </externalReferences>
  <definedNames>
    <definedName name="_xlnm.Print_Area" localSheetId="1">'2013 DVR'!$A$1:$J$15</definedName>
  </definedNames>
  <calcPr fullCalcOnLoad="1"/>
</workbook>
</file>

<file path=xl/sharedStrings.xml><?xml version="1.0" encoding="utf-8"?>
<sst xmlns="http://schemas.openxmlformats.org/spreadsheetml/2006/main" count="193" uniqueCount="127">
  <si>
    <t>Residential</t>
  </si>
  <si>
    <t>Residential Urban</t>
  </si>
  <si>
    <t>General Service Less Than 50 kW</t>
  </si>
  <si>
    <t>General Service 50 to 999 kW</t>
  </si>
  <si>
    <t>Street Lighting</t>
  </si>
  <si>
    <t>Unmetered Scattered Load</t>
  </si>
  <si>
    <t>Rate Class</t>
  </si>
  <si>
    <t xml:space="preserve"> </t>
  </si>
  <si>
    <t>Service Charge % Revenue</t>
  </si>
  <si>
    <t>Distribution Volumetric Rate % Revenue 
kWh</t>
  </si>
  <si>
    <t>Distribution Volumetric Rate % Revenue 
kW</t>
  </si>
  <si>
    <t>Total % Revenue</t>
  </si>
  <si>
    <t>General Service 50 to 999 kW - Interval Metered</t>
  </si>
  <si>
    <t>Large Use</t>
  </si>
  <si>
    <t>2013 Shared Tax Saving By Rate Class</t>
  </si>
  <si>
    <t>Service Charge $ Revenue</t>
  </si>
  <si>
    <t>Distribution Volumetric Rate $ Revenue 
kWh</t>
  </si>
  <si>
    <t>Distribution Volumetric Rate $ Revenue 
kW</t>
  </si>
  <si>
    <t>Service Charge Rate Rider (DOS)</t>
  </si>
  <si>
    <t>Distribution Volumetric Rate kWh Rate Rider (DOS)</t>
  </si>
  <si>
    <t xml:space="preserve"> Please indicate the Rate Rider Recovery Period (in years)</t>
  </si>
  <si>
    <t>Accounts Allocated by kWh/kW (RPP) or Distribution Revenue</t>
  </si>
  <si>
    <t>Unit</t>
  </si>
  <si>
    <t>Billed kWh</t>
  </si>
  <si>
    <t>Billed kW</t>
  </si>
  <si>
    <t>Deferral/Variance Account Rate Rider</t>
  </si>
  <si>
    <t>Account 1588 Global Adjustment Sub-Account</t>
  </si>
  <si>
    <t>Billed kWh or Estimated kW for Non-RPP Customers</t>
  </si>
  <si>
    <t>Global Adjustment Rate Rider</t>
  </si>
  <si>
    <t>Residential Regular</t>
  </si>
  <si>
    <t>Residential Urban Year-Round</t>
  </si>
  <si>
    <t>Residential Suburban</t>
  </si>
  <si>
    <t>Residential Suburban Seasonal</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</si>
  <si>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</si>
  <si>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</si>
  <si>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</si>
  <si>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</si>
  <si>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</si>
  <si>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</si>
  <si>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</si>
  <si>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</si>
  <si>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</si>
  <si>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</si>
  <si>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</si>
  <si>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</si>
  <si>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</si>
  <si>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</si>
  <si>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</si>
  <si>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</si>
  <si>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</si>
  <si>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</si>
  <si>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1,000 kW</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</si>
  <si>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</si>
  <si>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</si>
  <si>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</si>
  <si>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</si>
  <si>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</si>
  <si>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</si>
  <si>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</si>
  <si>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</si>
  <si>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</si>
  <si>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</si>
  <si>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</si>
  <si>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</si>
  <si>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</si>
  <si>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</si>
  <si>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</si>
  <si>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</si>
  <si>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</si>
  <si>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</si>
  <si>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</si>
  <si>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</si>
  <si>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</si>
  <si>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</si>
  <si>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</si>
  <si>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</si>
  <si>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</si>
  <si>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</si>
  <si>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</si>
  <si>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</si>
  <si>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</si>
  <si>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</si>
  <si>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</si>
  <si>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</si>
  <si>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</si>
  <si>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</si>
  <si>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</si>
  <si>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</si>
  <si>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</si>
  <si>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</si>
  <si>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Sentinel Lighting</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</si>
  <si>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</si>
  <si>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</si>
  <si>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</si>
  <si>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</si>
  <si>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</si>
  <si>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</si>
  <si>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</si>
  <si>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</si>
  <si>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</si>
  <si>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</si>
  <si>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</si>
  <si>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</si>
  <si>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</si>
  <si>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Total</t>
  </si>
  <si>
    <t>Billed Customers or Connections</t>
  </si>
  <si>
    <t>Distribution Volumetric Rate kVA Rate Rider (DOS)</t>
  </si>
  <si>
    <t>Billed kWh (11 Months)</t>
  </si>
  <si>
    <t xml:space="preserve"> Billed kVA (11 Months)</t>
  </si>
  <si>
    <t>Service Charge Revenue (2012 and 2013 Foregone Revenue)</t>
  </si>
  <si>
    <t>Distribution Volumetric Rate Revenue 
kWh (2012 and 2013 Foregone Revenue)</t>
  </si>
  <si>
    <t>Distribution Volumetric Rate Revenue 
kVA (2012 and 2013 Foregone Revenue)</t>
  </si>
  <si>
    <t>Total Revenue Requirement  (2012 and 2013 Foregone Revenue)</t>
  </si>
  <si>
    <t>Service Charge</t>
  </si>
  <si>
    <t>Distribution Volumetric Rate kWh</t>
  </si>
  <si>
    <t>Distribution Volumetric Rate kVA</t>
  </si>
  <si>
    <t>2012 and 2013 Foregone Revenue</t>
  </si>
  <si>
    <t>23 months Recovery (DOS)</t>
  </si>
  <si>
    <t xml:space="preserve">Revenue Requirement </t>
  </si>
  <si>
    <t>11 months Recovery (DOS)</t>
  </si>
  <si>
    <t>Billed Customers or Connections  (11 months)</t>
  </si>
  <si>
    <t>Billed kWh (11  Months)</t>
  </si>
  <si>
    <t>Billed kVA (11 Months)</t>
  </si>
  <si>
    <t xml:space="preserve">  </t>
  </si>
  <si>
    <t>Distribution Volumetric Rate Revenue 
kVA (per 30 days)</t>
  </si>
  <si>
    <t>Deferral/Variance Account Clearance - Variable Rate Riders</t>
  </si>
  <si>
    <t>Distribution Volumetric Rate Revenue 
kWh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</si>
</sst>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_);\(#,##0.0%\ \)"/>
    <numFmt numFmtId="167" formatCode="_-* #,##0_-;\-* #,##0_-;_-* &quot;-&quot;??_-;_-@_-"/>
    <numFmt numFmtId="168" formatCode="_-&quot;$&quot;* #,##0_-;\-&quot;$&quot;* #,##0_-;_-&quot;$&quot;* &quot;-&quot;??_-;_-@_-"/>
    <numFmt numFmtId="169" formatCode="&quot;$&quot;#,##0.00000_);\(&quot;$&quot;#,##0.00000\ \)"/>
    <numFmt numFmtId="170" formatCode="_-&quot;$&quot;* #,##0.00000_-;\-&quot;$&quot;* #,##0.00000_-;_-&quot;$&quot;* &quot;-&quot;??_-;_-@_-"/>
    <numFmt numFmtId="171" formatCode="#,##0;\(#,##0\)"/>
    <numFmt numFmtId="172" formatCode="_(&quot;$&quot;* #,##0_);_(&quot;$&quot;* \(#,##0\);_(&quot;$&quot;* &quot;-&quot;??_);_(@_)"/>
    <numFmt numFmtId="173" formatCode="_(&quot;$&quot;* #,##0.00000_);_(&quot;$&quot;* \(#,##0.00000\);_(&quot;$&quot;* &quot;-&quot;??_);_(@_)"/>
    <numFmt numFmtId="174" formatCode="_(&quot;$&quot;* #,##0.0000_);_(&quot;$&quot;* \(#,##0.0000\);_(&quot;$&quot;* &quot;-&quot;??_);_(@_)"/>
  </numFmts>
  <fonts count="45">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b/>
      <sz val="12"/>
      <name val="Book Antiqua"/>
      <family val="1"/>
    </font>
    <font>
      <b/>
      <sz val="11"/>
      <name val="Arial"/>
      <family val="2"/>
    </font>
    <font>
      <b/>
      <sz val="10"/>
      <color indexed="10"/>
      <name val="Arial"/>
      <family val="2"/>
    </font>
    <font>
      <b/>
      <sz val="14"/>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right style="medium"/>
      <top style="thin"/>
      <bottom style="medium"/>
    </border>
    <border>
      <left style="thin"/>
      <right style="thin"/>
      <top style="thin"/>
      <bottom style="thin"/>
    </border>
    <border>
      <left/>
      <right/>
      <top/>
      <bottom style="medium">
        <color indexed="9"/>
      </bottom>
    </border>
    <border>
      <left/>
      <right/>
      <top style="thin"/>
      <bottom style="double"/>
    </border>
    <border>
      <left/>
      <right/>
      <top/>
      <bottom style="double"/>
    </border>
    <border>
      <left/>
      <right/>
      <top style="thin"/>
      <bottom style="medium"/>
    </border>
    <border>
      <left style="medium"/>
      <right/>
      <top style="thin"/>
      <bottom style="medium"/>
    </border>
    <border>
      <left style="medium"/>
      <right style="medium"/>
      <top style="medium"/>
      <bottom style="medium"/>
    </border>
    <border>
      <left style="medium"/>
      <right style="medium"/>
      <top/>
      <bottom/>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1">
    <xf numFmtId="0" fontId="0" fillId="0" borderId="0" xfId="0" applyFont="1" applyAlignment="1">
      <alignment/>
    </xf>
    <xf numFmtId="0" fontId="0" fillId="33" borderId="0" xfId="0" applyFill="1" applyAlignment="1">
      <alignment/>
    </xf>
    <xf numFmtId="0" fontId="0" fillId="33" borderId="10" xfId="0" applyFill="1" applyBorder="1" applyAlignment="1" applyProtection="1">
      <alignment/>
      <protection/>
    </xf>
    <xf numFmtId="0" fontId="0" fillId="33" borderId="0" xfId="0" applyFill="1" applyBorder="1" applyAlignment="1">
      <alignment/>
    </xf>
    <xf numFmtId="164" fontId="0" fillId="33" borderId="0" xfId="42" applyNumberFormat="1"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Alignment="1" applyProtection="1">
      <alignment horizontal="center"/>
      <protection/>
    </xf>
    <xf numFmtId="0" fontId="2" fillId="33" borderId="0" xfId="56" applyFill="1" applyProtection="1">
      <alignment/>
      <protection/>
    </xf>
    <xf numFmtId="0" fontId="2" fillId="33" borderId="0" xfId="56" applyFill="1" applyAlignment="1" applyProtection="1">
      <alignment horizontal="center"/>
      <protection/>
    </xf>
    <xf numFmtId="0" fontId="0" fillId="33" borderId="10" xfId="0" applyFill="1" applyBorder="1" applyAlignment="1">
      <alignment/>
    </xf>
    <xf numFmtId="0" fontId="0" fillId="33" borderId="13" xfId="0" applyFill="1" applyBorder="1" applyAlignment="1">
      <alignment/>
    </xf>
    <xf numFmtId="43" fontId="0" fillId="33" borderId="10" xfId="0" applyNumberFormat="1" applyFill="1" applyBorder="1" applyAlignment="1">
      <alignment/>
    </xf>
    <xf numFmtId="165" fontId="0" fillId="33" borderId="0" xfId="0" applyNumberFormat="1" applyFill="1" applyBorder="1" applyAlignment="1">
      <alignment/>
    </xf>
    <xf numFmtId="165" fontId="0" fillId="33" borderId="13" xfId="0" applyNumberFormat="1" applyFill="1" applyBorder="1" applyAlignment="1">
      <alignment/>
    </xf>
    <xf numFmtId="0" fontId="3" fillId="33" borderId="14"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xf>
    <xf numFmtId="0" fontId="3" fillId="33" borderId="16" xfId="0" applyFont="1" applyFill="1" applyBorder="1" applyAlignment="1" applyProtection="1">
      <alignment horizontal="center" wrapText="1"/>
      <protection/>
    </xf>
    <xf numFmtId="0" fontId="4" fillId="33" borderId="10" xfId="56"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2" fillId="33" borderId="0" xfId="56" applyFill="1" applyBorder="1" applyProtection="1">
      <alignment/>
      <protection/>
    </xf>
    <xf numFmtId="166" fontId="2" fillId="33" borderId="0" xfId="59" applyNumberFormat="1" applyFont="1" applyFill="1" applyBorder="1" applyAlignment="1" applyProtection="1">
      <alignment horizontal="center"/>
      <protection/>
    </xf>
    <xf numFmtId="44" fontId="0" fillId="33" borderId="0" xfId="44" applyFont="1" applyFill="1" applyBorder="1" applyAlignment="1" applyProtection="1">
      <alignment horizontal="center"/>
      <protection/>
    </xf>
    <xf numFmtId="44" fontId="0" fillId="33" borderId="0" xfId="0" applyNumberFormat="1" applyFill="1" applyBorder="1" applyAlignment="1">
      <alignment/>
    </xf>
    <xf numFmtId="0" fontId="2" fillId="33" borderId="10" xfId="56" applyFill="1" applyBorder="1" applyProtection="1">
      <alignment/>
      <protection/>
    </xf>
    <xf numFmtId="166" fontId="0" fillId="33" borderId="0" xfId="0" applyNumberFormat="1" applyFill="1" applyBorder="1" applyAlignment="1" applyProtection="1">
      <alignment horizontal="center"/>
      <protection/>
    </xf>
    <xf numFmtId="0" fontId="2" fillId="33" borderId="11" xfId="56" applyFill="1" applyBorder="1" applyProtection="1">
      <alignment/>
      <protection/>
    </xf>
    <xf numFmtId="0" fontId="2" fillId="33" borderId="12" xfId="56" applyFill="1" applyBorder="1" applyProtection="1">
      <alignment/>
      <protection/>
    </xf>
    <xf numFmtId="0" fontId="2" fillId="33" borderId="12" xfId="56" applyFill="1" applyBorder="1" applyAlignment="1" applyProtection="1">
      <alignment horizontal="center"/>
      <protection/>
    </xf>
    <xf numFmtId="0" fontId="0" fillId="33" borderId="17" xfId="0" applyFill="1" applyBorder="1" applyAlignment="1">
      <alignment/>
    </xf>
    <xf numFmtId="164" fontId="0" fillId="33" borderId="10" xfId="42" applyNumberFormat="1" applyFont="1" applyFill="1" applyBorder="1" applyAlignment="1">
      <alignment/>
    </xf>
    <xf numFmtId="164" fontId="0" fillId="33" borderId="13" xfId="42" applyNumberFormat="1" applyFont="1" applyFill="1" applyBorder="1" applyAlignment="1">
      <alignment/>
    </xf>
    <xf numFmtId="44" fontId="0" fillId="33" borderId="10" xfId="0" applyNumberFormat="1" applyFill="1" applyBorder="1" applyAlignment="1">
      <alignment/>
    </xf>
    <xf numFmtId="44" fontId="0" fillId="33" borderId="13" xfId="0" applyNumberFormat="1" applyFill="1" applyBorder="1" applyAlignment="1">
      <alignment/>
    </xf>
    <xf numFmtId="0" fontId="3" fillId="33" borderId="10" xfId="0" applyFont="1" applyFill="1" applyBorder="1" applyAlignment="1" applyProtection="1">
      <alignment horizontal="center" wrapText="1"/>
      <protection/>
    </xf>
    <xf numFmtId="0" fontId="3" fillId="33" borderId="13" xfId="0" applyFont="1" applyFill="1" applyBorder="1" applyAlignment="1" applyProtection="1">
      <alignment horizontal="center" wrapText="1"/>
      <protection/>
    </xf>
    <xf numFmtId="166" fontId="2" fillId="33" borderId="10" xfId="59" applyNumberFormat="1" applyFont="1" applyFill="1" applyBorder="1" applyAlignment="1" applyProtection="1">
      <alignment horizontal="center"/>
      <protection/>
    </xf>
    <xf numFmtId="166" fontId="2" fillId="33" borderId="13" xfId="59" applyNumberFormat="1" applyFont="1" applyFill="1" applyBorder="1" applyAlignment="1" applyProtection="1">
      <alignment horizontal="center"/>
      <protection/>
    </xf>
    <xf numFmtId="166" fontId="0" fillId="33" borderId="10" xfId="0" applyNumberFormat="1" applyFill="1" applyBorder="1" applyAlignment="1" applyProtection="1">
      <alignment horizontal="center"/>
      <protection/>
    </xf>
    <xf numFmtId="166" fontId="2" fillId="33" borderId="18" xfId="59" applyNumberFormat="1" applyFont="1" applyFill="1" applyBorder="1" applyAlignment="1" applyProtection="1">
      <alignment horizontal="center"/>
      <protection/>
    </xf>
    <xf numFmtId="0" fontId="2" fillId="33" borderId="11" xfId="56" applyFill="1" applyBorder="1" applyAlignment="1" applyProtection="1">
      <alignment horizontal="center"/>
      <protection/>
    </xf>
    <xf numFmtId="0" fontId="0" fillId="33" borderId="17" xfId="0" applyFill="1" applyBorder="1" applyAlignment="1" applyProtection="1">
      <alignment horizontal="center"/>
      <protection/>
    </xf>
    <xf numFmtId="0" fontId="5" fillId="0" borderId="0" xfId="52"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4" fillId="34" borderId="19" xfId="0" applyFont="1" applyFill="1" applyBorder="1" applyAlignment="1" applyProtection="1">
      <alignment horizontal="center"/>
      <protection locked="0"/>
    </xf>
    <xf numFmtId="0" fontId="0" fillId="35" borderId="0" xfId="0" applyFill="1" applyAlignment="1" applyProtection="1">
      <alignment/>
      <protection/>
    </xf>
    <xf numFmtId="0" fontId="0" fillId="0" borderId="0" xfId="0" applyFill="1" applyAlignment="1" applyProtection="1">
      <alignment/>
      <protection/>
    </xf>
    <xf numFmtId="0" fontId="6" fillId="0" borderId="0" xfId="0" applyFont="1" applyFill="1" applyAlignment="1" applyProtection="1">
      <alignment horizontal="left" indent="1"/>
      <protection/>
    </xf>
    <xf numFmtId="0" fontId="4" fillId="0" borderId="0" xfId="0" applyFont="1" applyFill="1" applyAlignment="1" applyProtection="1">
      <alignment/>
      <protection/>
    </xf>
    <xf numFmtId="0" fontId="6" fillId="0" borderId="0" xfId="0" applyFont="1" applyAlignment="1" applyProtection="1">
      <alignment/>
      <protection/>
    </xf>
    <xf numFmtId="0" fontId="0" fillId="36" borderId="19" xfId="0" applyFill="1" applyBorder="1" applyAlignment="1" applyProtection="1">
      <alignment/>
      <protection/>
    </xf>
    <xf numFmtId="0" fontId="4" fillId="0" borderId="0" xfId="0" applyFont="1" applyAlignment="1" applyProtection="1">
      <alignment vertical="center" wrapText="1"/>
      <protection/>
    </xf>
    <xf numFmtId="0" fontId="4" fillId="0" borderId="0" xfId="0" applyFont="1" applyAlignment="1" applyProtection="1">
      <alignment/>
      <protection/>
    </xf>
    <xf numFmtId="167" fontId="4" fillId="35" borderId="20" xfId="42" applyNumberFormat="1" applyFont="1" applyFill="1" applyBorder="1" applyAlignment="1" applyProtection="1">
      <alignment horizontal="center" vertical="center"/>
      <protection/>
    </xf>
    <xf numFmtId="0" fontId="0" fillId="35" borderId="0" xfId="0" applyFill="1" applyAlignment="1" applyProtection="1">
      <alignment vertical="center"/>
      <protection/>
    </xf>
    <xf numFmtId="167" fontId="4" fillId="35" borderId="20" xfId="42" applyNumberFormat="1" applyFont="1" applyFill="1" applyBorder="1" applyAlignment="1" applyProtection="1">
      <alignment vertical="center"/>
      <protection/>
    </xf>
    <xf numFmtId="168" fontId="4" fillId="35" borderId="20" xfId="44" applyNumberFormat="1" applyFont="1" applyFill="1" applyBorder="1" applyAlignment="1" applyProtection="1">
      <alignment vertical="center"/>
      <protection/>
    </xf>
    <xf numFmtId="169" fontId="4" fillId="35" borderId="20" xfId="44" applyNumberFormat="1" applyFont="1" applyFill="1" applyBorder="1" applyAlignment="1" applyProtection="1">
      <alignment horizontal="center" vertical="center"/>
      <protection/>
    </xf>
    <xf numFmtId="170" fontId="4" fillId="35" borderId="20" xfId="44" applyNumberFormat="1" applyFont="1" applyFill="1" applyBorder="1" applyAlignment="1" applyProtection="1">
      <alignment horizontal="left" vertical="center"/>
      <protection/>
    </xf>
    <xf numFmtId="170" fontId="4" fillId="36" borderId="19" xfId="44" applyNumberFormat="1" applyFont="1" applyFill="1" applyBorder="1" applyAlignment="1" applyProtection="1">
      <alignment vertical="center"/>
      <protection/>
    </xf>
    <xf numFmtId="171" fontId="4" fillId="35" borderId="20" xfId="42" applyNumberFormat="1" applyFont="1" applyFill="1" applyBorder="1" applyAlignment="1" applyProtection="1">
      <alignment horizontal="left" vertical="center"/>
      <protection/>
    </xf>
    <xf numFmtId="167" fontId="4" fillId="35" borderId="21" xfId="42" applyNumberFormat="1" applyFont="1" applyFill="1" applyBorder="1" applyAlignment="1" applyProtection="1">
      <alignment/>
      <protection/>
    </xf>
    <xf numFmtId="168" fontId="4" fillId="35" borderId="21" xfId="44" applyNumberFormat="1" applyFont="1" applyFill="1" applyBorder="1" applyAlignment="1" applyProtection="1">
      <alignment/>
      <protection/>
    </xf>
    <xf numFmtId="171" fontId="8" fillId="35" borderId="21" xfId="42" applyNumberFormat="1" applyFont="1" applyFill="1" applyBorder="1" applyAlignment="1" applyProtection="1">
      <alignment/>
      <protection/>
    </xf>
    <xf numFmtId="171" fontId="8" fillId="35" borderId="21" xfId="42" applyNumberFormat="1" applyFont="1" applyFill="1" applyBorder="1" applyAlignment="1" applyProtection="1">
      <alignment horizontal="left"/>
      <protection/>
    </xf>
    <xf numFmtId="171" fontId="8" fillId="35" borderId="22" xfId="42" applyNumberFormat="1" applyFont="1" applyFill="1" applyBorder="1" applyAlignment="1" applyProtection="1">
      <alignment/>
      <protection/>
    </xf>
    <xf numFmtId="0" fontId="3" fillId="33" borderId="0" xfId="0" applyFont="1" applyFill="1" applyAlignment="1" applyProtection="1">
      <alignment horizontal="center" wrapText="1"/>
      <protection/>
    </xf>
    <xf numFmtId="0" fontId="43" fillId="33" borderId="14" xfId="0" applyFont="1" applyFill="1" applyBorder="1" applyAlignment="1">
      <alignment/>
    </xf>
    <xf numFmtId="0" fontId="0" fillId="33" borderId="15" xfId="0" applyFill="1" applyBorder="1" applyAlignment="1">
      <alignment/>
    </xf>
    <xf numFmtId="43" fontId="0" fillId="33" borderId="15" xfId="42" applyFont="1" applyFill="1" applyBorder="1" applyAlignment="1">
      <alignment/>
    </xf>
    <xf numFmtId="0" fontId="0" fillId="33" borderId="16" xfId="0" applyFill="1" applyBorder="1" applyAlignment="1">
      <alignment/>
    </xf>
    <xf numFmtId="172" fontId="2" fillId="33" borderId="0" xfId="44" applyNumberFormat="1" applyFont="1" applyFill="1" applyBorder="1" applyAlignment="1" applyProtection="1">
      <alignment/>
      <protection/>
    </xf>
    <xf numFmtId="44" fontId="2" fillId="33" borderId="10" xfId="44" applyNumberFormat="1" applyFont="1" applyFill="1" applyBorder="1" applyAlignment="1" applyProtection="1">
      <alignment/>
      <protection/>
    </xf>
    <xf numFmtId="173" fontId="2" fillId="33" borderId="0" xfId="44" applyNumberFormat="1" applyFont="1" applyFill="1" applyBorder="1" applyAlignment="1" applyProtection="1">
      <alignment/>
      <protection/>
    </xf>
    <xf numFmtId="172" fontId="2" fillId="33" borderId="13" xfId="44" applyNumberFormat="1" applyFont="1" applyFill="1" applyBorder="1" applyAlignment="1" applyProtection="1">
      <alignment/>
      <protection/>
    </xf>
    <xf numFmtId="174" fontId="2" fillId="33" borderId="13" xfId="44" applyNumberFormat="1" applyFont="1" applyFill="1" applyBorder="1" applyAlignment="1" applyProtection="1">
      <alignment/>
      <protection/>
    </xf>
    <xf numFmtId="174" fontId="2" fillId="33" borderId="0" xfId="44" applyNumberFormat="1" applyFont="1" applyFill="1" applyBorder="1" applyAlignment="1" applyProtection="1">
      <alignment/>
      <protection/>
    </xf>
    <xf numFmtId="172" fontId="2" fillId="33" borderId="23" xfId="44" applyNumberFormat="1" applyFont="1" applyFill="1" applyBorder="1" applyAlignment="1" applyProtection="1">
      <alignment/>
      <protection/>
    </xf>
    <xf numFmtId="172" fontId="4" fillId="33" borderId="23" xfId="44" applyNumberFormat="1" applyFont="1" applyFill="1" applyBorder="1" applyAlignment="1" applyProtection="1">
      <alignment/>
      <protection/>
    </xf>
    <xf numFmtId="44" fontId="2" fillId="33" borderId="24" xfId="44" applyNumberFormat="1" applyFont="1" applyFill="1" applyBorder="1" applyAlignment="1" applyProtection="1">
      <alignment/>
      <protection/>
    </xf>
    <xf numFmtId="172" fontId="2" fillId="33" borderId="18" xfId="44" applyNumberFormat="1" applyFont="1" applyFill="1" applyBorder="1" applyAlignment="1" applyProtection="1">
      <alignment/>
      <protection/>
    </xf>
    <xf numFmtId="174" fontId="0" fillId="33" borderId="0" xfId="0" applyNumberFormat="1" applyFill="1" applyAlignment="1">
      <alignment/>
    </xf>
    <xf numFmtId="173" fontId="2" fillId="33" borderId="10" xfId="44" applyNumberFormat="1" applyFont="1" applyFill="1" applyBorder="1" applyAlignment="1" applyProtection="1">
      <alignment/>
      <protection/>
    </xf>
    <xf numFmtId="172" fontId="2" fillId="33" borderId="24" xfId="44" applyNumberFormat="1" applyFont="1" applyFill="1" applyBorder="1" applyAlignment="1" applyProtection="1">
      <alignment/>
      <protection/>
    </xf>
    <xf numFmtId="43" fontId="0" fillId="0" borderId="0" xfId="0" applyNumberFormat="1" applyAlignment="1">
      <alignment/>
    </xf>
    <xf numFmtId="173" fontId="0" fillId="0" borderId="0" xfId="0" applyNumberFormat="1" applyAlignment="1">
      <alignment/>
    </xf>
    <xf numFmtId="44" fontId="4" fillId="33" borderId="23" xfId="44" applyFont="1" applyFill="1" applyBorder="1" applyAlignment="1" applyProtection="1">
      <alignment horizontal="center"/>
      <protection/>
    </xf>
    <xf numFmtId="165" fontId="0" fillId="0" borderId="0" xfId="0" applyNumberFormat="1" applyAlignment="1">
      <alignment/>
    </xf>
    <xf numFmtId="44" fontId="3" fillId="33" borderId="0" xfId="44" applyNumberFormat="1" applyFont="1" applyFill="1" applyAlignment="1" applyProtection="1">
      <alignment horizontal="center" wrapText="1"/>
      <protection/>
    </xf>
    <xf numFmtId="44" fontId="0" fillId="33" borderId="0" xfId="44" applyNumberFormat="1" applyFont="1" applyFill="1" applyAlignment="1">
      <alignment/>
    </xf>
    <xf numFmtId="44" fontId="0" fillId="33" borderId="25" xfId="44" applyNumberFormat="1" applyFont="1" applyFill="1" applyBorder="1" applyAlignment="1">
      <alignment/>
    </xf>
    <xf numFmtId="44" fontId="2" fillId="33" borderId="26" xfId="44" applyNumberFormat="1" applyFont="1" applyFill="1" applyBorder="1" applyAlignment="1" applyProtection="1">
      <alignment/>
      <protection/>
    </xf>
    <xf numFmtId="44" fontId="4" fillId="33" borderId="27" xfId="44" applyNumberFormat="1" applyFont="1" applyFill="1" applyBorder="1" applyAlignment="1" applyProtection="1">
      <alignment/>
      <protection/>
    </xf>
    <xf numFmtId="44" fontId="0" fillId="0" borderId="0" xfId="44" applyNumberFormat="1" applyFont="1" applyAlignment="1">
      <alignment/>
    </xf>
    <xf numFmtId="0" fontId="44" fillId="0" borderId="0" xfId="0" applyFont="1" applyAlignment="1">
      <alignment/>
    </xf>
    <xf numFmtId="0" fontId="3" fillId="0" borderId="0" xfId="0" applyFont="1" applyFill="1" applyAlignment="1" applyProtection="1">
      <alignment horizontal="center" wrapText="1"/>
      <protection/>
    </xf>
    <xf numFmtId="0" fontId="6" fillId="0" borderId="0" xfId="0" applyFont="1" applyAlignment="1" applyProtection="1">
      <alignment horizontal="left" vertical="top" wrapText="1"/>
      <protection/>
    </xf>
    <xf numFmtId="0" fontId="7" fillId="0" borderId="0" xfId="0" applyFont="1" applyFill="1" applyAlignment="1" applyProtection="1">
      <alignment horizontal="center" wrapText="1"/>
      <protection/>
    </xf>
    <xf numFmtId="0" fontId="3"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re Model Version 0.1" xfId="56"/>
    <cellStyle name="Note" xfId="57"/>
    <cellStyle name="Output" xfId="58"/>
    <cellStyle name="Percent" xfId="59"/>
    <cellStyle name="Title" xfId="60"/>
    <cellStyle name="Total" xfId="61"/>
    <cellStyle name="Warning Text" xfId="62"/>
  </cellStyles>
  <dxfs count="3">
    <dxf>
      <font>
        <b/>
        <i val="0"/>
      </font>
      <fill>
        <patternFill>
          <bgColor indexed="47"/>
        </patternFill>
      </fill>
    </dxf>
    <dxf>
      <font>
        <b/>
        <i val="0"/>
      </font>
      <fill>
        <patternFill>
          <bgColor indexed="47"/>
        </patternFill>
      </fill>
    </dxf>
    <dxf>
      <font>
        <b/>
        <i val="0"/>
      </font>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_IRM_Rate_Generator-Final%20V5%200%20(with%20GDP-IP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fo"/>
      <sheetName val="2. Table of Contents"/>
      <sheetName val="3. Rate Classes"/>
      <sheetName val="4. Current MFC"/>
      <sheetName val="5. Current DVR"/>
      <sheetName val="6. Current Rate_Riders"/>
      <sheetName val="7. Current RTSR-Network"/>
      <sheetName val="8. Current RTSR-Connection"/>
      <sheetName val="9. 2012 Cont. Sched. Def_Var"/>
      <sheetName val="10. Billing Det. for Def_Var"/>
      <sheetName val="11. Cost Allocation Def_Var"/>
      <sheetName val="12. Calc. of Def_Var RR"/>
      <sheetName val="13. Proposed MFC"/>
      <sheetName val="14. Proposed Rate_Riders"/>
      <sheetName val="15. Proposed RTSR-Network"/>
      <sheetName val="16. Proposed RTSR-Connection"/>
      <sheetName val="17. GDP-IPI - X"/>
      <sheetName val="HIDDEN FINAL MFC"/>
      <sheetName val="HIDDEN FINAL DVC"/>
      <sheetName val="HIDDEN FINAL RATE RIDERS"/>
      <sheetName val="HIDDEN FINAL DEF_VAR"/>
      <sheetName val="HIDDEN RTSR_NET"/>
      <sheetName val="HIDDEN RTSR_CONNECT"/>
      <sheetName val="18. LF - Current and Proposed"/>
      <sheetName val="19. Other Charges"/>
      <sheetName val="HIDDEN LF AND CHARGES"/>
      <sheetName val="20. 2012 Final Tariff"/>
      <sheetName val="21. Bill Impacts"/>
      <sheetName val="hidden1"/>
      <sheetName val="DRC SSS WMSR SPC RRRP"/>
      <sheetName val="CURRENT RATES"/>
      <sheetName val="PROPOSED RATES"/>
      <sheetName val="listclasses worksheet HIDE"/>
    </sheetNames>
    <sheetDataSet>
      <sheetData sheetId="9">
        <row r="26">
          <cell r="B26" t="str">
            <v>Residential</v>
          </cell>
          <cell r="D26" t="str">
            <v>$/kWh</v>
          </cell>
          <cell r="F26">
            <v>4886977488.92641</v>
          </cell>
          <cell r="H26">
            <v>559659627.94</v>
          </cell>
          <cell r="J26">
            <v>0</v>
          </cell>
        </row>
        <row r="27">
          <cell r="B27" t="str">
            <v>Residential Regular</v>
          </cell>
          <cell r="J27">
            <v>0</v>
          </cell>
        </row>
        <row r="28">
          <cell r="B28" t="str">
            <v>Residential Urban</v>
          </cell>
          <cell r="D28" t="str">
            <v>$/kWh</v>
          </cell>
          <cell r="F28">
            <v>99791184</v>
          </cell>
          <cell r="H28">
            <v>11421625.06</v>
          </cell>
          <cell r="J28">
            <v>0</v>
          </cell>
        </row>
        <row r="29">
          <cell r="B29" t="str">
            <v>Residential Urban Year-Round</v>
          </cell>
          <cell r="J29">
            <v>0</v>
          </cell>
        </row>
        <row r="30">
          <cell r="B30" t="str">
            <v>Residential Suburban</v>
          </cell>
          <cell r="J30">
            <v>0</v>
          </cell>
        </row>
        <row r="31">
          <cell r="B31" t="str">
            <v>Residential Suburban Seasonal</v>
          </cell>
          <cell r="J31">
            <v>0</v>
          </cell>
        </row>
        <row r="32">
          <cell r="B32" t="str">
            <v>Residential Suburban Year Round</v>
          </cell>
          <cell r="J32">
            <v>0</v>
          </cell>
        </row>
        <row r="33">
          <cell r="B33" t="str">
            <v>Residential - Time of Use</v>
          </cell>
          <cell r="J33">
            <v>0</v>
          </cell>
        </row>
        <row r="34">
          <cell r="B34" t="str">
            <v>Residential - Hensall</v>
          </cell>
          <cell r="J34">
            <v>0</v>
          </cell>
        </row>
        <row r="35">
          <cell r="B35" t="str">
            <v>Residential – High Density [R1]</v>
          </cell>
          <cell r="J35">
            <v>0</v>
          </cell>
        </row>
        <row r="36">
          <cell r="B36" t="str">
            <v>Residential – Normal Density [R2]</v>
          </cell>
          <cell r="J36">
            <v>0</v>
          </cell>
        </row>
        <row r="37">
          <cell r="B37" t="str">
            <v>Seasonal Residential – High Density [R3]</v>
          </cell>
          <cell r="J37">
            <v>0</v>
          </cell>
        </row>
        <row r="38">
          <cell r="B38" t="str">
            <v>Seasonal Residential – Normal Density [R4]</v>
          </cell>
          <cell r="J38">
            <v>0</v>
          </cell>
        </row>
        <row r="39">
          <cell r="B39" t="str">
            <v>Residential – Urban [UR]</v>
          </cell>
          <cell r="J39">
            <v>0</v>
          </cell>
        </row>
        <row r="40">
          <cell r="B40" t="str">
            <v>General Service Less Than 50 kW</v>
          </cell>
          <cell r="D40" t="str">
            <v>$/kWh</v>
          </cell>
          <cell r="F40">
            <v>2139318075.755229</v>
          </cell>
          <cell r="H40">
            <v>437628634</v>
          </cell>
          <cell r="J40">
            <v>0</v>
          </cell>
        </row>
        <row r="41">
          <cell r="B41" t="str">
            <v>General Service Less Than 50 kW – Single Phase energy-billed [G1]</v>
          </cell>
          <cell r="J41">
            <v>0</v>
          </cell>
        </row>
        <row r="42">
          <cell r="B42" t="str">
            <v>General Service Less Than 50 kW – Three Phase energy-billed [G3]</v>
          </cell>
          <cell r="J42">
            <v>0</v>
          </cell>
        </row>
        <row r="43">
          <cell r="B43" t="str">
            <v>General Service Less Than 50 kW – Transmission Class energy-billed [T]</v>
          </cell>
          <cell r="J43">
            <v>0</v>
          </cell>
        </row>
        <row r="44">
          <cell r="B44" t="str">
            <v>General Service Less Than 50 kW – Urban energy-billed [UG]</v>
          </cell>
          <cell r="J44">
            <v>0</v>
          </cell>
        </row>
        <row r="45">
          <cell r="B45" t="str">
            <v>Westport Sewage Treatment Plant</v>
          </cell>
          <cell r="J45">
            <v>0</v>
          </cell>
        </row>
        <row r="46">
          <cell r="B46" t="str">
            <v>Small Commercial and USL - per meter</v>
          </cell>
          <cell r="J46">
            <v>0</v>
          </cell>
        </row>
        <row r="47">
          <cell r="B47" t="str">
            <v>Small Commercial and USL - per connection</v>
          </cell>
          <cell r="J47">
            <v>0</v>
          </cell>
        </row>
        <row r="48">
          <cell r="B48" t="str">
            <v>Farms – Single Phase energy-billed [F1]</v>
          </cell>
          <cell r="J48">
            <v>0</v>
          </cell>
        </row>
        <row r="49">
          <cell r="B49" t="str">
            <v>General Service 50 to 499 kW</v>
          </cell>
          <cell r="J49">
            <v>0</v>
          </cell>
        </row>
        <row r="50">
          <cell r="B50" t="str">
            <v>General Service 50 to 699 kW</v>
          </cell>
          <cell r="J50">
            <v>0</v>
          </cell>
        </row>
        <row r="51">
          <cell r="B51" t="str">
            <v>General Service 50 to 999 kW</v>
          </cell>
          <cell r="D51" t="str">
            <v>$/kVA</v>
          </cell>
          <cell r="F51">
            <v>10116374153.130848</v>
          </cell>
          <cell r="G51">
            <v>26935191.276266973</v>
          </cell>
          <cell r="H51">
            <v>6900756638</v>
          </cell>
          <cell r="J51">
            <v>0</v>
          </cell>
        </row>
        <row r="52">
          <cell r="B52" t="str">
            <v>General Service 50 to 999 kW - Interval Metered</v>
          </cell>
          <cell r="J52">
            <v>0</v>
          </cell>
        </row>
        <row r="53">
          <cell r="B53" t="str">
            <v>General Service 50 to 1,000 kW</v>
          </cell>
          <cell r="J53">
            <v>0</v>
          </cell>
        </row>
        <row r="54">
          <cell r="B54" t="str">
            <v>General Service 50 to 1,000 kW - Interval Meters</v>
          </cell>
          <cell r="J54">
            <v>0</v>
          </cell>
        </row>
        <row r="55">
          <cell r="B55" t="str">
            <v>General Service 50 to 1,000 kW - Non Interval Meters</v>
          </cell>
          <cell r="J55">
            <v>0</v>
          </cell>
        </row>
        <row r="56">
          <cell r="B56" t="str">
            <v>General Service 50 to 1,499 kW</v>
          </cell>
          <cell r="J56">
            <v>0</v>
          </cell>
        </row>
        <row r="57">
          <cell r="B57" t="str">
            <v>General Service 50 to 1,499 kW - Interval Metered</v>
          </cell>
          <cell r="J57">
            <v>0</v>
          </cell>
        </row>
        <row r="58">
          <cell r="B58" t="str">
            <v>General Service  50 to 2,499 kW</v>
          </cell>
          <cell r="J58">
            <v>0</v>
          </cell>
        </row>
        <row r="59">
          <cell r="B59" t="str">
            <v>General Service 50 to 2,999 kW</v>
          </cell>
          <cell r="J59">
            <v>0</v>
          </cell>
        </row>
        <row r="60">
          <cell r="B60" t="str">
            <v>General Service 50 to 2,999 kW - Time of Use</v>
          </cell>
          <cell r="J60">
            <v>0</v>
          </cell>
        </row>
        <row r="61">
          <cell r="B61" t="str">
            <v>General Service 50 to 4,999 kW</v>
          </cell>
          <cell r="J61">
            <v>0</v>
          </cell>
        </row>
        <row r="62">
          <cell r="B62" t="str">
            <v>General Service 50 to 4,999 kW – Interval Metered</v>
          </cell>
          <cell r="J62">
            <v>0</v>
          </cell>
        </row>
        <row r="63">
          <cell r="B63" t="str">
            <v>General Service 50 to 4,999 kW - Time of Use</v>
          </cell>
          <cell r="J63">
            <v>0</v>
          </cell>
        </row>
        <row r="64">
          <cell r="B64" t="str">
            <v>General Service 50 to 4,999 kW (CoGeneration)</v>
          </cell>
          <cell r="J64">
            <v>0</v>
          </cell>
        </row>
        <row r="65">
          <cell r="B65" t="str">
            <v>General Service 50 to 4,999 kW (formerly Time of Use)</v>
          </cell>
          <cell r="J65">
            <v>0</v>
          </cell>
        </row>
        <row r="66">
          <cell r="B66" t="str">
            <v>General Service 500 to 4,999 kW</v>
          </cell>
          <cell r="J66">
            <v>0</v>
          </cell>
        </row>
        <row r="67">
          <cell r="B67" t="str">
            <v>General Service 700 to 4,999 kW</v>
          </cell>
          <cell r="J67">
            <v>0</v>
          </cell>
        </row>
        <row r="68">
          <cell r="B68" t="str">
            <v>General Service 1,000 to 2,999 kW</v>
          </cell>
          <cell r="J68">
            <v>0</v>
          </cell>
        </row>
        <row r="69">
          <cell r="B69" t="str">
            <v>General Service 1,000 to 4,999 kW</v>
          </cell>
          <cell r="D69" t="str">
            <v>$/kVA</v>
          </cell>
          <cell r="F69">
            <v>4626928262.169875</v>
          </cell>
          <cell r="G69">
            <v>10587119.273365011</v>
          </cell>
          <cell r="H69">
            <v>4177096302</v>
          </cell>
          <cell r="J69">
            <v>0</v>
          </cell>
        </row>
        <row r="70">
          <cell r="B70" t="str">
            <v>General Service 1,000 to 4,999 kW - Interval Meters</v>
          </cell>
          <cell r="J70">
            <v>0</v>
          </cell>
        </row>
        <row r="71">
          <cell r="B71" t="str">
            <v>General Service 1,000 To 4,999 kW (co-generation)</v>
          </cell>
          <cell r="J71">
            <v>0</v>
          </cell>
        </row>
        <row r="72">
          <cell r="B72" t="str">
            <v>General Service Greater Than 1,000 kW</v>
          </cell>
          <cell r="J72">
            <v>0</v>
          </cell>
        </row>
        <row r="73">
          <cell r="B73" t="str">
            <v>General Service Intermediate Rate Class 1,000 To 4,999 kW (formerly Large Use Customers)</v>
          </cell>
          <cell r="J73">
            <v>0</v>
          </cell>
        </row>
        <row r="74">
          <cell r="B74" t="str">
            <v>General Service Intermediate Rate Class 1,000 To 4,999 kW (formerly General Service &gt; 50 kW Customers)</v>
          </cell>
          <cell r="J74">
            <v>0</v>
          </cell>
        </row>
        <row r="75">
          <cell r="B75" t="str">
            <v>General Service 1,500 to 4,999 kW</v>
          </cell>
          <cell r="J75">
            <v>0</v>
          </cell>
        </row>
        <row r="76">
          <cell r="B76" t="str">
            <v>General Service Equal To Or Greater Than 1,500 kW</v>
          </cell>
          <cell r="J76">
            <v>0</v>
          </cell>
        </row>
        <row r="77">
          <cell r="B77" t="str">
            <v>General Service Equal To Or Greater Than 1,500 kW - Interval Metered</v>
          </cell>
          <cell r="J77">
            <v>0</v>
          </cell>
        </row>
        <row r="78">
          <cell r="B78" t="str">
            <v>General Service Intermediate 1,000 To 4,999 kW</v>
          </cell>
          <cell r="J78">
            <v>0</v>
          </cell>
        </row>
        <row r="79">
          <cell r="B79" t="str">
            <v>General Service 2,500 to 4,999 kW</v>
          </cell>
          <cell r="J79">
            <v>0</v>
          </cell>
        </row>
        <row r="80">
          <cell r="B80" t="str">
            <v>General Service 3,000 to 4,999 kW</v>
          </cell>
          <cell r="J80">
            <v>0</v>
          </cell>
        </row>
        <row r="81">
          <cell r="B81" t="str">
            <v>General Service 3,000 to 4,999 kW - Interval Metered</v>
          </cell>
          <cell r="J81">
            <v>0</v>
          </cell>
        </row>
        <row r="82">
          <cell r="B82" t="str">
            <v>General Service 3,000 to 4,999 kW - Intermediate Use</v>
          </cell>
          <cell r="J82">
            <v>0</v>
          </cell>
        </row>
        <row r="83">
          <cell r="B83" t="str">
            <v>General Service 3,000 to 4,999 kW - Time of Use</v>
          </cell>
          <cell r="J83">
            <v>0</v>
          </cell>
        </row>
        <row r="84">
          <cell r="B84" t="str">
            <v>Intermediate With Self Generation</v>
          </cell>
          <cell r="J84">
            <v>0</v>
          </cell>
        </row>
        <row r="85">
          <cell r="B85" t="str">
            <v>General Service - Commercial</v>
          </cell>
          <cell r="J85">
            <v>0</v>
          </cell>
        </row>
        <row r="86">
          <cell r="B86" t="str">
            <v>General Service - Institutional</v>
          </cell>
          <cell r="J86">
            <v>0</v>
          </cell>
        </row>
        <row r="87">
          <cell r="B87" t="str">
            <v>Farms – Three Phase energy-billed [F3]</v>
          </cell>
          <cell r="J87">
            <v>0</v>
          </cell>
        </row>
        <row r="88">
          <cell r="B88" t="str">
            <v>Large Use</v>
          </cell>
          <cell r="J88">
            <v>0</v>
          </cell>
        </row>
        <row r="89">
          <cell r="B89" t="str">
            <v>Large Use - Regular</v>
          </cell>
          <cell r="J89">
            <v>0</v>
          </cell>
        </row>
        <row r="90">
          <cell r="B90" t="str">
            <v>Large Use &gt; 5000 kW</v>
          </cell>
          <cell r="D90" t="str">
            <v>$/kVA</v>
          </cell>
          <cell r="F90">
            <v>2376778322.949487</v>
          </cell>
          <cell r="G90">
            <v>4993733.30696673</v>
          </cell>
          <cell r="H90">
            <v>2272251249</v>
          </cell>
          <cell r="J90">
            <v>0</v>
          </cell>
        </row>
        <row r="91">
          <cell r="B91" t="str">
            <v>Large Use - 3TS</v>
          </cell>
          <cell r="J91">
            <v>0</v>
          </cell>
        </row>
        <row r="92">
          <cell r="B92" t="str">
            <v>Large Use - Ford Annex</v>
          </cell>
          <cell r="J92">
            <v>0</v>
          </cell>
        </row>
        <row r="93">
          <cell r="B93" t="str">
            <v>Unmetered Scattered Load</v>
          </cell>
          <cell r="D93" t="str">
            <v>$/kWh</v>
          </cell>
          <cell r="F93">
            <v>56231584.96968395</v>
          </cell>
          <cell r="J93">
            <v>0</v>
          </cell>
        </row>
        <row r="94">
          <cell r="B94" t="str">
            <v>Sentinel Lighting</v>
          </cell>
          <cell r="J94">
            <v>0</v>
          </cell>
        </row>
        <row r="95">
          <cell r="B95" t="str">
            <v>Street Lighting</v>
          </cell>
          <cell r="D95" t="str">
            <v>$/kVA</v>
          </cell>
          <cell r="F95">
            <v>110165015.81603143</v>
          </cell>
          <cell r="G95">
            <v>322022.8596</v>
          </cell>
          <cell r="H95">
            <v>110128567</v>
          </cell>
          <cell r="J95">
            <v>0</v>
          </cell>
        </row>
        <row r="96">
          <cell r="B96" t="str">
            <v>Embedded Distributor</v>
          </cell>
          <cell r="J96">
            <v>0</v>
          </cell>
        </row>
        <row r="97">
          <cell r="B97" t="str">
            <v>Low Voltage Wheeling Charge Rate</v>
          </cell>
          <cell r="J97">
            <v>0</v>
          </cell>
        </row>
        <row r="98">
          <cell r="B98" t="str">
            <v>Stand-By</v>
          </cell>
          <cell r="J98">
            <v>0</v>
          </cell>
        </row>
        <row r="99">
          <cell r="B99" t="str">
            <v>Standby Power</v>
          </cell>
          <cell r="J99">
            <v>0</v>
          </cell>
        </row>
        <row r="100">
          <cell r="B100" t="str">
            <v>Standby Power – INTERIM APPROVAL</v>
          </cell>
          <cell r="J100">
            <v>0</v>
          </cell>
        </row>
        <row r="101">
          <cell r="B101" t="str">
            <v>Standby Power - APPROVED ON AN INTERIM BASIS</v>
          </cell>
          <cell r="J101">
            <v>0</v>
          </cell>
        </row>
        <row r="102">
          <cell r="B102" t="str">
            <v>Standby - General Service 50 - 1,000 kW</v>
          </cell>
          <cell r="J102">
            <v>0</v>
          </cell>
        </row>
        <row r="103">
          <cell r="B103" t="str">
            <v>Standby Power General Service 50 to 1,499 kW</v>
          </cell>
          <cell r="J103">
            <v>0</v>
          </cell>
        </row>
        <row r="104">
          <cell r="B104" t="str">
            <v>Standby - General Service 1,000 - 5,000 kW</v>
          </cell>
          <cell r="J104">
            <v>0</v>
          </cell>
        </row>
        <row r="105">
          <cell r="B105" t="str">
            <v>Standby Power General Service 1,500 to 4,999 kW</v>
          </cell>
          <cell r="J105">
            <v>0</v>
          </cell>
        </row>
        <row r="106">
          <cell r="B106" t="str">
            <v>Standby - Large Use</v>
          </cell>
          <cell r="J106">
            <v>0</v>
          </cell>
        </row>
        <row r="107">
          <cell r="B107" t="str">
            <v>Standby Power General Service Large Use</v>
          </cell>
          <cell r="J107">
            <v>0</v>
          </cell>
        </row>
        <row r="108">
          <cell r="B108" t="str">
            <v>Standby Distribution Service</v>
          </cell>
          <cell r="J108">
            <v>0</v>
          </cell>
        </row>
        <row r="110">
          <cell r="B110" t="str">
            <v>Total</v>
          </cell>
          <cell r="F110">
            <v>24412564087.717564</v>
          </cell>
          <cell r="G110">
            <v>42838066.71619871</v>
          </cell>
          <cell r="H110">
            <v>14468942643</v>
          </cell>
        </row>
        <row r="112">
          <cell r="B112" t="str">
            <v>Total Claim (including Accounts 1521 and 1562)</v>
          </cell>
          <cell r="F112">
            <v>-2032380.1930312868</v>
          </cell>
        </row>
        <row r="114">
          <cell r="B114" t="str">
            <v>Total Claim for Threshold Test                                               (All Group 1 Accounts)</v>
          </cell>
          <cell r="F114">
            <v>4436319.028073207</v>
          </cell>
        </row>
        <row r="116">
          <cell r="B116" t="str">
            <v>Threshold Test 3 </v>
          </cell>
          <cell r="F116">
            <v>0.00018172278061955833</v>
          </cell>
          <cell r="G116" t="str">
            <v>Claim does not meet the threshold test.  If data has been entered on Sheet 9 for Accounts 1521 and 1562, the model will only dispose of Accounts 1521 and 1562.</v>
          </cell>
        </row>
        <row r="117">
          <cell r="B117" t="str">
            <v>(Total Claim per kWh)</v>
          </cell>
        </row>
        <row r="120">
          <cell r="B120" t="str">
            <v>1 For Account 1562, the allocation to customer classes should be performed on the basis of the test year distribution revenue allocation to customer classes found in the Applicant’s Cost of Service application that was most recently approved at the time o</v>
          </cell>
        </row>
        <row r="123">
          <cell r="B123" t="str">
            <v>2 Residual Account balance to be allocated to rate classes in proportion to the recovery share as established when rate riders were implemented.</v>
          </cell>
        </row>
        <row r="124">
          <cell r="B124" t="str">
            <v>3 The Threshold Test does not include the amount in 1521 nor 1562.</v>
          </cell>
        </row>
      </sheetData>
      <sheetData sheetId="10">
        <row r="25">
          <cell r="R25">
            <v>116043.77167701446</v>
          </cell>
        </row>
        <row r="26">
          <cell r="R26">
            <v>0</v>
          </cell>
        </row>
        <row r="27">
          <cell r="R27">
            <v>2369.5925339772557</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50799.19825494986</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R49">
            <v>0</v>
          </cell>
        </row>
        <row r="50">
          <cell r="R50">
            <v>240218.46122378248</v>
          </cell>
        </row>
        <row r="51">
          <cell r="R51">
            <v>0</v>
          </cell>
        </row>
        <row r="52">
          <cell r="R52">
            <v>0</v>
          </cell>
        </row>
        <row r="53">
          <cell r="R53">
            <v>0</v>
          </cell>
        </row>
        <row r="54">
          <cell r="R54">
            <v>0</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109868.77022409209</v>
          </cell>
        </row>
        <row r="69">
          <cell r="R69">
            <v>0</v>
          </cell>
        </row>
        <row r="70">
          <cell r="R70">
            <v>0</v>
          </cell>
        </row>
        <row r="71">
          <cell r="R71">
            <v>0</v>
          </cell>
        </row>
        <row r="72">
          <cell r="R72">
            <v>0</v>
          </cell>
        </row>
        <row r="73">
          <cell r="R73">
            <v>0</v>
          </cell>
        </row>
        <row r="74">
          <cell r="R74">
            <v>0</v>
          </cell>
        </row>
        <row r="75">
          <cell r="R75">
            <v>0</v>
          </cell>
        </row>
        <row r="76">
          <cell r="R76">
            <v>0</v>
          </cell>
        </row>
        <row r="77">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56437.81287313003</v>
          </cell>
        </row>
        <row r="90">
          <cell r="R90">
            <v>0</v>
          </cell>
        </row>
        <row r="91">
          <cell r="R91">
            <v>0</v>
          </cell>
        </row>
        <row r="92">
          <cell r="R92">
            <v>1335.2476499113466</v>
          </cell>
        </row>
        <row r="93">
          <cell r="R93">
            <v>0</v>
          </cell>
        </row>
        <row r="94">
          <cell r="R94">
            <v>2615.9244586491163</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17">
          <cell r="H117">
            <v>0</v>
          </cell>
        </row>
        <row r="118">
          <cell r="H118">
            <v>0</v>
          </cell>
        </row>
        <row r="119">
          <cell r="H119">
            <v>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2">
          <cell r="H192">
            <v>0</v>
          </cell>
        </row>
        <row r="193">
          <cell r="H193">
            <v>0</v>
          </cell>
        </row>
        <row r="194">
          <cell r="H194">
            <v>0</v>
          </cell>
        </row>
        <row r="195">
          <cell r="H195">
            <v>0</v>
          </cell>
        </row>
        <row r="196">
          <cell r="H196">
            <v>0</v>
          </cell>
        </row>
        <row r="197">
          <cell r="H197">
            <v>0</v>
          </cell>
        </row>
        <row r="198">
          <cell r="H198">
            <v>0</v>
          </cell>
        </row>
        <row r="199">
          <cell r="H199">
            <v>0</v>
          </cell>
        </row>
        <row r="207">
          <cell r="G207">
            <v>-2742954.576016664</v>
          </cell>
        </row>
        <row r="208">
          <cell r="G208">
            <v>0</v>
          </cell>
        </row>
        <row r="209">
          <cell r="G209">
            <v>-61637.21053370502</v>
          </cell>
        </row>
        <row r="210">
          <cell r="G210">
            <v>0</v>
          </cell>
        </row>
        <row r="211">
          <cell r="G211">
            <v>0</v>
          </cell>
        </row>
        <row r="212">
          <cell r="G212">
            <v>0</v>
          </cell>
        </row>
        <row r="213">
          <cell r="G213">
            <v>0</v>
          </cell>
        </row>
        <row r="214">
          <cell r="G214">
            <v>0</v>
          </cell>
        </row>
        <row r="215">
          <cell r="G215">
            <v>0</v>
          </cell>
        </row>
        <row r="216">
          <cell r="G216">
            <v>0</v>
          </cell>
        </row>
        <row r="217">
          <cell r="G217">
            <v>0</v>
          </cell>
        </row>
        <row r="218">
          <cell r="G218">
            <v>0</v>
          </cell>
        </row>
        <row r="219">
          <cell r="G219">
            <v>0</v>
          </cell>
        </row>
        <row r="220">
          <cell r="G220">
            <v>0</v>
          </cell>
        </row>
        <row r="221">
          <cell r="G221">
            <v>-901126.8864826048</v>
          </cell>
        </row>
        <row r="222">
          <cell r="G222">
            <v>0</v>
          </cell>
        </row>
        <row r="223">
          <cell r="G223">
            <v>0</v>
          </cell>
        </row>
        <row r="224">
          <cell r="G224">
            <v>0</v>
          </cell>
        </row>
        <row r="225">
          <cell r="G225">
            <v>0</v>
          </cell>
        </row>
        <row r="226">
          <cell r="G226">
            <v>0</v>
          </cell>
        </row>
        <row r="227">
          <cell r="G227">
            <v>0</v>
          </cell>
        </row>
        <row r="228">
          <cell r="G228">
            <v>0</v>
          </cell>
        </row>
        <row r="229">
          <cell r="G229">
            <v>0</v>
          </cell>
        </row>
        <row r="230">
          <cell r="G230">
            <v>0</v>
          </cell>
        </row>
        <row r="231">
          <cell r="G231">
            <v>0</v>
          </cell>
        </row>
        <row r="232">
          <cell r="G232">
            <v>-2094119.7649152412</v>
          </cell>
        </row>
        <row r="233">
          <cell r="G233">
            <v>0</v>
          </cell>
        </row>
        <row r="234">
          <cell r="G234">
            <v>0</v>
          </cell>
        </row>
        <row r="235">
          <cell r="G235">
            <v>0</v>
          </cell>
        </row>
        <row r="236">
          <cell r="G236">
            <v>0</v>
          </cell>
        </row>
        <row r="237">
          <cell r="G237">
            <v>0</v>
          </cell>
        </row>
        <row r="238">
          <cell r="G238">
            <v>0</v>
          </cell>
        </row>
        <row r="239">
          <cell r="G239">
            <v>0</v>
          </cell>
        </row>
        <row r="240">
          <cell r="G240">
            <v>0</v>
          </cell>
        </row>
        <row r="241">
          <cell r="G241">
            <v>0</v>
          </cell>
        </row>
        <row r="242">
          <cell r="G242">
            <v>0</v>
          </cell>
        </row>
        <row r="243">
          <cell r="G243">
            <v>0</v>
          </cell>
        </row>
        <row r="244">
          <cell r="G244">
            <v>0</v>
          </cell>
        </row>
        <row r="245">
          <cell r="G245">
            <v>0</v>
          </cell>
        </row>
        <row r="246">
          <cell r="G246">
            <v>0</v>
          </cell>
        </row>
        <row r="247">
          <cell r="G247">
            <v>0</v>
          </cell>
        </row>
        <row r="248">
          <cell r="G248">
            <v>0</v>
          </cell>
        </row>
        <row r="249">
          <cell r="G249">
            <v>0</v>
          </cell>
        </row>
        <row r="250">
          <cell r="G250">
            <v>-687930.5050630029</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0</v>
          </cell>
        </row>
        <row r="261">
          <cell r="G261">
            <v>0</v>
          </cell>
        </row>
        <row r="262">
          <cell r="G262">
            <v>0</v>
          </cell>
        </row>
        <row r="263">
          <cell r="G263">
            <v>0</v>
          </cell>
        </row>
        <row r="264">
          <cell r="G264">
            <v>0</v>
          </cell>
        </row>
        <row r="265">
          <cell r="G265">
            <v>0</v>
          </cell>
        </row>
        <row r="266">
          <cell r="G266">
            <v>0</v>
          </cell>
        </row>
        <row r="267">
          <cell r="G267">
            <v>0</v>
          </cell>
        </row>
        <row r="268">
          <cell r="G268">
            <v>0</v>
          </cell>
        </row>
        <row r="269">
          <cell r="G269">
            <v>0</v>
          </cell>
        </row>
        <row r="270">
          <cell r="G270">
            <v>0</v>
          </cell>
        </row>
        <row r="271">
          <cell r="G271">
            <v>-339927.39620578504</v>
          </cell>
        </row>
        <row r="272">
          <cell r="G272">
            <v>0</v>
          </cell>
        </row>
        <row r="273">
          <cell r="G273">
            <v>0</v>
          </cell>
        </row>
        <row r="274">
          <cell r="G274">
            <v>-62731.08357867981</v>
          </cell>
        </row>
        <row r="275">
          <cell r="G275">
            <v>0</v>
          </cell>
        </row>
        <row r="276">
          <cell r="G276">
            <v>-157960.57720431703</v>
          </cell>
        </row>
        <row r="277">
          <cell r="G277">
            <v>0</v>
          </cell>
        </row>
        <row r="278">
          <cell r="G278">
            <v>0</v>
          </cell>
        </row>
        <row r="279">
          <cell r="G279">
            <v>0</v>
          </cell>
        </row>
        <row r="280">
          <cell r="G280">
            <v>0</v>
          </cell>
        </row>
        <row r="281">
          <cell r="G281">
            <v>0</v>
          </cell>
        </row>
        <row r="282">
          <cell r="G282">
            <v>0</v>
          </cell>
        </row>
        <row r="283">
          <cell r="G283">
            <v>0</v>
          </cell>
        </row>
        <row r="284">
          <cell r="G284">
            <v>0</v>
          </cell>
        </row>
        <row r="285">
          <cell r="G285">
            <v>0</v>
          </cell>
        </row>
        <row r="286">
          <cell r="G286">
            <v>0</v>
          </cell>
        </row>
        <row r="287">
          <cell r="G287">
            <v>0</v>
          </cell>
        </row>
        <row r="288">
          <cell r="G288">
            <v>0</v>
          </cell>
        </row>
        <row r="289">
          <cell r="G28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Index" TargetMode="External" /></Relationships>
</file>

<file path=xl/worksheets/sheet1.xml><?xml version="1.0" encoding="utf-8"?>
<worksheet xmlns="http://schemas.openxmlformats.org/spreadsheetml/2006/main" xmlns:r="http://schemas.openxmlformats.org/officeDocument/2006/relationships">
  <dimension ref="B1:S31"/>
  <sheetViews>
    <sheetView zoomScalePageLayoutView="0" workbookViewId="0" topLeftCell="A1">
      <selection activeCell="I30" sqref="I30"/>
    </sheetView>
  </sheetViews>
  <sheetFormatPr defaultColWidth="9.140625" defaultRowHeight="15"/>
  <cols>
    <col min="4" max="4" width="28.00390625" style="0" customWidth="1"/>
    <col min="5" max="5" width="14.7109375" style="0" customWidth="1"/>
    <col min="6" max="6" width="17.421875" style="0" customWidth="1"/>
    <col min="7" max="8" width="14.7109375" style="0" customWidth="1"/>
    <col min="9" max="9" width="16.8515625" style="0" customWidth="1"/>
    <col min="10" max="12" width="14.7109375" style="0" customWidth="1"/>
    <col min="13" max="13" width="15.28125" style="0" customWidth="1"/>
    <col min="14" max="14" width="16.140625" style="0" customWidth="1"/>
    <col min="15" max="20" width="14.7109375" style="0" customWidth="1"/>
  </cols>
  <sheetData>
    <row r="1" spans="2:19" ht="15">
      <c r="B1" s="8"/>
      <c r="C1" s="8"/>
      <c r="D1" s="8"/>
      <c r="E1" s="9"/>
      <c r="F1" s="9"/>
      <c r="G1" s="9"/>
      <c r="H1" s="7"/>
      <c r="I1" s="1"/>
      <c r="J1" s="1"/>
      <c r="K1" s="1"/>
      <c r="L1" s="1"/>
      <c r="M1" s="1"/>
      <c r="N1" s="1"/>
      <c r="O1" s="1"/>
      <c r="P1" s="1"/>
      <c r="Q1" s="1"/>
      <c r="R1" s="1"/>
      <c r="S1" s="1"/>
    </row>
    <row r="2" spans="2:19" ht="15">
      <c r="B2" s="8"/>
      <c r="C2" s="8"/>
      <c r="D2" s="8"/>
      <c r="E2" s="9"/>
      <c r="F2" s="9"/>
      <c r="G2" s="9"/>
      <c r="H2" s="7"/>
      <c r="I2" s="1"/>
      <c r="J2" s="1"/>
      <c r="K2" s="1"/>
      <c r="L2" s="1"/>
      <c r="M2" s="1"/>
      <c r="N2" s="1"/>
      <c r="O2" s="1"/>
      <c r="P2" s="1"/>
      <c r="Q2" s="1"/>
      <c r="R2" s="1"/>
      <c r="S2" s="1"/>
    </row>
    <row r="3" spans="2:19" ht="15.75" thickBot="1">
      <c r="B3" s="8"/>
      <c r="C3" s="8"/>
      <c r="D3" s="8"/>
      <c r="E3" s="9"/>
      <c r="F3" s="9"/>
      <c r="G3" s="9"/>
      <c r="H3" s="7"/>
      <c r="I3" s="1"/>
      <c r="J3" s="1"/>
      <c r="K3" s="1"/>
      <c r="L3" s="1"/>
      <c r="M3" s="1"/>
      <c r="N3" s="1"/>
      <c r="O3" s="1"/>
      <c r="P3" s="1"/>
      <c r="Q3" s="1"/>
      <c r="R3" s="1"/>
      <c r="S3" s="1"/>
    </row>
    <row r="4" spans="2:19" ht="95.25" thickBot="1">
      <c r="B4" s="15" t="s">
        <v>6</v>
      </c>
      <c r="C4" s="16"/>
      <c r="D4" s="16"/>
      <c r="E4" s="15" t="s">
        <v>8</v>
      </c>
      <c r="F4" s="16" t="s">
        <v>9</v>
      </c>
      <c r="G4" s="16" t="s">
        <v>10</v>
      </c>
      <c r="H4" s="17" t="s">
        <v>11</v>
      </c>
      <c r="I4" s="16" t="s">
        <v>14</v>
      </c>
      <c r="J4" s="15" t="s">
        <v>15</v>
      </c>
      <c r="K4" s="16" t="s">
        <v>16</v>
      </c>
      <c r="L4" s="17" t="s">
        <v>17</v>
      </c>
      <c r="M4" s="15" t="s">
        <v>120</v>
      </c>
      <c r="N4" s="16" t="s">
        <v>121</v>
      </c>
      <c r="O4" s="17" t="s">
        <v>122</v>
      </c>
      <c r="P4" s="15" t="s">
        <v>18</v>
      </c>
      <c r="Q4" s="16" t="s">
        <v>19</v>
      </c>
      <c r="R4" s="17" t="s">
        <v>106</v>
      </c>
      <c r="S4" s="1"/>
    </row>
    <row r="5" spans="2:19" ht="15.75">
      <c r="B5" s="18"/>
      <c r="C5" s="19"/>
      <c r="D5" s="19"/>
      <c r="E5" s="35" t="s">
        <v>7</v>
      </c>
      <c r="F5" s="19" t="s">
        <v>7</v>
      </c>
      <c r="G5" s="19" t="s">
        <v>7</v>
      </c>
      <c r="H5" s="36" t="s">
        <v>7</v>
      </c>
      <c r="I5" s="3"/>
      <c r="J5" s="10"/>
      <c r="K5" s="3"/>
      <c r="L5" s="11"/>
      <c r="M5" s="10"/>
      <c r="N5" s="3"/>
      <c r="O5" s="11"/>
      <c r="P5" s="10"/>
      <c r="Q5" s="3"/>
      <c r="R5" s="11"/>
      <c r="S5" s="1"/>
    </row>
    <row r="6" spans="2:19" ht="15">
      <c r="B6" s="2" t="s">
        <v>0</v>
      </c>
      <c r="C6" s="20"/>
      <c r="D6" s="21"/>
      <c r="E6" s="37">
        <v>0.6402562047351791</v>
      </c>
      <c r="F6" s="22">
        <v>0.35974379526482086</v>
      </c>
      <c r="G6" s="22">
        <v>0</v>
      </c>
      <c r="H6" s="38">
        <v>0.3877135892114452</v>
      </c>
      <c r="I6" s="23">
        <f>+H6*$I$15</f>
        <v>-2508002.592543703</v>
      </c>
      <c r="J6" s="33">
        <f>+E6*I6</f>
        <v>-1605764.221368021</v>
      </c>
      <c r="K6" s="24">
        <f aca="true" t="shared" si="0" ref="K6:K14">+F6*I6</f>
        <v>-902238.3711756818</v>
      </c>
      <c r="L6" s="34">
        <f aca="true" t="shared" si="1" ref="L6:L14">+G6*I6</f>
        <v>0</v>
      </c>
      <c r="M6" s="4">
        <v>598508</v>
      </c>
      <c r="N6" s="4">
        <v>4525698913.42498</v>
      </c>
      <c r="O6" s="4"/>
      <c r="P6" s="12">
        <f>ROUND(((((+J6/(M6*11))*11)/334)*30),2)</f>
        <v>-0.24</v>
      </c>
      <c r="Q6" s="13">
        <f>ROUND(+K6/N6,5)</f>
        <v>-0.0002</v>
      </c>
      <c r="R6" s="11"/>
      <c r="S6" s="1"/>
    </row>
    <row r="7" spans="2:19" ht="15">
      <c r="B7" s="2" t="s">
        <v>1</v>
      </c>
      <c r="C7" s="21"/>
      <c r="D7" s="21"/>
      <c r="E7" s="37">
        <v>0.6649170222668978</v>
      </c>
      <c r="F7" s="22">
        <v>0.3350829777331023</v>
      </c>
      <c r="G7" s="22">
        <v>0</v>
      </c>
      <c r="H7" s="38">
        <v>0.014466981401338501</v>
      </c>
      <c r="I7" s="23">
        <f aca="true" t="shared" si="2" ref="I7:I14">+H7*$I$15</f>
        <v>-93582.55132257155</v>
      </c>
      <c r="J7" s="33">
        <f aca="true" t="shared" si="3" ref="J7:J14">+E7*I7</f>
        <v>-62224.63136154341</v>
      </c>
      <c r="K7" s="24">
        <f t="shared" si="0"/>
        <v>-31357.919961028147</v>
      </c>
      <c r="L7" s="34">
        <f t="shared" si="1"/>
        <v>0</v>
      </c>
      <c r="M7" s="4">
        <v>24898</v>
      </c>
      <c r="N7" s="4">
        <v>91475252</v>
      </c>
      <c r="O7" s="4" t="s">
        <v>7</v>
      </c>
      <c r="P7" s="12">
        <f aca="true" t="shared" si="4" ref="P7:P14">ROUND(((((+J7/(M7*11))*11)/334)*30),2)</f>
        <v>-0.22</v>
      </c>
      <c r="Q7" s="13">
        <f>ROUND(+K7/N7,5)</f>
        <v>-0.00034</v>
      </c>
      <c r="R7" s="11"/>
      <c r="S7" s="1"/>
    </row>
    <row r="8" spans="2:19" ht="15">
      <c r="B8" s="2" t="s">
        <v>2</v>
      </c>
      <c r="C8" s="21"/>
      <c r="D8" s="21"/>
      <c r="E8" s="37">
        <v>0.28525549973097825</v>
      </c>
      <c r="F8" s="22">
        <v>0.7147445002690217</v>
      </c>
      <c r="G8" s="22">
        <v>0</v>
      </c>
      <c r="H8" s="38">
        <v>0.12737328665517889</v>
      </c>
      <c r="I8" s="23">
        <f t="shared" si="2"/>
        <v>-823939.480175875</v>
      </c>
      <c r="J8" s="33">
        <f t="shared" si="3"/>
        <v>-235033.26816565168</v>
      </c>
      <c r="K8" s="24">
        <f t="shared" si="0"/>
        <v>-588906.2120102233</v>
      </c>
      <c r="L8" s="34">
        <f t="shared" si="1"/>
        <v>0</v>
      </c>
      <c r="M8" s="4">
        <v>65792.15586864308</v>
      </c>
      <c r="N8" s="4">
        <v>1973588443.9754324</v>
      </c>
      <c r="O8" s="4"/>
      <c r="P8" s="12">
        <f t="shared" si="4"/>
        <v>-0.32</v>
      </c>
      <c r="Q8" s="13">
        <f>ROUND(+K8/N8,5)</f>
        <v>-0.0003</v>
      </c>
      <c r="R8" s="11"/>
      <c r="S8" s="1"/>
    </row>
    <row r="9" spans="2:19" ht="15">
      <c r="B9" s="2" t="s">
        <v>3</v>
      </c>
      <c r="C9" s="21"/>
      <c r="D9" s="21"/>
      <c r="E9" s="37">
        <v>0.03567473213324626</v>
      </c>
      <c r="F9" s="22">
        <v>0</v>
      </c>
      <c r="G9" s="22">
        <v>0.9643252678667538</v>
      </c>
      <c r="H9" s="38">
        <v>0.29600150778763146</v>
      </c>
      <c r="I9" s="23">
        <f t="shared" si="2"/>
        <v>-1914744.7228716072</v>
      </c>
      <c r="J9" s="33">
        <f t="shared" si="3"/>
        <v>-68308.00509199144</v>
      </c>
      <c r="K9" s="24">
        <f t="shared" si="0"/>
        <v>0</v>
      </c>
      <c r="L9" s="34">
        <f t="shared" si="1"/>
        <v>-1846436.717779616</v>
      </c>
      <c r="M9" s="4">
        <v>13066.548999999999</v>
      </c>
      <c r="N9" s="4"/>
      <c r="O9" s="4">
        <v>24760209.860052735</v>
      </c>
      <c r="P9" s="12" t="s">
        <v>7</v>
      </c>
      <c r="Q9" s="3"/>
      <c r="R9" s="14">
        <f>ROUND(((((+L9/O9)*11)/334)*30),4)</f>
        <v>-0.0737</v>
      </c>
      <c r="S9" s="1"/>
    </row>
    <row r="10" spans="2:19" ht="15">
      <c r="B10" s="2" t="s">
        <v>67</v>
      </c>
      <c r="C10" s="21"/>
      <c r="D10" s="21"/>
      <c r="E10" s="37">
        <v>0.08246570384666954</v>
      </c>
      <c r="F10" s="22">
        <v>0</v>
      </c>
      <c r="G10" s="22">
        <v>0.9175342961533305</v>
      </c>
      <c r="H10" s="38">
        <v>0.09723821443421479</v>
      </c>
      <c r="I10" s="23">
        <f t="shared" si="2"/>
        <v>-629004.761972197</v>
      </c>
      <c r="J10" s="33">
        <f t="shared" si="3"/>
        <v>-51871.320418944066</v>
      </c>
      <c r="K10" s="24">
        <f t="shared" si="0"/>
        <v>0</v>
      </c>
      <c r="L10" s="34">
        <f t="shared" si="1"/>
        <v>-577133.441553253</v>
      </c>
      <c r="M10" s="4">
        <v>514</v>
      </c>
      <c r="N10" s="4"/>
      <c r="O10" s="4">
        <v>9712360.014664905</v>
      </c>
      <c r="P10" s="12" t="s">
        <v>7</v>
      </c>
      <c r="Q10" s="3"/>
      <c r="R10" s="14">
        <f>ROUND(((((+L10/O10)*11)/334)*30),4)</f>
        <v>-0.0587</v>
      </c>
      <c r="S10" s="1"/>
    </row>
    <row r="11" spans="2:19" ht="15">
      <c r="B11" s="2" t="s">
        <v>13</v>
      </c>
      <c r="C11" s="21"/>
      <c r="D11" s="21"/>
      <c r="E11" s="37">
        <v>0.066894334452784</v>
      </c>
      <c r="F11" s="22">
        <v>0</v>
      </c>
      <c r="G11" s="22">
        <v>0.9331056655472161</v>
      </c>
      <c r="H11" s="38">
        <v>0.048048360700758914</v>
      </c>
      <c r="I11" s="23">
        <f t="shared" si="2"/>
        <v>-310810.39344034693</v>
      </c>
      <c r="J11" s="33">
        <f t="shared" si="3"/>
        <v>-20791.454410199953</v>
      </c>
      <c r="K11" s="24">
        <f t="shared" si="0"/>
        <v>0</v>
      </c>
      <c r="L11" s="34">
        <f t="shared" si="1"/>
        <v>-290018.939030147</v>
      </c>
      <c r="M11" s="4">
        <v>47</v>
      </c>
      <c r="N11" s="4"/>
      <c r="O11" s="4">
        <v>4583463.932266163</v>
      </c>
      <c r="P11" s="12" t="s">
        <v>7</v>
      </c>
      <c r="Q11" s="3"/>
      <c r="R11" s="14">
        <f>ROUND(((((+L11/O11)*11)/334)*30),4)</f>
        <v>-0.0625</v>
      </c>
      <c r="S11" s="1"/>
    </row>
    <row r="12" spans="2:19" ht="15">
      <c r="B12" s="2" t="s">
        <v>4</v>
      </c>
      <c r="C12" s="21"/>
      <c r="D12" s="21"/>
      <c r="E12" s="37">
        <v>0.21539090022901006</v>
      </c>
      <c r="F12" s="22">
        <v>0</v>
      </c>
      <c r="G12" s="22">
        <v>0.7846090997709899</v>
      </c>
      <c r="H12" s="38">
        <v>0.022327552514827095</v>
      </c>
      <c r="I12" s="23">
        <f t="shared" si="2"/>
        <v>-144430.2215618317</v>
      </c>
      <c r="J12" s="33">
        <f t="shared" si="3"/>
        <v>-31108.955442478313</v>
      </c>
      <c r="K12" s="24">
        <f t="shared" si="0"/>
        <v>0</v>
      </c>
      <c r="L12" s="34">
        <f t="shared" si="1"/>
        <v>-113321.2661193534</v>
      </c>
      <c r="M12" s="4">
        <v>162777.033</v>
      </c>
      <c r="N12" s="4"/>
      <c r="O12" s="4">
        <v>295192.142</v>
      </c>
      <c r="P12" s="12">
        <f t="shared" si="4"/>
        <v>-0.02</v>
      </c>
      <c r="Q12" s="3"/>
      <c r="R12" s="14">
        <f>ROUND(((((+L12/O12)*11)/334)*30),4)</f>
        <v>-0.3793</v>
      </c>
      <c r="S12" s="1"/>
    </row>
    <row r="13" spans="2:19" ht="15">
      <c r="B13" s="2" t="s">
        <v>5</v>
      </c>
      <c r="C13" s="21"/>
      <c r="D13" s="21"/>
      <c r="E13" s="37">
        <v>0.01885985543022573</v>
      </c>
      <c r="F13" s="22">
        <v>0.9811401445697742</v>
      </c>
      <c r="G13" s="22">
        <v>0</v>
      </c>
      <c r="H13" s="38">
        <v>0.006588532834230381</v>
      </c>
      <c r="I13" s="23">
        <f t="shared" si="2"/>
        <v>-42619.237213007444</v>
      </c>
      <c r="J13" s="33">
        <f t="shared" si="3"/>
        <v>-803.7926523838169</v>
      </c>
      <c r="K13" s="24">
        <f t="shared" si="0"/>
        <v>-41815.44456062362</v>
      </c>
      <c r="L13" s="34">
        <f t="shared" si="1"/>
        <v>0</v>
      </c>
      <c r="M13" s="4">
        <v>1129.6651261047787</v>
      </c>
      <c r="N13" s="4">
        <v>51545619.555543624</v>
      </c>
      <c r="O13" s="4"/>
      <c r="P13" s="12">
        <f t="shared" si="4"/>
        <v>-0.06</v>
      </c>
      <c r="Q13" s="13">
        <f>ROUND(+K13/N13,5)</f>
        <v>-0.00081</v>
      </c>
      <c r="R13" s="11"/>
      <c r="S13" s="1"/>
    </row>
    <row r="14" spans="2:19" ht="15">
      <c r="B14" s="2" t="s">
        <v>5</v>
      </c>
      <c r="C14" s="21"/>
      <c r="D14" s="21"/>
      <c r="E14" s="37">
        <v>1</v>
      </c>
      <c r="F14" s="22">
        <v>0</v>
      </c>
      <c r="G14" s="22">
        <v>0</v>
      </c>
      <c r="H14" s="38">
        <v>0.00024197446037475503</v>
      </c>
      <c r="I14" s="23">
        <f t="shared" si="2"/>
        <v>-1565.260003353358</v>
      </c>
      <c r="J14" s="33">
        <f t="shared" si="3"/>
        <v>-1565.260003353358</v>
      </c>
      <c r="K14" s="24">
        <f t="shared" si="0"/>
        <v>0</v>
      </c>
      <c r="L14" s="34">
        <f t="shared" si="1"/>
        <v>0</v>
      </c>
      <c r="M14" s="4">
        <v>21729.08603786342</v>
      </c>
      <c r="N14" s="4"/>
      <c r="O14" s="4"/>
      <c r="P14" s="12">
        <f t="shared" si="4"/>
        <v>-0.01</v>
      </c>
      <c r="Q14" s="3"/>
      <c r="R14" s="11"/>
      <c r="S14" s="1"/>
    </row>
    <row r="15" spans="2:19" ht="15.75" thickBot="1">
      <c r="B15" s="25"/>
      <c r="C15" s="21"/>
      <c r="D15" s="21"/>
      <c r="E15" s="39"/>
      <c r="F15" s="26"/>
      <c r="G15" s="26"/>
      <c r="H15" s="40">
        <v>0.9999999999999999</v>
      </c>
      <c r="I15" s="88">
        <f>+'Output from 2013 IRM Model '!I95</f>
        <v>-6468699.221104493</v>
      </c>
      <c r="J15" s="10"/>
      <c r="K15" s="3"/>
      <c r="L15" s="11"/>
      <c r="M15" s="31"/>
      <c r="N15" s="4"/>
      <c r="O15" s="32"/>
      <c r="P15" s="10"/>
      <c r="Q15" s="3"/>
      <c r="R15" s="11"/>
      <c r="S15" s="1"/>
    </row>
    <row r="16" spans="2:19" ht="15.75" thickBot="1">
      <c r="B16" s="27"/>
      <c r="C16" s="28"/>
      <c r="D16" s="28"/>
      <c r="E16" s="41"/>
      <c r="F16" s="29"/>
      <c r="G16" s="29"/>
      <c r="H16" s="42"/>
      <c r="I16" s="6"/>
      <c r="J16" s="5"/>
      <c r="K16" s="6"/>
      <c r="L16" s="30"/>
      <c r="M16" s="5"/>
      <c r="N16" s="6"/>
      <c r="O16" s="30"/>
      <c r="P16" s="5"/>
      <c r="Q16" s="6"/>
      <c r="R16" s="30"/>
      <c r="S16" s="1"/>
    </row>
    <row r="17" spans="2:19" ht="15">
      <c r="B17" s="8"/>
      <c r="C17" s="8"/>
      <c r="D17" s="8"/>
      <c r="E17" s="9"/>
      <c r="F17" s="9"/>
      <c r="G17" s="9"/>
      <c r="H17" s="7"/>
      <c r="I17" s="1"/>
      <c r="J17" s="1"/>
      <c r="K17" s="1"/>
      <c r="L17" s="1"/>
      <c r="M17" s="1"/>
      <c r="N17" s="1"/>
      <c r="O17" s="1"/>
      <c r="P17" s="1"/>
      <c r="Q17" s="1"/>
      <c r="R17" s="1"/>
      <c r="S17" s="1"/>
    </row>
    <row r="18" ht="15">
      <c r="S18" s="1"/>
    </row>
    <row r="19" spans="16:19" ht="15">
      <c r="P19" s="86" t="s">
        <v>7</v>
      </c>
      <c r="R19" s="87" t="s">
        <v>7</v>
      </c>
      <c r="S19" s="1"/>
    </row>
    <row r="20" spans="16:19" ht="15">
      <c r="P20" t="s">
        <v>7</v>
      </c>
      <c r="S20" s="1"/>
    </row>
    <row r="21" spans="16:19" ht="15">
      <c r="P21" t="s">
        <v>7</v>
      </c>
      <c r="S21" s="1"/>
    </row>
    <row r="22" spans="16:19" ht="15">
      <c r="P22" s="86" t="s">
        <v>7</v>
      </c>
      <c r="S22" s="1"/>
    </row>
    <row r="23" spans="16:19" ht="15">
      <c r="P23" t="s">
        <v>123</v>
      </c>
      <c r="S23" s="1"/>
    </row>
    <row r="24" ht="15">
      <c r="S24" s="1"/>
    </row>
    <row r="25" ht="15">
      <c r="S25" s="1"/>
    </row>
    <row r="26" ht="15">
      <c r="S26" s="1"/>
    </row>
    <row r="27" ht="15">
      <c r="S27" s="1"/>
    </row>
    <row r="28" ht="15">
      <c r="S28" s="1"/>
    </row>
    <row r="29" ht="15">
      <c r="S29" s="1"/>
    </row>
    <row r="30" ht="15">
      <c r="S30" s="1"/>
    </row>
    <row r="31" spans="11:19" ht="15">
      <c r="K31" s="1"/>
      <c r="L31" s="1"/>
      <c r="M31" s="1"/>
      <c r="N31" s="1"/>
      <c r="O31" s="1"/>
      <c r="P31" s="1"/>
      <c r="Q31" s="1"/>
      <c r="R31" s="1"/>
      <c r="S31"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16"/>
  <sheetViews>
    <sheetView tabSelected="1" zoomScalePageLayoutView="0" workbookViewId="0" topLeftCell="A1">
      <selection activeCell="C2" sqref="C2"/>
    </sheetView>
  </sheetViews>
  <sheetFormatPr defaultColWidth="9.140625" defaultRowHeight="15"/>
  <cols>
    <col min="1" max="5" width="15.7109375" style="0" customWidth="1"/>
    <col min="6" max="6" width="2.8515625" style="0" customWidth="1"/>
    <col min="7" max="7" width="1.57421875" style="0" customWidth="1"/>
    <col min="8" max="8" width="17.7109375" style="95" customWidth="1"/>
    <col min="9" max="10" width="15.7109375" style="0" customWidth="1"/>
    <col min="14" max="14" width="12.7109375" style="0" bestFit="1" customWidth="1"/>
  </cols>
  <sheetData>
    <row r="1" ht="21">
      <c r="A1" s="96" t="s">
        <v>125</v>
      </c>
    </row>
    <row r="2" spans="1:10" ht="148.5" customHeight="1">
      <c r="A2" s="1"/>
      <c r="B2" s="1"/>
      <c r="C2" s="68" t="s">
        <v>105</v>
      </c>
      <c r="D2" s="68" t="s">
        <v>107</v>
      </c>
      <c r="E2" s="68" t="s">
        <v>108</v>
      </c>
      <c r="F2" s="68"/>
      <c r="G2" s="68"/>
      <c r="H2" s="90" t="s">
        <v>118</v>
      </c>
      <c r="I2" s="68" t="s">
        <v>126</v>
      </c>
      <c r="J2" s="68" t="s">
        <v>124</v>
      </c>
    </row>
    <row r="3" spans="1:10" ht="15.75" thickBot="1">
      <c r="A3" s="1"/>
      <c r="B3" s="1"/>
      <c r="C3" s="1"/>
      <c r="D3" s="1"/>
      <c r="E3" s="1"/>
      <c r="F3" s="1"/>
      <c r="G3" s="1"/>
      <c r="H3" s="91"/>
      <c r="I3" s="1"/>
      <c r="J3" s="1"/>
    </row>
    <row r="4" spans="1:10" ht="19.5" thickBot="1">
      <c r="A4" s="69" t="s">
        <v>7</v>
      </c>
      <c r="B4" s="70" t="s">
        <v>7</v>
      </c>
      <c r="C4" s="71"/>
      <c r="D4" s="71"/>
      <c r="E4" s="71"/>
      <c r="F4" s="70"/>
      <c r="G4" s="70"/>
      <c r="H4" s="92"/>
      <c r="I4" s="69" t="s">
        <v>119</v>
      </c>
      <c r="J4" s="72"/>
    </row>
    <row r="5" spans="1:10" ht="15">
      <c r="A5" s="2" t="s">
        <v>0</v>
      </c>
      <c r="B5" s="3"/>
      <c r="C5" s="4">
        <v>598508</v>
      </c>
      <c r="D5" s="4">
        <v>4525698913.42498</v>
      </c>
      <c r="E5" s="4"/>
      <c r="F5" s="3"/>
      <c r="G5" s="3"/>
      <c r="H5" s="93">
        <f>+'Output from 2013 IRM Model '!I11</f>
        <v>-2626910.8043396496</v>
      </c>
      <c r="I5" s="84">
        <f>ROUND(+H5/D5,5)</f>
        <v>-0.00058</v>
      </c>
      <c r="J5" s="76" t="s">
        <v>7</v>
      </c>
    </row>
    <row r="6" spans="1:10" ht="15">
      <c r="A6" s="2" t="s">
        <v>1</v>
      </c>
      <c r="B6" s="3"/>
      <c r="C6" s="4">
        <v>24898</v>
      </c>
      <c r="D6" s="4">
        <v>91475252</v>
      </c>
      <c r="E6" s="4" t="s">
        <v>7</v>
      </c>
      <c r="F6" s="3"/>
      <c r="G6" s="3"/>
      <c r="H6" s="93">
        <f>+'Output from 2013 IRM Model '!I13</f>
        <v>-59267.617999727765</v>
      </c>
      <c r="I6" s="84">
        <f>ROUND(+H6/D6,5)</f>
        <v>-0.00065</v>
      </c>
      <c r="J6" s="76" t="s">
        <v>7</v>
      </c>
    </row>
    <row r="7" spans="1:10" ht="15">
      <c r="A7" s="2" t="s">
        <v>2</v>
      </c>
      <c r="B7" s="3"/>
      <c r="C7" s="4">
        <v>65792.15586864308</v>
      </c>
      <c r="D7" s="4">
        <v>1973588443.9754324</v>
      </c>
      <c r="E7" s="4"/>
      <c r="F7" s="3"/>
      <c r="G7" s="3"/>
      <c r="H7" s="93">
        <f>+'Output from 2013 IRM Model '!I25</f>
        <v>-850327.6882276549</v>
      </c>
      <c r="I7" s="84">
        <f>ROUND(+H7/D7,5)</f>
        <v>-0.00043</v>
      </c>
      <c r="J7" s="76" t="s">
        <v>7</v>
      </c>
    </row>
    <row r="8" spans="1:14" ht="15">
      <c r="A8" s="2" t="s">
        <v>3</v>
      </c>
      <c r="B8" s="3"/>
      <c r="C8" s="4">
        <v>13066.548999999999</v>
      </c>
      <c r="D8" s="4"/>
      <c r="E8" s="4">
        <v>24760209.860052735</v>
      </c>
      <c r="F8" s="3"/>
      <c r="G8" s="3"/>
      <c r="H8" s="93">
        <f>+'Output from 2013 IRM Model '!I36</f>
        <v>-1853901.3036914587</v>
      </c>
      <c r="I8" s="84" t="s">
        <v>7</v>
      </c>
      <c r="J8" s="77">
        <f>ROUND((((+H8/E8)*11)/334)*30,4)</f>
        <v>-0.074</v>
      </c>
      <c r="K8" s="89" t="s">
        <v>7</v>
      </c>
      <c r="L8" t="s">
        <v>7</v>
      </c>
      <c r="M8" t="s">
        <v>7</v>
      </c>
      <c r="N8" t="s">
        <v>7</v>
      </c>
    </row>
    <row r="9" spans="1:10" ht="15">
      <c r="A9" s="2" t="s">
        <v>67</v>
      </c>
      <c r="B9" s="3"/>
      <c r="C9" s="4">
        <v>514</v>
      </c>
      <c r="D9" s="4"/>
      <c r="E9" s="4">
        <v>9712360.014664905</v>
      </c>
      <c r="F9" s="3"/>
      <c r="G9" s="3"/>
      <c r="H9" s="93">
        <f>+'Output from 2013 IRM Model '!I54</f>
        <v>-578061.7348389109</v>
      </c>
      <c r="I9" s="84" t="s">
        <v>7</v>
      </c>
      <c r="J9" s="77">
        <f>ROUND((((+H9/E9)*11)/334)*30,4)</f>
        <v>-0.0588</v>
      </c>
    </row>
    <row r="10" spans="1:10" ht="15">
      <c r="A10" s="2" t="s">
        <v>86</v>
      </c>
      <c r="B10" s="3"/>
      <c r="C10" s="4">
        <v>47</v>
      </c>
      <c r="D10" s="4"/>
      <c r="E10" s="4">
        <v>4583463.932266163</v>
      </c>
      <c r="F10" s="3"/>
      <c r="G10" s="3"/>
      <c r="H10" s="93">
        <f>+'Output from 2013 IRM Model '!I75</f>
        <v>-283489.583332655</v>
      </c>
      <c r="I10" s="84" t="s">
        <v>7</v>
      </c>
      <c r="J10" s="77">
        <f>ROUND((((+H10/E10)*11)/334)*30,4)</f>
        <v>-0.0611</v>
      </c>
    </row>
    <row r="11" spans="1:10" ht="15">
      <c r="A11" s="2" t="s">
        <v>4</v>
      </c>
      <c r="B11" s="3"/>
      <c r="C11" s="4">
        <v>162777.033</v>
      </c>
      <c r="D11" s="4"/>
      <c r="E11" s="4">
        <v>295192.142</v>
      </c>
      <c r="F11" s="3"/>
      <c r="G11" s="3"/>
      <c r="H11" s="93">
        <f>+'Output from 2013 IRM Model '!I80</f>
        <v>-155344.6527456679</v>
      </c>
      <c r="I11" s="84" t="s">
        <v>7</v>
      </c>
      <c r="J11" s="77">
        <f>ROUND((((+H11/E11)*11)/334)*30,4)</f>
        <v>-0.5199</v>
      </c>
    </row>
    <row r="12" spans="1:10" ht="15">
      <c r="A12" s="2" t="s">
        <v>5</v>
      </c>
      <c r="B12" s="3"/>
      <c r="C12" s="4">
        <v>1129.6651261047787</v>
      </c>
      <c r="D12" s="4">
        <v>51545619.555543624</v>
      </c>
      <c r="E12" s="4"/>
      <c r="F12" s="3"/>
      <c r="G12" s="3"/>
      <c r="H12" s="93">
        <f>+'Output from 2013 IRM Model '!I78</f>
        <v>-61395.835928768465</v>
      </c>
      <c r="I12" s="84">
        <f>ROUND(+H12/D12,5)</f>
        <v>-0.00119</v>
      </c>
      <c r="J12" s="76" t="s">
        <v>7</v>
      </c>
    </row>
    <row r="13" spans="1:10" ht="15">
      <c r="A13" s="2" t="s">
        <v>5</v>
      </c>
      <c r="B13" s="3"/>
      <c r="C13" s="4">
        <v>21729.08603786342</v>
      </c>
      <c r="D13" s="4"/>
      <c r="E13" s="4"/>
      <c r="F13" s="3"/>
      <c r="G13" s="3"/>
      <c r="H13" s="93">
        <v>0</v>
      </c>
      <c r="I13" s="84" t="s">
        <v>7</v>
      </c>
      <c r="J13" s="76" t="s">
        <v>7</v>
      </c>
    </row>
    <row r="14" spans="1:10" ht="15.75" thickBot="1">
      <c r="A14" s="5"/>
      <c r="B14" s="6"/>
      <c r="C14" s="6"/>
      <c r="D14" s="6"/>
      <c r="E14" s="6"/>
      <c r="F14" s="6"/>
      <c r="G14" s="6"/>
      <c r="H14" s="94">
        <f>SUM(H5:H13)</f>
        <v>-6468699.221104493</v>
      </c>
      <c r="I14" s="85" t="s">
        <v>7</v>
      </c>
      <c r="J14" s="82" t="s">
        <v>7</v>
      </c>
    </row>
    <row r="15" spans="1:10" ht="15">
      <c r="A15" s="1"/>
      <c r="B15" s="1"/>
      <c r="C15" s="1"/>
      <c r="D15" s="1"/>
      <c r="E15" s="1"/>
      <c r="F15" s="1"/>
      <c r="G15" s="1"/>
      <c r="H15" s="91"/>
      <c r="I15" s="1"/>
      <c r="J15" s="1"/>
    </row>
    <row r="16" spans="1:10" ht="15">
      <c r="A16" s="1"/>
      <c r="B16" s="1"/>
      <c r="C16" s="1"/>
      <c r="D16" s="1"/>
      <c r="E16" s="1"/>
      <c r="F16" s="1"/>
      <c r="G16" s="1"/>
      <c r="H16" s="91" t="s">
        <v>7</v>
      </c>
      <c r="I16" s="1"/>
      <c r="J16" s="1"/>
    </row>
  </sheetData>
  <sheetProtection password="CF54" sheet="1" objects="1" scenarios="1"/>
  <printOptions/>
  <pageMargins left="0.39" right="0.43" top="1.68" bottom="0.7480314960629921" header="0.54" footer="0.31496062992125984"/>
  <pageSetup fitToHeight="1" fitToWidth="1" horizontalDpi="600" verticalDpi="600" orientation="landscape" scale="98" r:id="rId1"/>
  <headerFooter>
    <oddHeader>&amp;RToronto Hydro-Electric System Limited
EB-2012-0064
DRAFT RATE ORDER
Appendix B
Schedule 7
Filed:  2013 Apr 12
page &amp;P of &amp;N
</oddHeader>
  </headerFooter>
</worksheet>
</file>

<file path=xl/worksheets/sheet3.xml><?xml version="1.0" encoding="utf-8"?>
<worksheet xmlns="http://schemas.openxmlformats.org/spreadsheetml/2006/main" xmlns:r="http://schemas.openxmlformats.org/officeDocument/2006/relationships">
  <dimension ref="A1:P112"/>
  <sheetViews>
    <sheetView zoomScalePageLayoutView="0" workbookViewId="0" topLeftCell="B4">
      <selection activeCell="J11" sqref="J11:J80"/>
    </sheetView>
  </sheetViews>
  <sheetFormatPr defaultColWidth="9.140625" defaultRowHeight="15"/>
  <cols>
    <col min="1" max="1" width="13.7109375" style="44" hidden="1" customWidth="1"/>
    <col min="2" max="2" width="15.140625" style="44" customWidth="1"/>
    <col min="3" max="3" width="32.28125" style="44" customWidth="1"/>
    <col min="4" max="4" width="16.00390625" style="44" customWidth="1"/>
    <col min="5" max="5" width="9.140625" style="44" customWidth="1"/>
    <col min="6" max="6" width="3.421875" style="44" customWidth="1"/>
    <col min="7" max="9" width="16.140625" style="44" customWidth="1"/>
    <col min="10" max="10" width="19.7109375" style="44" customWidth="1"/>
    <col min="11" max="11" width="7.7109375" style="45" bestFit="1" customWidth="1"/>
    <col min="12" max="12" width="1.28515625" style="44" customWidth="1"/>
    <col min="13" max="15" width="16.140625" style="44" customWidth="1"/>
    <col min="16" max="16" width="6.57421875" style="44" bestFit="1" customWidth="1"/>
    <col min="17" max="16384" width="9.140625" style="44" customWidth="1"/>
  </cols>
  <sheetData>
    <row r="1" ht="15">
      <c r="A1" s="43"/>
    </row>
    <row r="2" spans="3:5" ht="16.5" customHeight="1">
      <c r="C2" s="98" t="s">
        <v>20</v>
      </c>
      <c r="D2" s="98"/>
      <c r="E2" s="46">
        <v>1</v>
      </c>
    </row>
    <row r="3" spans="3:9" ht="18.75" customHeight="1">
      <c r="C3" s="98"/>
      <c r="D3" s="98"/>
      <c r="I3" s="99" t="s">
        <v>21</v>
      </c>
    </row>
    <row r="4" ht="12.75" customHeight="1">
      <c r="I4" s="99"/>
    </row>
    <row r="5" spans="9:12" ht="12.75" customHeight="1">
      <c r="I5" s="99"/>
      <c r="L5" s="47"/>
    </row>
    <row r="6" spans="3:15" s="48" customFormat="1" ht="16.5">
      <c r="C6" s="49"/>
      <c r="E6" s="100" t="s">
        <v>22</v>
      </c>
      <c r="F6" s="50"/>
      <c r="G6" s="100" t="s">
        <v>23</v>
      </c>
      <c r="H6" s="100" t="s">
        <v>24</v>
      </c>
      <c r="I6" s="99"/>
      <c r="J6" s="97" t="s">
        <v>25</v>
      </c>
      <c r="K6" s="97"/>
      <c r="L6" s="97"/>
      <c r="M6" s="97" t="s">
        <v>26</v>
      </c>
      <c r="N6" s="97" t="s">
        <v>27</v>
      </c>
      <c r="O6" s="97" t="s">
        <v>28</v>
      </c>
    </row>
    <row r="7" spans="5:15" ht="15">
      <c r="E7" s="100"/>
      <c r="G7" s="100"/>
      <c r="H7" s="100"/>
      <c r="I7" s="99"/>
      <c r="J7" s="97"/>
      <c r="K7" s="97"/>
      <c r="L7" s="97"/>
      <c r="M7" s="97"/>
      <c r="N7" s="97"/>
      <c r="O7" s="97"/>
    </row>
    <row r="8" spans="3:15" ht="16.5">
      <c r="C8" s="51" t="s">
        <v>6</v>
      </c>
      <c r="E8" s="100"/>
      <c r="G8" s="100"/>
      <c r="H8" s="100"/>
      <c r="I8" s="99"/>
      <c r="J8" s="97"/>
      <c r="K8" s="97"/>
      <c r="L8" s="97"/>
      <c r="M8" s="97"/>
      <c r="N8" s="97"/>
      <c r="O8" s="97"/>
    </row>
    <row r="9" ht="15">
      <c r="L9" s="47"/>
    </row>
    <row r="10" ht="15">
      <c r="L10" s="52"/>
    </row>
    <row r="11" spans="1:16" ht="25.5" customHeight="1" thickBot="1">
      <c r="A11" s="44" t="s">
        <v>0</v>
      </c>
      <c r="C11" s="53" t="str">
        <f>A11</f>
        <v>Residential</v>
      </c>
      <c r="D11" s="54"/>
      <c r="E11" s="55" t="str">
        <f>VLOOKUP($C11,'[1]10. Billing Det. for Def_Var'!$B$26:I108,3,0)</f>
        <v>$/kWh</v>
      </c>
      <c r="F11" s="56"/>
      <c r="G11" s="57">
        <f>VLOOKUP($C11,'[1]10. Billing Det. for Def_Var'!$B$26:I108,5,0)</f>
        <v>4886977488.92641</v>
      </c>
      <c r="H11" s="57">
        <f>VLOOKUP($C11,'[1]10. Billing Det. for Def_Var'!$B$26:I108,6,0)</f>
        <v>0</v>
      </c>
      <c r="I11" s="58">
        <f>'[1]11. Cost Allocation Def_Var'!R25+'[1]11. Cost Allocation Def_Var'!G207</f>
        <v>-2626910.8043396496</v>
      </c>
      <c r="J11" s="59">
        <f aca="true" t="shared" si="0" ref="J11:J42">IF(ISERROR(IF(E11=0,0,IF(E11="$/kWh",(I11/G11)/$E$2,(I11/H11)/$E$2))),0,IF(E11=0,0,IF(E11="$/kWh",(I11/G11)/$E$2,(I11/H11)/$E$2)))</f>
        <v>-0.0005375328227502721</v>
      </c>
      <c r="K11" s="60" t="str">
        <f aca="true" t="shared" si="1" ref="K11:K74">IF(OR(J11&gt;0,J11&lt;0),E11,"")</f>
        <v>$/kWh</v>
      </c>
      <c r="L11" s="61"/>
      <c r="M11" s="58">
        <f>'[1]11. Cost Allocation Def_Var'!H117</f>
        <v>0</v>
      </c>
      <c r="N11" s="57">
        <f>IF(E11="$/kWh",'[1]10. Billing Det. for Def_Var'!H26,'[1]10. Billing Det. for Def_Var'!J26)</f>
        <v>559659627.94</v>
      </c>
      <c r="O11" s="59">
        <f aca="true" t="shared" si="2" ref="O11:O42">IF(ISERROR(M11/N11/$E$2),0,M11/N11/$E$2)</f>
        <v>0</v>
      </c>
      <c r="P11" s="62">
        <f aca="true" t="shared" si="3" ref="P11:P74">IF(OR(O11&gt;0,O11&lt;0),E11,"")</f>
      </c>
    </row>
    <row r="12" spans="1:16" ht="25.5" customHeight="1" hidden="1">
      <c r="A12" s="44" t="s">
        <v>29</v>
      </c>
      <c r="C12" s="53" t="str">
        <f aca="true" t="shared" si="4" ref="C12:C75">A12</f>
        <v>Residential Regular</v>
      </c>
      <c r="D12" s="54"/>
      <c r="E12" s="55">
        <f>VLOOKUP($C12,'[1]10. Billing Det. for Def_Var'!$B$26:I109,3,0)</f>
        <v>0</v>
      </c>
      <c r="F12" s="56"/>
      <c r="G12" s="57">
        <f>VLOOKUP($C12,'[1]10. Billing Det. for Def_Var'!$B$26:I109,5,0)</f>
        <v>0</v>
      </c>
      <c r="H12" s="57">
        <f>VLOOKUP($C12,'[1]10. Billing Det. for Def_Var'!$B$26:I109,6,0)</f>
        <v>0</v>
      </c>
      <c r="I12" s="58">
        <f>'[1]11. Cost Allocation Def_Var'!R26+'[1]11. Cost Allocation Def_Var'!G208</f>
        <v>0</v>
      </c>
      <c r="J12" s="59">
        <f t="shared" si="0"/>
        <v>0</v>
      </c>
      <c r="K12" s="60">
        <f t="shared" si="1"/>
      </c>
      <c r="L12" s="61"/>
      <c r="M12" s="58">
        <f>'[1]11. Cost Allocation Def_Var'!H118</f>
        <v>0</v>
      </c>
      <c r="N12" s="57">
        <f>IF(E12="$/kWh",'[1]10. Billing Det. for Def_Var'!H27,'[1]10. Billing Det. for Def_Var'!J27)</f>
        <v>0</v>
      </c>
      <c r="O12" s="59">
        <f t="shared" si="2"/>
        <v>0</v>
      </c>
      <c r="P12" s="62">
        <f t="shared" si="3"/>
      </c>
    </row>
    <row r="13" spans="1:16" ht="25.5" customHeight="1" thickBot="1">
      <c r="A13" s="44" t="s">
        <v>1</v>
      </c>
      <c r="C13" s="53" t="str">
        <f t="shared" si="4"/>
        <v>Residential Urban</v>
      </c>
      <c r="D13" s="54"/>
      <c r="E13" s="55" t="str">
        <f>VLOOKUP($C13,'[1]10. Billing Det. for Def_Var'!$B$26:I110,3,0)</f>
        <v>$/kWh</v>
      </c>
      <c r="F13" s="56"/>
      <c r="G13" s="57">
        <f>VLOOKUP($C13,'[1]10. Billing Det. for Def_Var'!$B$26:I110,5,0)</f>
        <v>99791184</v>
      </c>
      <c r="H13" s="57">
        <f>VLOOKUP($C13,'[1]10. Billing Det. for Def_Var'!$B$26:I110,6,0)</f>
        <v>0</v>
      </c>
      <c r="I13" s="58">
        <f>'[1]11. Cost Allocation Def_Var'!R27+'[1]11. Cost Allocation Def_Var'!G209</f>
        <v>-59267.617999727765</v>
      </c>
      <c r="J13" s="59">
        <f t="shared" si="0"/>
        <v>-0.0005939163724094882</v>
      </c>
      <c r="K13" s="60" t="str">
        <f t="shared" si="1"/>
        <v>$/kWh</v>
      </c>
      <c r="L13" s="61"/>
      <c r="M13" s="58">
        <f>'[1]11. Cost Allocation Def_Var'!H119</f>
        <v>0</v>
      </c>
      <c r="N13" s="57">
        <f>IF(E13="$/kWh",'[1]10. Billing Det. for Def_Var'!H28,'[1]10. Billing Det. for Def_Var'!J28)</f>
        <v>11421625.06</v>
      </c>
      <c r="O13" s="59">
        <f t="shared" si="2"/>
        <v>0</v>
      </c>
      <c r="P13" s="62">
        <f t="shared" si="3"/>
      </c>
    </row>
    <row r="14" spans="1:16" ht="25.5" customHeight="1" hidden="1">
      <c r="A14" s="44" t="s">
        <v>30</v>
      </c>
      <c r="C14" s="53" t="str">
        <f t="shared" si="4"/>
        <v>Residential Urban Year-Round</v>
      </c>
      <c r="D14" s="54"/>
      <c r="E14" s="55">
        <f>VLOOKUP($C14,'[1]10. Billing Det. for Def_Var'!$B$26:I111,3,0)</f>
        <v>0</v>
      </c>
      <c r="F14" s="56"/>
      <c r="G14" s="57">
        <f>VLOOKUP($C14,'[1]10. Billing Det. for Def_Var'!$B$26:I111,5,0)</f>
        <v>0</v>
      </c>
      <c r="H14" s="57">
        <f>VLOOKUP($C14,'[1]10. Billing Det. for Def_Var'!$B$26:I111,6,0)</f>
        <v>0</v>
      </c>
      <c r="I14" s="58">
        <f>'[1]11. Cost Allocation Def_Var'!R28+'[1]11. Cost Allocation Def_Var'!G210</f>
        <v>0</v>
      </c>
      <c r="J14" s="59">
        <f t="shared" si="0"/>
        <v>0</v>
      </c>
      <c r="K14" s="60">
        <f t="shared" si="1"/>
      </c>
      <c r="L14" s="61"/>
      <c r="M14" s="58">
        <f>'[1]11. Cost Allocation Def_Var'!H120</f>
        <v>0</v>
      </c>
      <c r="N14" s="57">
        <f>IF(E14="$/kWh",'[1]10. Billing Det. for Def_Var'!H29,'[1]10. Billing Det. for Def_Var'!J29)</f>
        <v>0</v>
      </c>
      <c r="O14" s="59">
        <f t="shared" si="2"/>
        <v>0</v>
      </c>
      <c r="P14" s="62">
        <f t="shared" si="3"/>
      </c>
    </row>
    <row r="15" spans="1:16" ht="25.5" customHeight="1" hidden="1">
      <c r="A15" s="44" t="s">
        <v>31</v>
      </c>
      <c r="C15" s="53" t="str">
        <f t="shared" si="4"/>
        <v>Residential Suburban</v>
      </c>
      <c r="D15" s="54"/>
      <c r="E15" s="55">
        <f>VLOOKUP($C15,'[1]10. Billing Det. for Def_Var'!$B$26:I112,3,0)</f>
        <v>0</v>
      </c>
      <c r="F15" s="56"/>
      <c r="G15" s="57">
        <f>VLOOKUP($C15,'[1]10. Billing Det. for Def_Var'!$B$26:I112,5,0)</f>
        <v>0</v>
      </c>
      <c r="H15" s="57">
        <f>VLOOKUP($C15,'[1]10. Billing Det. for Def_Var'!$B$26:I112,6,0)</f>
        <v>0</v>
      </c>
      <c r="I15" s="58">
        <f>'[1]11. Cost Allocation Def_Var'!R29+'[1]11. Cost Allocation Def_Var'!G211</f>
        <v>0</v>
      </c>
      <c r="J15" s="59">
        <f t="shared" si="0"/>
        <v>0</v>
      </c>
      <c r="K15" s="60">
        <f t="shared" si="1"/>
      </c>
      <c r="L15" s="61"/>
      <c r="M15" s="58">
        <f>'[1]11. Cost Allocation Def_Var'!H121</f>
        <v>0</v>
      </c>
      <c r="N15" s="57">
        <f>IF(E15="$/kWh",'[1]10. Billing Det. for Def_Var'!H30,'[1]10. Billing Det. for Def_Var'!J30)</f>
        <v>0</v>
      </c>
      <c r="O15" s="59">
        <f t="shared" si="2"/>
        <v>0</v>
      </c>
      <c r="P15" s="62">
        <f t="shared" si="3"/>
      </c>
    </row>
    <row r="16" spans="1:16" ht="25.5" customHeight="1" hidden="1">
      <c r="A16" s="44" t="s">
        <v>32</v>
      </c>
      <c r="C16" s="53" t="str">
        <f t="shared" si="4"/>
        <v>Residential Suburban Seasonal</v>
      </c>
      <c r="D16" s="54"/>
      <c r="E16" s="55">
        <f>VLOOKUP($C16,'[1]10. Billing Det. for Def_Var'!$B$26:I113,3,0)</f>
        <v>0</v>
      </c>
      <c r="F16" s="56"/>
      <c r="G16" s="57">
        <f>VLOOKUP($C16,'[1]10. Billing Det. for Def_Var'!$B$26:I113,5,0)</f>
        <v>0</v>
      </c>
      <c r="H16" s="57">
        <f>VLOOKUP($C16,'[1]10. Billing Det. for Def_Var'!$B$26:I113,6,0)</f>
        <v>0</v>
      </c>
      <c r="I16" s="58">
        <f>'[1]11. Cost Allocation Def_Var'!R30+'[1]11. Cost Allocation Def_Var'!G212</f>
        <v>0</v>
      </c>
      <c r="J16" s="59">
        <f t="shared" si="0"/>
        <v>0</v>
      </c>
      <c r="K16" s="60">
        <f t="shared" si="1"/>
      </c>
      <c r="L16" s="61"/>
      <c r="M16" s="58">
        <f>'[1]11. Cost Allocation Def_Var'!H122</f>
        <v>0</v>
      </c>
      <c r="N16" s="57">
        <f>IF(E16="$/kWh",'[1]10. Billing Det. for Def_Var'!H31,'[1]10. Billing Det. for Def_Var'!J31)</f>
        <v>0</v>
      </c>
      <c r="O16" s="59">
        <f t="shared" si="2"/>
        <v>0</v>
      </c>
      <c r="P16" s="62">
        <f t="shared" si="3"/>
      </c>
    </row>
    <row r="17" spans="1:16" ht="25.5" customHeight="1" hidden="1">
      <c r="A17" s="44" t="s">
        <v>33</v>
      </c>
      <c r="C17" s="53" t="str">
        <f t="shared" si="4"/>
        <v>Residential Suburban Year Round</v>
      </c>
      <c r="D17" s="54"/>
      <c r="E17" s="55">
        <f>VLOOKUP($C17,'[1]10. Billing Det. for Def_Var'!$B$26:I116,3,0)</f>
        <v>0</v>
      </c>
      <c r="F17" s="56"/>
      <c r="G17" s="57">
        <f>VLOOKUP($C17,'[1]10. Billing Det. for Def_Var'!$B$26:I116,5,0)</f>
        <v>0</v>
      </c>
      <c r="H17" s="57">
        <f>VLOOKUP($C17,'[1]10. Billing Det. for Def_Var'!$B$26:I116,6,0)</f>
        <v>0</v>
      </c>
      <c r="I17" s="58">
        <f>'[1]11. Cost Allocation Def_Var'!R31+'[1]11. Cost Allocation Def_Var'!G213</f>
        <v>0</v>
      </c>
      <c r="J17" s="59">
        <f t="shared" si="0"/>
        <v>0</v>
      </c>
      <c r="K17" s="60">
        <f t="shared" si="1"/>
      </c>
      <c r="L17" s="61"/>
      <c r="M17" s="58">
        <f>'[1]11. Cost Allocation Def_Var'!H123</f>
        <v>0</v>
      </c>
      <c r="N17" s="57">
        <f>IF(E17="$/kWh",'[1]10. Billing Det. for Def_Var'!H32,'[1]10. Billing Det. for Def_Var'!J32)</f>
        <v>0</v>
      </c>
      <c r="O17" s="59">
        <f t="shared" si="2"/>
        <v>0</v>
      </c>
      <c r="P17" s="62">
        <f t="shared" si="3"/>
      </c>
    </row>
    <row r="18" spans="1:16" ht="25.5" customHeight="1" hidden="1">
      <c r="A18" s="44" t="s">
        <v>34</v>
      </c>
      <c r="C18" s="53" t="str">
        <f t="shared" si="4"/>
        <v>Residential - Time of Use</v>
      </c>
      <c r="D18" s="54"/>
      <c r="E18" s="55">
        <f>VLOOKUP($C18,'[1]10. Billing Det. for Def_Var'!$B$26:I117,3,0)</f>
        <v>0</v>
      </c>
      <c r="F18" s="56"/>
      <c r="G18" s="57">
        <f>VLOOKUP($C18,'[1]10. Billing Det. for Def_Var'!$B$26:I117,5,0)</f>
        <v>0</v>
      </c>
      <c r="H18" s="57">
        <f>VLOOKUP($C18,'[1]10. Billing Det. for Def_Var'!$B$26:I117,6,0)</f>
        <v>0</v>
      </c>
      <c r="I18" s="58">
        <f>'[1]11. Cost Allocation Def_Var'!R32+'[1]11. Cost Allocation Def_Var'!G214</f>
        <v>0</v>
      </c>
      <c r="J18" s="59">
        <f t="shared" si="0"/>
        <v>0</v>
      </c>
      <c r="K18" s="60">
        <f t="shared" si="1"/>
      </c>
      <c r="L18" s="61"/>
      <c r="M18" s="58">
        <f>'[1]11. Cost Allocation Def_Var'!H124</f>
        <v>0</v>
      </c>
      <c r="N18" s="57">
        <f>IF(E18="$/kWh",'[1]10. Billing Det. for Def_Var'!H33,'[1]10. Billing Det. for Def_Var'!J33)</f>
        <v>0</v>
      </c>
      <c r="O18" s="59">
        <f t="shared" si="2"/>
        <v>0</v>
      </c>
      <c r="P18" s="62">
        <f t="shared" si="3"/>
      </c>
    </row>
    <row r="19" spans="1:16" ht="25.5" customHeight="1" hidden="1">
      <c r="A19" s="44" t="s">
        <v>35</v>
      </c>
      <c r="C19" s="53" t="str">
        <f t="shared" si="4"/>
        <v>Residential - Hensall</v>
      </c>
      <c r="D19" s="54"/>
      <c r="E19" s="55">
        <f>VLOOKUP($C19,'[1]10. Billing Det. for Def_Var'!$B$26:I118,3,0)</f>
        <v>0</v>
      </c>
      <c r="F19" s="56"/>
      <c r="G19" s="57">
        <f>VLOOKUP($C19,'[1]10. Billing Det. for Def_Var'!$B$26:I118,5,0)</f>
        <v>0</v>
      </c>
      <c r="H19" s="57">
        <f>VLOOKUP($C19,'[1]10. Billing Det. for Def_Var'!$B$26:I118,6,0)</f>
        <v>0</v>
      </c>
      <c r="I19" s="58">
        <f>'[1]11. Cost Allocation Def_Var'!R33+'[1]11. Cost Allocation Def_Var'!G215</f>
        <v>0</v>
      </c>
      <c r="J19" s="59">
        <f t="shared" si="0"/>
        <v>0</v>
      </c>
      <c r="K19" s="60">
        <f t="shared" si="1"/>
      </c>
      <c r="L19" s="61"/>
      <c r="M19" s="58">
        <f>'[1]11. Cost Allocation Def_Var'!H125</f>
        <v>0</v>
      </c>
      <c r="N19" s="57">
        <f>IF(E19="$/kWh",'[1]10. Billing Det. for Def_Var'!H34,'[1]10. Billing Det. for Def_Var'!J34)</f>
        <v>0</v>
      </c>
      <c r="O19" s="59">
        <f t="shared" si="2"/>
        <v>0</v>
      </c>
      <c r="P19" s="62">
        <f t="shared" si="3"/>
      </c>
    </row>
    <row r="20" spans="1:16" ht="25.5" customHeight="1" hidden="1">
      <c r="A20" s="44" t="s">
        <v>36</v>
      </c>
      <c r="C20" s="53" t="str">
        <f t="shared" si="4"/>
        <v>Residential – High Density [R1]</v>
      </c>
      <c r="D20" s="54"/>
      <c r="E20" s="55">
        <f>VLOOKUP($C20,'[1]10. Billing Det. for Def_Var'!$B$26:I123,3,0)</f>
        <v>0</v>
      </c>
      <c r="F20" s="56"/>
      <c r="G20" s="57">
        <f>VLOOKUP($C20,'[1]10. Billing Det. for Def_Var'!$B$26:I123,5,0)</f>
        <v>0</v>
      </c>
      <c r="H20" s="57">
        <f>VLOOKUP($C20,'[1]10. Billing Det. for Def_Var'!$B$26:I123,6,0)</f>
        <v>0</v>
      </c>
      <c r="I20" s="58">
        <f>'[1]11. Cost Allocation Def_Var'!R34+'[1]11. Cost Allocation Def_Var'!G216</f>
        <v>0</v>
      </c>
      <c r="J20" s="59">
        <f t="shared" si="0"/>
        <v>0</v>
      </c>
      <c r="K20" s="60">
        <f t="shared" si="1"/>
      </c>
      <c r="L20" s="61"/>
      <c r="M20" s="58">
        <f>'[1]11. Cost Allocation Def_Var'!H126</f>
        <v>0</v>
      </c>
      <c r="N20" s="57">
        <f>IF(E20="$/kWh",'[1]10. Billing Det. for Def_Var'!H35,'[1]10. Billing Det. for Def_Var'!J35)</f>
        <v>0</v>
      </c>
      <c r="O20" s="59">
        <f t="shared" si="2"/>
        <v>0</v>
      </c>
      <c r="P20" s="62">
        <f t="shared" si="3"/>
      </c>
    </row>
    <row r="21" spans="1:16" ht="25.5" customHeight="1" hidden="1">
      <c r="A21" s="44" t="s">
        <v>37</v>
      </c>
      <c r="C21" s="53" t="str">
        <f t="shared" si="4"/>
        <v>Residential – Normal Density [R2]</v>
      </c>
      <c r="D21" s="54"/>
      <c r="E21" s="55">
        <f>VLOOKUP($C21,'[1]10. Billing Det. for Def_Var'!$B$26:I124,3,0)</f>
        <v>0</v>
      </c>
      <c r="F21" s="56"/>
      <c r="G21" s="57">
        <f>VLOOKUP($C21,'[1]10. Billing Det. for Def_Var'!$B$26:I124,5,0)</f>
        <v>0</v>
      </c>
      <c r="H21" s="57">
        <f>VLOOKUP($C21,'[1]10. Billing Det. for Def_Var'!$B$26:I124,6,0)</f>
        <v>0</v>
      </c>
      <c r="I21" s="58">
        <f>'[1]11. Cost Allocation Def_Var'!R35+'[1]11. Cost Allocation Def_Var'!G217</f>
        <v>0</v>
      </c>
      <c r="J21" s="59">
        <f t="shared" si="0"/>
        <v>0</v>
      </c>
      <c r="K21" s="60">
        <f t="shared" si="1"/>
      </c>
      <c r="L21" s="61"/>
      <c r="M21" s="58">
        <f>'[1]11. Cost Allocation Def_Var'!H127</f>
        <v>0</v>
      </c>
      <c r="N21" s="57">
        <f>IF(E21="$/kWh",'[1]10. Billing Det. for Def_Var'!H36,'[1]10. Billing Det. for Def_Var'!J36)</f>
        <v>0</v>
      </c>
      <c r="O21" s="59">
        <f t="shared" si="2"/>
        <v>0</v>
      </c>
      <c r="P21" s="62">
        <f t="shared" si="3"/>
      </c>
    </row>
    <row r="22" spans="1:16" ht="25.5" customHeight="1" hidden="1">
      <c r="A22" s="44" t="s">
        <v>38</v>
      </c>
      <c r="C22" s="53" t="str">
        <f t="shared" si="4"/>
        <v>Seasonal Residential – High Density [R3]</v>
      </c>
      <c r="D22" s="54"/>
      <c r="E22" s="55">
        <f>VLOOKUP($C22,'[1]10. Billing Det. for Def_Var'!$B$26:I124,3,0)</f>
        <v>0</v>
      </c>
      <c r="F22" s="56"/>
      <c r="G22" s="57">
        <f>VLOOKUP($C22,'[1]10. Billing Det. for Def_Var'!$B$26:I124,5,0)</f>
        <v>0</v>
      </c>
      <c r="H22" s="57">
        <f>VLOOKUP($C22,'[1]10. Billing Det. for Def_Var'!$B$26:I124,6,0)</f>
        <v>0</v>
      </c>
      <c r="I22" s="58">
        <f>'[1]11. Cost Allocation Def_Var'!R36+'[1]11. Cost Allocation Def_Var'!G218</f>
        <v>0</v>
      </c>
      <c r="J22" s="59">
        <f t="shared" si="0"/>
        <v>0</v>
      </c>
      <c r="K22" s="60">
        <f t="shared" si="1"/>
      </c>
      <c r="L22" s="61"/>
      <c r="M22" s="58">
        <f>'[1]11. Cost Allocation Def_Var'!H128</f>
        <v>0</v>
      </c>
      <c r="N22" s="57">
        <f>IF(E22="$/kWh",'[1]10. Billing Det. for Def_Var'!H37,'[1]10. Billing Det. for Def_Var'!J37)</f>
        <v>0</v>
      </c>
      <c r="O22" s="59">
        <f t="shared" si="2"/>
        <v>0</v>
      </c>
      <c r="P22" s="62">
        <f t="shared" si="3"/>
      </c>
    </row>
    <row r="23" spans="1:16" ht="25.5" customHeight="1" hidden="1">
      <c r="A23" s="44" t="s">
        <v>39</v>
      </c>
      <c r="C23" s="53" t="str">
        <f t="shared" si="4"/>
        <v>Seasonal Residential – Normal Density [R4]</v>
      </c>
      <c r="D23" s="54"/>
      <c r="E23" s="55">
        <f>VLOOKUP($C23,'[1]10. Billing Det. for Def_Var'!$B$26:I126,3,0)</f>
        <v>0</v>
      </c>
      <c r="F23" s="56"/>
      <c r="G23" s="57">
        <f>VLOOKUP($C23,'[1]10. Billing Det. for Def_Var'!$B$26:I126,5,0)</f>
        <v>0</v>
      </c>
      <c r="H23" s="57">
        <f>VLOOKUP($C23,'[1]10. Billing Det. for Def_Var'!$B$26:I126,6,0)</f>
        <v>0</v>
      </c>
      <c r="I23" s="58">
        <f>'[1]11. Cost Allocation Def_Var'!R37+'[1]11. Cost Allocation Def_Var'!G219</f>
        <v>0</v>
      </c>
      <c r="J23" s="59">
        <f t="shared" si="0"/>
        <v>0</v>
      </c>
      <c r="K23" s="60">
        <f t="shared" si="1"/>
      </c>
      <c r="L23" s="61"/>
      <c r="M23" s="58">
        <f>'[1]11. Cost Allocation Def_Var'!H129</f>
        <v>0</v>
      </c>
      <c r="N23" s="57">
        <f>IF(E23="$/kWh",'[1]10. Billing Det. for Def_Var'!H38,'[1]10. Billing Det. for Def_Var'!J38)</f>
        <v>0</v>
      </c>
      <c r="O23" s="59">
        <f t="shared" si="2"/>
        <v>0</v>
      </c>
      <c r="P23" s="62">
        <f t="shared" si="3"/>
      </c>
    </row>
    <row r="24" spans="1:16" ht="25.5" customHeight="1" hidden="1">
      <c r="A24" s="44" t="s">
        <v>40</v>
      </c>
      <c r="C24" s="53" t="str">
        <f t="shared" si="4"/>
        <v>Residential – Urban [UR]</v>
      </c>
      <c r="D24" s="54"/>
      <c r="E24" s="55">
        <f>VLOOKUP($C24,'[1]10. Billing Det. for Def_Var'!$B$26:I129,3,0)</f>
        <v>0</v>
      </c>
      <c r="F24" s="56"/>
      <c r="G24" s="57">
        <f>VLOOKUP($C24,'[1]10. Billing Det. for Def_Var'!$B$26:I129,5,0)</f>
        <v>0</v>
      </c>
      <c r="H24" s="57">
        <f>VLOOKUP($C24,'[1]10. Billing Det. for Def_Var'!$B$26:I129,6,0)</f>
        <v>0</v>
      </c>
      <c r="I24" s="58">
        <f>'[1]11. Cost Allocation Def_Var'!R38+'[1]11. Cost Allocation Def_Var'!G220</f>
        <v>0</v>
      </c>
      <c r="J24" s="59">
        <f t="shared" si="0"/>
        <v>0</v>
      </c>
      <c r="K24" s="60">
        <f t="shared" si="1"/>
      </c>
      <c r="L24" s="61"/>
      <c r="M24" s="58">
        <f>'[1]11. Cost Allocation Def_Var'!H130</f>
        <v>0</v>
      </c>
      <c r="N24" s="57">
        <f>IF(E24="$/kWh",'[1]10. Billing Det. for Def_Var'!H39,'[1]10. Billing Det. for Def_Var'!J39)</f>
        <v>0</v>
      </c>
      <c r="O24" s="59">
        <f t="shared" si="2"/>
        <v>0</v>
      </c>
      <c r="P24" s="62">
        <f t="shared" si="3"/>
      </c>
    </row>
    <row r="25" spans="1:16" ht="25.5" customHeight="1" thickBot="1">
      <c r="A25" s="44" t="s">
        <v>2</v>
      </c>
      <c r="C25" s="53" t="str">
        <f t="shared" si="4"/>
        <v>General Service Less Than 50 kW</v>
      </c>
      <c r="D25" s="54"/>
      <c r="E25" s="55" t="str">
        <f>VLOOKUP($C25,'[1]10. Billing Det. for Def_Var'!$B$26:I129,3,0)</f>
        <v>$/kWh</v>
      </c>
      <c r="F25" s="56"/>
      <c r="G25" s="57">
        <f>VLOOKUP($C25,'[1]10. Billing Det. for Def_Var'!$B$26:I129,5,0)</f>
        <v>2139318075.755229</v>
      </c>
      <c r="H25" s="57">
        <f>VLOOKUP($C25,'[1]10. Billing Det. for Def_Var'!$B$26:I129,6,0)</f>
        <v>0</v>
      </c>
      <c r="I25" s="58">
        <f>'[1]11. Cost Allocation Def_Var'!R39+'[1]11. Cost Allocation Def_Var'!G221</f>
        <v>-850327.6882276549</v>
      </c>
      <c r="J25" s="59">
        <f t="shared" si="0"/>
        <v>-0.0003974760452241163</v>
      </c>
      <c r="K25" s="60" t="str">
        <f t="shared" si="1"/>
        <v>$/kWh</v>
      </c>
      <c r="L25" s="61"/>
      <c r="M25" s="58">
        <f>'[1]11. Cost Allocation Def_Var'!H131</f>
        <v>0</v>
      </c>
      <c r="N25" s="57">
        <f>IF(E25="$/kWh",'[1]10. Billing Det. for Def_Var'!H40,'[1]10. Billing Det. for Def_Var'!J40)</f>
        <v>437628634</v>
      </c>
      <c r="O25" s="59">
        <f t="shared" si="2"/>
        <v>0</v>
      </c>
      <c r="P25" s="62">
        <f t="shared" si="3"/>
      </c>
    </row>
    <row r="26" spans="1:16" ht="25.5" customHeight="1" hidden="1">
      <c r="A26" s="44" t="s">
        <v>41</v>
      </c>
      <c r="C26" s="53" t="str">
        <f t="shared" si="4"/>
        <v>General Service Less Than 50 kW – Single Phase energy-billed [G1]</v>
      </c>
      <c r="D26" s="54"/>
      <c r="E26" s="55">
        <f>VLOOKUP($C26,'[1]10. Billing Det. for Def_Var'!$B$26:I129,3,0)</f>
        <v>0</v>
      </c>
      <c r="F26" s="56"/>
      <c r="G26" s="57">
        <f>VLOOKUP($C26,'[1]10. Billing Det. for Def_Var'!$B$26:I129,5,0)</f>
        <v>0</v>
      </c>
      <c r="H26" s="57">
        <f>VLOOKUP($C26,'[1]10. Billing Det. for Def_Var'!$B$26:I129,6,0)</f>
        <v>0</v>
      </c>
      <c r="I26" s="58">
        <f>'[1]11. Cost Allocation Def_Var'!R40+'[1]11. Cost Allocation Def_Var'!G222</f>
        <v>0</v>
      </c>
      <c r="J26" s="59">
        <f t="shared" si="0"/>
        <v>0</v>
      </c>
      <c r="K26" s="60">
        <f t="shared" si="1"/>
      </c>
      <c r="L26" s="61"/>
      <c r="M26" s="58">
        <f>'[1]11. Cost Allocation Def_Var'!H132</f>
        <v>0</v>
      </c>
      <c r="N26" s="57">
        <f>IF(E26="$/kWh",'[1]10. Billing Det. for Def_Var'!H41,'[1]10. Billing Det. for Def_Var'!J41)</f>
        <v>0</v>
      </c>
      <c r="O26" s="59">
        <f t="shared" si="2"/>
        <v>0</v>
      </c>
      <c r="P26" s="62">
        <f t="shared" si="3"/>
      </c>
    </row>
    <row r="27" spans="1:16" ht="25.5" customHeight="1" hidden="1">
      <c r="A27" s="44" t="s">
        <v>42</v>
      </c>
      <c r="C27" s="53" t="str">
        <f t="shared" si="4"/>
        <v>General Service Less Than 50 kW – Three Phase energy-billed [G3]</v>
      </c>
      <c r="D27" s="54"/>
      <c r="E27" s="55">
        <f>VLOOKUP($C27,'[1]10. Billing Det. for Def_Var'!$B$26:I129,3,0)</f>
        <v>0</v>
      </c>
      <c r="F27" s="56"/>
      <c r="G27" s="57">
        <f>VLOOKUP($C27,'[1]10. Billing Det. for Def_Var'!$B$26:I129,5,0)</f>
        <v>0</v>
      </c>
      <c r="H27" s="57">
        <f>VLOOKUP($C27,'[1]10. Billing Det. for Def_Var'!$B$26:I129,6,0)</f>
        <v>0</v>
      </c>
      <c r="I27" s="58">
        <f>'[1]11. Cost Allocation Def_Var'!R41+'[1]11. Cost Allocation Def_Var'!G223</f>
        <v>0</v>
      </c>
      <c r="J27" s="59">
        <f t="shared" si="0"/>
        <v>0</v>
      </c>
      <c r="K27" s="60">
        <f t="shared" si="1"/>
      </c>
      <c r="L27" s="61"/>
      <c r="M27" s="58">
        <f>'[1]11. Cost Allocation Def_Var'!H133</f>
        <v>0</v>
      </c>
      <c r="N27" s="57">
        <f>IF(E27="$/kWh",'[1]10. Billing Det. for Def_Var'!H42,'[1]10. Billing Det. for Def_Var'!J42)</f>
        <v>0</v>
      </c>
      <c r="O27" s="59">
        <f t="shared" si="2"/>
        <v>0</v>
      </c>
      <c r="P27" s="62">
        <f t="shared" si="3"/>
      </c>
    </row>
    <row r="28" spans="1:16" ht="25.5" customHeight="1" hidden="1">
      <c r="A28" s="44" t="s">
        <v>43</v>
      </c>
      <c r="C28" s="53" t="str">
        <f t="shared" si="4"/>
        <v>General Service Less Than 50 kW – Transmission Class energy-billed [T]</v>
      </c>
      <c r="D28" s="54"/>
      <c r="E28" s="55">
        <f>VLOOKUP($C28,'[1]10. Billing Det. for Def_Var'!$B$26:I129,3,0)</f>
        <v>0</v>
      </c>
      <c r="F28" s="56"/>
      <c r="G28" s="57">
        <f>VLOOKUP($C28,'[1]10. Billing Det. for Def_Var'!$B$26:I129,5,0)</f>
        <v>0</v>
      </c>
      <c r="H28" s="57">
        <f>VLOOKUP($C28,'[1]10. Billing Det. for Def_Var'!$B$26:I129,6,0)</f>
        <v>0</v>
      </c>
      <c r="I28" s="58">
        <f>'[1]11. Cost Allocation Def_Var'!R42+'[1]11. Cost Allocation Def_Var'!G224</f>
        <v>0</v>
      </c>
      <c r="J28" s="59">
        <f t="shared" si="0"/>
        <v>0</v>
      </c>
      <c r="K28" s="60">
        <f t="shared" si="1"/>
      </c>
      <c r="L28" s="61"/>
      <c r="M28" s="58">
        <f>'[1]11. Cost Allocation Def_Var'!H134</f>
        <v>0</v>
      </c>
      <c r="N28" s="57">
        <f>IF(E28="$/kWh",'[1]10. Billing Det. for Def_Var'!H43,'[1]10. Billing Det. for Def_Var'!J43)</f>
        <v>0</v>
      </c>
      <c r="O28" s="59">
        <f t="shared" si="2"/>
        <v>0</v>
      </c>
      <c r="P28" s="62">
        <f t="shared" si="3"/>
      </c>
    </row>
    <row r="29" spans="1:16" ht="25.5" customHeight="1" hidden="1">
      <c r="A29" s="44" t="s">
        <v>44</v>
      </c>
      <c r="C29" s="53" t="str">
        <f t="shared" si="4"/>
        <v>General Service Less Than 50 kW – Urban energy-billed [UG]</v>
      </c>
      <c r="D29" s="54"/>
      <c r="E29" s="55">
        <f>VLOOKUP($C29,'[1]10. Billing Det. for Def_Var'!$B$26:I129,3,0)</f>
        <v>0</v>
      </c>
      <c r="F29" s="56"/>
      <c r="G29" s="57">
        <f>VLOOKUP($C29,'[1]10. Billing Det. for Def_Var'!$B$26:I129,5,0)</f>
        <v>0</v>
      </c>
      <c r="H29" s="57">
        <f>VLOOKUP($C29,'[1]10. Billing Det. for Def_Var'!$B$26:I129,6,0)</f>
        <v>0</v>
      </c>
      <c r="I29" s="58">
        <f>'[1]11. Cost Allocation Def_Var'!R43+'[1]11. Cost Allocation Def_Var'!G225</f>
        <v>0</v>
      </c>
      <c r="J29" s="59">
        <f t="shared" si="0"/>
        <v>0</v>
      </c>
      <c r="K29" s="60">
        <f t="shared" si="1"/>
      </c>
      <c r="L29" s="61"/>
      <c r="M29" s="58">
        <f>'[1]11. Cost Allocation Def_Var'!H135</f>
        <v>0</v>
      </c>
      <c r="N29" s="57">
        <f>IF(E29="$/kWh",'[1]10. Billing Det. for Def_Var'!H44,'[1]10. Billing Det. for Def_Var'!J44)</f>
        <v>0</v>
      </c>
      <c r="O29" s="59">
        <f t="shared" si="2"/>
        <v>0</v>
      </c>
      <c r="P29" s="62">
        <f t="shared" si="3"/>
      </c>
    </row>
    <row r="30" spans="1:16" ht="25.5" customHeight="1" hidden="1">
      <c r="A30" s="44" t="s">
        <v>45</v>
      </c>
      <c r="C30" s="53" t="str">
        <f t="shared" si="4"/>
        <v>Westport Sewage Treatment Plant</v>
      </c>
      <c r="D30" s="54"/>
      <c r="E30" s="55">
        <f>VLOOKUP($C30,'[1]10. Billing Det. for Def_Var'!$B$26:I129,3,0)</f>
        <v>0</v>
      </c>
      <c r="F30" s="56"/>
      <c r="G30" s="57">
        <f>VLOOKUP($C30,'[1]10. Billing Det. for Def_Var'!$B$26:I129,5,0)</f>
        <v>0</v>
      </c>
      <c r="H30" s="57">
        <f>VLOOKUP($C30,'[1]10. Billing Det. for Def_Var'!$B$26:I129,6,0)</f>
        <v>0</v>
      </c>
      <c r="I30" s="58">
        <f>'[1]11. Cost Allocation Def_Var'!R44+'[1]11. Cost Allocation Def_Var'!G226</f>
        <v>0</v>
      </c>
      <c r="J30" s="59">
        <f t="shared" si="0"/>
        <v>0</v>
      </c>
      <c r="K30" s="60">
        <f t="shared" si="1"/>
      </c>
      <c r="L30" s="61"/>
      <c r="M30" s="58">
        <f>'[1]11. Cost Allocation Def_Var'!H136</f>
        <v>0</v>
      </c>
      <c r="N30" s="57">
        <f>IF(E30="$/kWh",'[1]10. Billing Det. for Def_Var'!H45,'[1]10. Billing Det. for Def_Var'!J45)</f>
        <v>0</v>
      </c>
      <c r="O30" s="59">
        <f t="shared" si="2"/>
        <v>0</v>
      </c>
      <c r="P30" s="62">
        <f t="shared" si="3"/>
      </c>
    </row>
    <row r="31" spans="1:16" ht="25.5" customHeight="1" hidden="1">
      <c r="A31" s="44" t="s">
        <v>46</v>
      </c>
      <c r="C31" s="53" t="str">
        <f t="shared" si="4"/>
        <v>Small Commercial and USL - per meter</v>
      </c>
      <c r="D31" s="54"/>
      <c r="E31" s="55">
        <f>VLOOKUP($C31,'[1]10. Billing Det. for Def_Var'!$B$26:I129,3,0)</f>
        <v>0</v>
      </c>
      <c r="F31" s="56"/>
      <c r="G31" s="57">
        <f>VLOOKUP($C31,'[1]10. Billing Det. for Def_Var'!$B$26:I129,5,0)</f>
        <v>0</v>
      </c>
      <c r="H31" s="57">
        <f>VLOOKUP($C31,'[1]10. Billing Det. for Def_Var'!$B$26:I129,6,0)</f>
        <v>0</v>
      </c>
      <c r="I31" s="58">
        <f>'[1]11. Cost Allocation Def_Var'!R45+'[1]11. Cost Allocation Def_Var'!G227</f>
        <v>0</v>
      </c>
      <c r="J31" s="59">
        <f t="shared" si="0"/>
        <v>0</v>
      </c>
      <c r="K31" s="60">
        <f t="shared" si="1"/>
      </c>
      <c r="L31" s="61"/>
      <c r="M31" s="58">
        <f>'[1]11. Cost Allocation Def_Var'!H137</f>
        <v>0</v>
      </c>
      <c r="N31" s="57">
        <f>IF(E31="$/kWh",'[1]10. Billing Det. for Def_Var'!H46,'[1]10. Billing Det. for Def_Var'!J46)</f>
        <v>0</v>
      </c>
      <c r="O31" s="59">
        <f t="shared" si="2"/>
        <v>0</v>
      </c>
      <c r="P31" s="62">
        <f t="shared" si="3"/>
      </c>
    </row>
    <row r="32" spans="1:16" ht="25.5" customHeight="1" hidden="1">
      <c r="A32" s="44" t="s">
        <v>47</v>
      </c>
      <c r="C32" s="53" t="str">
        <f t="shared" si="4"/>
        <v>Small Commercial and USL - per connection</v>
      </c>
      <c r="D32" s="54"/>
      <c r="E32" s="55">
        <f>VLOOKUP($C32,'[1]10. Billing Det. for Def_Var'!$B$26:I129,3,0)</f>
        <v>0</v>
      </c>
      <c r="F32" s="56"/>
      <c r="G32" s="57">
        <f>VLOOKUP($C32,'[1]10. Billing Det. for Def_Var'!$B$26:I129,5,0)</f>
        <v>0</v>
      </c>
      <c r="H32" s="57">
        <f>VLOOKUP($C32,'[1]10. Billing Det. for Def_Var'!$B$26:I129,6,0)</f>
        <v>0</v>
      </c>
      <c r="I32" s="58">
        <f>'[1]11. Cost Allocation Def_Var'!R46+'[1]11. Cost Allocation Def_Var'!G228</f>
        <v>0</v>
      </c>
      <c r="J32" s="59">
        <f t="shared" si="0"/>
        <v>0</v>
      </c>
      <c r="K32" s="60">
        <f t="shared" si="1"/>
      </c>
      <c r="L32" s="61"/>
      <c r="M32" s="58">
        <f>'[1]11. Cost Allocation Def_Var'!H138</f>
        <v>0</v>
      </c>
      <c r="N32" s="57">
        <f>IF(E32="$/kWh",'[1]10. Billing Det. for Def_Var'!H47,'[1]10. Billing Det. for Def_Var'!J47)</f>
        <v>0</v>
      </c>
      <c r="O32" s="59">
        <f t="shared" si="2"/>
        <v>0</v>
      </c>
      <c r="P32" s="62">
        <f t="shared" si="3"/>
      </c>
    </row>
    <row r="33" spans="1:16" ht="26.25" hidden="1" thickBot="1">
      <c r="A33" s="44" t="s">
        <v>48</v>
      </c>
      <c r="C33" s="53" t="str">
        <f t="shared" si="4"/>
        <v>Farms – Single Phase energy-billed [F1]</v>
      </c>
      <c r="D33" s="54"/>
      <c r="E33" s="55">
        <f>VLOOKUP($C33,'[1]10. Billing Det. for Def_Var'!$B$26:I129,3,0)</f>
        <v>0</v>
      </c>
      <c r="F33" s="56"/>
      <c r="G33" s="57">
        <f>VLOOKUP($C33,'[1]10. Billing Det. for Def_Var'!$B$26:I129,5,0)</f>
        <v>0</v>
      </c>
      <c r="H33" s="57">
        <f>VLOOKUP($C33,'[1]10. Billing Det. for Def_Var'!$B$26:I129,6,0)</f>
        <v>0</v>
      </c>
      <c r="I33" s="58">
        <f>'[1]11. Cost Allocation Def_Var'!R47+'[1]11. Cost Allocation Def_Var'!G229</f>
        <v>0</v>
      </c>
      <c r="J33" s="59">
        <f t="shared" si="0"/>
        <v>0</v>
      </c>
      <c r="K33" s="60">
        <f t="shared" si="1"/>
      </c>
      <c r="L33" s="61"/>
      <c r="M33" s="58">
        <f>'[1]11. Cost Allocation Def_Var'!H139</f>
        <v>0</v>
      </c>
      <c r="N33" s="57">
        <f>IF(E33="$/kWh",'[1]10. Billing Det. for Def_Var'!H48,'[1]10. Billing Det. for Def_Var'!J48)</f>
        <v>0</v>
      </c>
      <c r="O33" s="59">
        <f t="shared" si="2"/>
        <v>0</v>
      </c>
      <c r="P33" s="62">
        <f t="shared" si="3"/>
      </c>
    </row>
    <row r="34" spans="1:16" ht="15.75" hidden="1" thickBot="1">
      <c r="A34" s="44" t="s">
        <v>49</v>
      </c>
      <c r="C34" s="53" t="str">
        <f t="shared" si="4"/>
        <v>General Service 50 to 499 kW</v>
      </c>
      <c r="D34" s="54"/>
      <c r="E34" s="55">
        <f>VLOOKUP($C34,'[1]10. Billing Det. for Def_Var'!$B$26:I129,3,0)</f>
        <v>0</v>
      </c>
      <c r="F34" s="56"/>
      <c r="G34" s="57">
        <f>VLOOKUP($C34,'[1]10. Billing Det. for Def_Var'!$B$26:I129,5,0)</f>
        <v>0</v>
      </c>
      <c r="H34" s="57">
        <f>VLOOKUP($C34,'[1]10. Billing Det. for Def_Var'!$B$26:I129,6,0)</f>
        <v>0</v>
      </c>
      <c r="I34" s="58">
        <f>'[1]11. Cost Allocation Def_Var'!R48+'[1]11. Cost Allocation Def_Var'!G230</f>
        <v>0</v>
      </c>
      <c r="J34" s="59">
        <f t="shared" si="0"/>
        <v>0</v>
      </c>
      <c r="K34" s="60">
        <f t="shared" si="1"/>
      </c>
      <c r="L34" s="61"/>
      <c r="M34" s="58">
        <f>'[1]11. Cost Allocation Def_Var'!H140</f>
        <v>0</v>
      </c>
      <c r="N34" s="57">
        <f>IF(E34="$/kWh",'[1]10. Billing Det. for Def_Var'!H49,'[1]10. Billing Det. for Def_Var'!J49)</f>
        <v>0</v>
      </c>
      <c r="O34" s="59">
        <f t="shared" si="2"/>
        <v>0</v>
      </c>
      <c r="P34" s="62">
        <f t="shared" si="3"/>
      </c>
    </row>
    <row r="35" spans="1:16" ht="15.75" hidden="1" thickBot="1">
      <c r="A35" s="44" t="s">
        <v>50</v>
      </c>
      <c r="C35" s="53" t="str">
        <f t="shared" si="4"/>
        <v>General Service 50 to 699 kW</v>
      </c>
      <c r="D35" s="54"/>
      <c r="E35" s="55">
        <f>VLOOKUP($C35,'[1]10. Billing Det. for Def_Var'!$B$26:I129,3,0)</f>
        <v>0</v>
      </c>
      <c r="F35" s="56"/>
      <c r="G35" s="57">
        <f>VLOOKUP($C35,'[1]10. Billing Det. for Def_Var'!$B$26:I129,5,0)</f>
        <v>0</v>
      </c>
      <c r="H35" s="57">
        <f>VLOOKUP($C35,'[1]10. Billing Det. for Def_Var'!$B$26:I129,6,0)</f>
        <v>0</v>
      </c>
      <c r="I35" s="58">
        <f>'[1]11. Cost Allocation Def_Var'!R49+'[1]11. Cost Allocation Def_Var'!G231</f>
        <v>0</v>
      </c>
      <c r="J35" s="59">
        <f t="shared" si="0"/>
        <v>0</v>
      </c>
      <c r="K35" s="60">
        <f t="shared" si="1"/>
      </c>
      <c r="L35" s="61"/>
      <c r="M35" s="58">
        <f>'[1]11. Cost Allocation Def_Var'!H141</f>
        <v>0</v>
      </c>
      <c r="N35" s="57">
        <f>IF(E35="$/kWh",'[1]10. Billing Det. for Def_Var'!H50,'[1]10. Billing Det. for Def_Var'!J50)</f>
        <v>0</v>
      </c>
      <c r="O35" s="59">
        <f t="shared" si="2"/>
        <v>0</v>
      </c>
      <c r="P35" s="62">
        <f t="shared" si="3"/>
      </c>
    </row>
    <row r="36" spans="1:16" ht="15.75" thickBot="1">
      <c r="A36" s="44" t="s">
        <v>3</v>
      </c>
      <c r="C36" s="53" t="str">
        <f t="shared" si="4"/>
        <v>General Service 50 to 999 kW</v>
      </c>
      <c r="D36" s="54"/>
      <c r="E36" s="55" t="str">
        <f>VLOOKUP($C36,'[1]10. Billing Det. for Def_Var'!$B$26:I129,3,0)</f>
        <v>$/kVA</v>
      </c>
      <c r="F36" s="56"/>
      <c r="G36" s="57">
        <f>VLOOKUP($C36,'[1]10. Billing Det. for Def_Var'!$B$26:I129,5,0)</f>
        <v>10116374153.130848</v>
      </c>
      <c r="H36" s="57">
        <f>VLOOKUP($C36,'[1]10. Billing Det. for Def_Var'!$B$26:I129,6,0)</f>
        <v>26935191.276266973</v>
      </c>
      <c r="I36" s="58">
        <f>'[1]11. Cost Allocation Def_Var'!R50+'[1]11. Cost Allocation Def_Var'!G232</f>
        <v>-1853901.3036914587</v>
      </c>
      <c r="J36" s="59">
        <f t="shared" si="0"/>
        <v>-0.06882822121723563</v>
      </c>
      <c r="K36" s="60" t="str">
        <f t="shared" si="1"/>
        <v>$/kVA</v>
      </c>
      <c r="L36" s="61"/>
      <c r="M36" s="58">
        <f>'[1]11. Cost Allocation Def_Var'!H142</f>
        <v>0</v>
      </c>
      <c r="N36" s="57">
        <f>IF(E36="$/kWh",'[1]10. Billing Det. for Def_Var'!H51,'[1]10. Billing Det. for Def_Var'!J51)</f>
        <v>0</v>
      </c>
      <c r="O36" s="59">
        <f t="shared" si="2"/>
        <v>0</v>
      </c>
      <c r="P36" s="62">
        <f t="shared" si="3"/>
      </c>
    </row>
    <row r="37" spans="1:16" ht="30" customHeight="1" hidden="1">
      <c r="A37" s="44" t="s">
        <v>12</v>
      </c>
      <c r="C37" s="53" t="str">
        <f t="shared" si="4"/>
        <v>General Service 50 to 999 kW - Interval Metered</v>
      </c>
      <c r="D37" s="54"/>
      <c r="E37" s="55">
        <f>VLOOKUP($C37,'[1]10. Billing Det. for Def_Var'!$B$26:I129,3,0)</f>
        <v>0</v>
      </c>
      <c r="F37" s="56"/>
      <c r="G37" s="57">
        <f>VLOOKUP($C37,'[1]10. Billing Det. for Def_Var'!$B$26:I129,5,0)</f>
        <v>0</v>
      </c>
      <c r="H37" s="57">
        <f>VLOOKUP($C37,'[1]10. Billing Det. for Def_Var'!$B$26:I129,6,0)</f>
        <v>0</v>
      </c>
      <c r="I37" s="58">
        <f>'[1]11. Cost Allocation Def_Var'!R51+'[1]11. Cost Allocation Def_Var'!G233</f>
        <v>0</v>
      </c>
      <c r="J37" s="59">
        <f t="shared" si="0"/>
        <v>0</v>
      </c>
      <c r="K37" s="60">
        <f t="shared" si="1"/>
      </c>
      <c r="L37" s="61"/>
      <c r="M37" s="58">
        <f>'[1]11. Cost Allocation Def_Var'!H143</f>
        <v>0</v>
      </c>
      <c r="N37" s="57">
        <f>IF(E37="$/kWh",'[1]10. Billing Det. for Def_Var'!H52,'[1]10. Billing Det. for Def_Var'!J52)</f>
        <v>0</v>
      </c>
      <c r="O37" s="59">
        <f t="shared" si="2"/>
        <v>0</v>
      </c>
      <c r="P37" s="62">
        <f t="shared" si="3"/>
      </c>
    </row>
    <row r="38" spans="1:16" ht="15.75" hidden="1" thickBot="1">
      <c r="A38" s="44" t="s">
        <v>51</v>
      </c>
      <c r="C38" s="53" t="str">
        <f t="shared" si="4"/>
        <v>General Service 50 to 1,000 kW</v>
      </c>
      <c r="D38" s="54"/>
      <c r="E38" s="55">
        <f>VLOOKUP($C38,'[1]10. Billing Det. for Def_Var'!$B$26:I129,3,0)</f>
        <v>0</v>
      </c>
      <c r="F38" s="56"/>
      <c r="G38" s="57">
        <f>VLOOKUP($C38,'[1]10. Billing Det. for Def_Var'!$B$26:I129,5,0)</f>
        <v>0</v>
      </c>
      <c r="H38" s="57">
        <f>VLOOKUP($C38,'[1]10. Billing Det. for Def_Var'!$B$26:I129,6,0)</f>
        <v>0</v>
      </c>
      <c r="I38" s="58">
        <f>'[1]11. Cost Allocation Def_Var'!R52+'[1]11. Cost Allocation Def_Var'!G234</f>
        <v>0</v>
      </c>
      <c r="J38" s="59">
        <f t="shared" si="0"/>
        <v>0</v>
      </c>
      <c r="K38" s="60">
        <f t="shared" si="1"/>
      </c>
      <c r="L38" s="61"/>
      <c r="M38" s="58">
        <f>'[1]11. Cost Allocation Def_Var'!H144</f>
        <v>0</v>
      </c>
      <c r="N38" s="57">
        <f>IF(E38="$/kWh",'[1]10. Billing Det. for Def_Var'!H53,'[1]10. Billing Det. for Def_Var'!J53)</f>
        <v>0</v>
      </c>
      <c r="O38" s="59">
        <f t="shared" si="2"/>
        <v>0</v>
      </c>
      <c r="P38" s="62">
        <f t="shared" si="3"/>
      </c>
    </row>
    <row r="39" spans="1:16" ht="26.25" hidden="1" thickBot="1">
      <c r="A39" s="44" t="s">
        <v>52</v>
      </c>
      <c r="C39" s="53" t="str">
        <f t="shared" si="4"/>
        <v>General Service 50 to 1,000 kW - Interval Meters</v>
      </c>
      <c r="D39" s="54"/>
      <c r="E39" s="55">
        <f>VLOOKUP($C39,'[1]10. Billing Det. for Def_Var'!$B$26:I129,3,0)</f>
        <v>0</v>
      </c>
      <c r="F39" s="56"/>
      <c r="G39" s="57">
        <f>VLOOKUP($C39,'[1]10. Billing Det. for Def_Var'!$B$26:I129,5,0)</f>
        <v>0</v>
      </c>
      <c r="H39" s="57">
        <f>VLOOKUP($C39,'[1]10. Billing Det. for Def_Var'!$B$26:I129,6,0)</f>
        <v>0</v>
      </c>
      <c r="I39" s="58">
        <f>'[1]11. Cost Allocation Def_Var'!R53+'[1]11. Cost Allocation Def_Var'!G235</f>
        <v>0</v>
      </c>
      <c r="J39" s="59">
        <f t="shared" si="0"/>
        <v>0</v>
      </c>
      <c r="K39" s="60">
        <f t="shared" si="1"/>
      </c>
      <c r="L39" s="61"/>
      <c r="M39" s="58">
        <f>'[1]11. Cost Allocation Def_Var'!H145</f>
        <v>0</v>
      </c>
      <c r="N39" s="57">
        <f>IF(E39="$/kWh",'[1]10. Billing Det. for Def_Var'!H54,'[1]10. Billing Det. for Def_Var'!J54)</f>
        <v>0</v>
      </c>
      <c r="O39" s="59">
        <f t="shared" si="2"/>
        <v>0</v>
      </c>
      <c r="P39" s="62">
        <f t="shared" si="3"/>
      </c>
    </row>
    <row r="40" spans="1:16" ht="26.25" hidden="1" thickBot="1">
      <c r="A40" s="44" t="s">
        <v>53</v>
      </c>
      <c r="C40" s="53" t="str">
        <f t="shared" si="4"/>
        <v>General Service 50 to 1,000 kW - Non Interval Meters</v>
      </c>
      <c r="D40" s="54"/>
      <c r="E40" s="55">
        <f>VLOOKUP($C40,'[1]10. Billing Det. for Def_Var'!$B$26:I129,3,0)</f>
        <v>0</v>
      </c>
      <c r="F40" s="56"/>
      <c r="G40" s="57">
        <f>VLOOKUP($C40,'[1]10. Billing Det. for Def_Var'!$B$26:I129,5,0)</f>
        <v>0</v>
      </c>
      <c r="H40" s="57">
        <f>VLOOKUP($C40,'[1]10. Billing Det. for Def_Var'!$B$26:I129,6,0)</f>
        <v>0</v>
      </c>
      <c r="I40" s="58">
        <f>'[1]11. Cost Allocation Def_Var'!R54+'[1]11. Cost Allocation Def_Var'!G236</f>
        <v>0</v>
      </c>
      <c r="J40" s="59">
        <f t="shared" si="0"/>
        <v>0</v>
      </c>
      <c r="K40" s="60">
        <f t="shared" si="1"/>
      </c>
      <c r="L40" s="61"/>
      <c r="M40" s="58">
        <f>'[1]11. Cost Allocation Def_Var'!H146</f>
        <v>0</v>
      </c>
      <c r="N40" s="57">
        <f>IF(E40="$/kWh",'[1]10. Billing Det. for Def_Var'!H55,'[1]10. Billing Det. for Def_Var'!J55)</f>
        <v>0</v>
      </c>
      <c r="O40" s="59">
        <f t="shared" si="2"/>
        <v>0</v>
      </c>
      <c r="P40" s="62">
        <f t="shared" si="3"/>
      </c>
    </row>
    <row r="41" spans="1:16" ht="15.75" hidden="1" thickBot="1">
      <c r="A41" s="44" t="s">
        <v>54</v>
      </c>
      <c r="C41" s="53" t="str">
        <f t="shared" si="4"/>
        <v>General Service 50 to 1,499 kW</v>
      </c>
      <c r="D41" s="54"/>
      <c r="E41" s="55">
        <f>VLOOKUP($C41,'[1]10. Billing Det. for Def_Var'!$B$26:I129,3,0)</f>
        <v>0</v>
      </c>
      <c r="F41" s="56"/>
      <c r="G41" s="57">
        <f>VLOOKUP($C41,'[1]10. Billing Det. for Def_Var'!$B$26:I129,5,0)</f>
        <v>0</v>
      </c>
      <c r="H41" s="57">
        <f>VLOOKUP($C41,'[1]10. Billing Det. for Def_Var'!$B$26:I129,6,0)</f>
        <v>0</v>
      </c>
      <c r="I41" s="58">
        <f>'[1]11. Cost Allocation Def_Var'!R55+'[1]11. Cost Allocation Def_Var'!G237</f>
        <v>0</v>
      </c>
      <c r="J41" s="59">
        <f t="shared" si="0"/>
        <v>0</v>
      </c>
      <c r="K41" s="60">
        <f t="shared" si="1"/>
      </c>
      <c r="L41" s="61"/>
      <c r="M41" s="58">
        <f>'[1]11. Cost Allocation Def_Var'!H147</f>
        <v>0</v>
      </c>
      <c r="N41" s="57">
        <f>IF(E41="$/kWh",'[1]10. Billing Det. for Def_Var'!H56,'[1]10. Billing Det. for Def_Var'!J56)</f>
        <v>0</v>
      </c>
      <c r="O41" s="59">
        <f t="shared" si="2"/>
        <v>0</v>
      </c>
      <c r="P41" s="62">
        <f t="shared" si="3"/>
      </c>
    </row>
    <row r="42" spans="1:16" ht="26.25" hidden="1" thickBot="1">
      <c r="A42" s="44" t="s">
        <v>55</v>
      </c>
      <c r="C42" s="53" t="str">
        <f t="shared" si="4"/>
        <v>General Service 50 to 1,499 kW - Interval Metered</v>
      </c>
      <c r="D42" s="54"/>
      <c r="E42" s="55">
        <f>VLOOKUP($C42,'[1]10. Billing Det. for Def_Var'!$B$26:I129,3,0)</f>
        <v>0</v>
      </c>
      <c r="F42" s="56"/>
      <c r="G42" s="57">
        <f>VLOOKUP($C42,'[1]10. Billing Det. for Def_Var'!$B$26:I129,5,0)</f>
        <v>0</v>
      </c>
      <c r="H42" s="57">
        <f>VLOOKUP($C42,'[1]10. Billing Det. for Def_Var'!$B$26:I129,6,0)</f>
        <v>0</v>
      </c>
      <c r="I42" s="58">
        <f>'[1]11. Cost Allocation Def_Var'!R56+'[1]11. Cost Allocation Def_Var'!G238</f>
        <v>0</v>
      </c>
      <c r="J42" s="59">
        <f t="shared" si="0"/>
        <v>0</v>
      </c>
      <c r="K42" s="60">
        <f t="shared" si="1"/>
      </c>
      <c r="L42" s="61"/>
      <c r="M42" s="58">
        <f>'[1]11. Cost Allocation Def_Var'!H148</f>
        <v>0</v>
      </c>
      <c r="N42" s="57">
        <f>IF(E42="$/kWh",'[1]10. Billing Det. for Def_Var'!H57,'[1]10. Billing Det. for Def_Var'!J57)</f>
        <v>0</v>
      </c>
      <c r="O42" s="59">
        <f t="shared" si="2"/>
        <v>0</v>
      </c>
      <c r="P42" s="62">
        <f t="shared" si="3"/>
      </c>
    </row>
    <row r="43" spans="1:16" ht="15.75" hidden="1" thickBot="1">
      <c r="A43" s="44" t="s">
        <v>56</v>
      </c>
      <c r="C43" s="53" t="str">
        <f t="shared" si="4"/>
        <v>General Service  50 to 2,499 kW</v>
      </c>
      <c r="D43" s="54"/>
      <c r="E43" s="55">
        <f>VLOOKUP($C43,'[1]10. Billing Det. for Def_Var'!$B$26:I129,3,0)</f>
        <v>0</v>
      </c>
      <c r="F43" s="56"/>
      <c r="G43" s="57">
        <f>VLOOKUP($C43,'[1]10. Billing Det. for Def_Var'!$B$26:I129,5,0)</f>
        <v>0</v>
      </c>
      <c r="H43" s="57">
        <f>VLOOKUP($C43,'[1]10. Billing Det. for Def_Var'!$B$26:I129,6,0)</f>
        <v>0</v>
      </c>
      <c r="I43" s="58">
        <f>'[1]11. Cost Allocation Def_Var'!R57+'[1]11. Cost Allocation Def_Var'!G239</f>
        <v>0</v>
      </c>
      <c r="J43" s="59">
        <f aca="true" t="shared" si="5" ref="J43:J74">IF(ISERROR(IF(E43=0,0,IF(E43="$/kWh",(I43/G43)/$E$2,(I43/H43)/$E$2))),0,IF(E43=0,0,IF(E43="$/kWh",(I43/G43)/$E$2,(I43/H43)/$E$2)))</f>
        <v>0</v>
      </c>
      <c r="K43" s="60">
        <f t="shared" si="1"/>
      </c>
      <c r="L43" s="61"/>
      <c r="M43" s="58">
        <f>'[1]11. Cost Allocation Def_Var'!H149</f>
        <v>0</v>
      </c>
      <c r="N43" s="57">
        <f>IF(E43="$/kWh",'[1]10. Billing Det. for Def_Var'!H58,'[1]10. Billing Det. for Def_Var'!J58)</f>
        <v>0</v>
      </c>
      <c r="O43" s="59">
        <f aca="true" t="shared" si="6" ref="O43:O74">IF(ISERROR(M43/N43/$E$2),0,M43/N43/$E$2)</f>
        <v>0</v>
      </c>
      <c r="P43" s="62">
        <f t="shared" si="3"/>
      </c>
    </row>
    <row r="44" spans="1:16" ht="15.75" hidden="1" thickBot="1">
      <c r="A44" s="44" t="s">
        <v>57</v>
      </c>
      <c r="C44" s="53" t="str">
        <f t="shared" si="4"/>
        <v>General Service 50 to 2,999 kW</v>
      </c>
      <c r="D44" s="54"/>
      <c r="E44" s="55">
        <f>VLOOKUP($C44,'[1]10. Billing Det. for Def_Var'!$B$26:I129,3,0)</f>
        <v>0</v>
      </c>
      <c r="F44" s="56"/>
      <c r="G44" s="57">
        <f>VLOOKUP($C44,'[1]10. Billing Det. for Def_Var'!$B$26:I129,5,0)</f>
        <v>0</v>
      </c>
      <c r="H44" s="57">
        <f>VLOOKUP($C44,'[1]10. Billing Det. for Def_Var'!$B$26:I129,6,0)</f>
        <v>0</v>
      </c>
      <c r="I44" s="58">
        <f>'[1]11. Cost Allocation Def_Var'!R58+'[1]11. Cost Allocation Def_Var'!G240</f>
        <v>0</v>
      </c>
      <c r="J44" s="59">
        <f t="shared" si="5"/>
        <v>0</v>
      </c>
      <c r="K44" s="60">
        <f t="shared" si="1"/>
      </c>
      <c r="L44" s="61"/>
      <c r="M44" s="58">
        <f>'[1]11. Cost Allocation Def_Var'!H150</f>
        <v>0</v>
      </c>
      <c r="N44" s="57">
        <f>IF(E44="$/kWh",'[1]10. Billing Det. for Def_Var'!H59,'[1]10. Billing Det. for Def_Var'!J59)</f>
        <v>0</v>
      </c>
      <c r="O44" s="59">
        <f t="shared" si="6"/>
        <v>0</v>
      </c>
      <c r="P44" s="62">
        <f t="shared" si="3"/>
      </c>
    </row>
    <row r="45" spans="1:16" ht="26.25" hidden="1" thickBot="1">
      <c r="A45" s="44" t="s">
        <v>58</v>
      </c>
      <c r="C45" s="53" t="str">
        <f t="shared" si="4"/>
        <v>General Service 50 to 2,999 kW - Time of Use</v>
      </c>
      <c r="D45" s="54"/>
      <c r="E45" s="55">
        <f>VLOOKUP($C45,'[1]10. Billing Det. for Def_Var'!$B$26:I129,3,0)</f>
        <v>0</v>
      </c>
      <c r="F45" s="56"/>
      <c r="G45" s="57">
        <f>VLOOKUP($C45,'[1]10. Billing Det. for Def_Var'!$B$26:I129,5,0)</f>
        <v>0</v>
      </c>
      <c r="H45" s="57">
        <f>VLOOKUP($C45,'[1]10. Billing Det. for Def_Var'!$B$26:I129,6,0)</f>
        <v>0</v>
      </c>
      <c r="I45" s="58">
        <f>'[1]11. Cost Allocation Def_Var'!R59+'[1]11. Cost Allocation Def_Var'!G241</f>
        <v>0</v>
      </c>
      <c r="J45" s="59">
        <f t="shared" si="5"/>
        <v>0</v>
      </c>
      <c r="K45" s="60">
        <f t="shared" si="1"/>
      </c>
      <c r="L45" s="61"/>
      <c r="M45" s="58">
        <f>'[1]11. Cost Allocation Def_Var'!H151</f>
        <v>0</v>
      </c>
      <c r="N45" s="57">
        <f>IF(E45="$/kWh",'[1]10. Billing Det. for Def_Var'!H60,'[1]10. Billing Det. for Def_Var'!J60)</f>
        <v>0</v>
      </c>
      <c r="O45" s="59">
        <f t="shared" si="6"/>
        <v>0</v>
      </c>
      <c r="P45" s="62">
        <f t="shared" si="3"/>
      </c>
    </row>
    <row r="46" spans="1:16" ht="15.75" hidden="1" thickBot="1">
      <c r="A46" s="44" t="s">
        <v>59</v>
      </c>
      <c r="C46" s="53" t="str">
        <f t="shared" si="4"/>
        <v>General Service 50 to 4,999 kW</v>
      </c>
      <c r="D46" s="54"/>
      <c r="E46" s="55">
        <f>VLOOKUP($C46,'[1]10. Billing Det. for Def_Var'!$B$26:I129,3,0)</f>
        <v>0</v>
      </c>
      <c r="F46" s="56"/>
      <c r="G46" s="57">
        <f>VLOOKUP($C46,'[1]10. Billing Det. for Def_Var'!$B$26:I129,5,0)</f>
        <v>0</v>
      </c>
      <c r="H46" s="57">
        <f>VLOOKUP($C46,'[1]10. Billing Det. for Def_Var'!$B$26:I129,6,0)</f>
        <v>0</v>
      </c>
      <c r="I46" s="58">
        <f>'[1]11. Cost Allocation Def_Var'!R60+'[1]11. Cost Allocation Def_Var'!G242</f>
        <v>0</v>
      </c>
      <c r="J46" s="59">
        <f t="shared" si="5"/>
        <v>0</v>
      </c>
      <c r="K46" s="60">
        <f t="shared" si="1"/>
      </c>
      <c r="L46" s="61"/>
      <c r="M46" s="58">
        <f>'[1]11. Cost Allocation Def_Var'!H152</f>
        <v>0</v>
      </c>
      <c r="N46" s="57">
        <f>IF(E46="$/kWh",'[1]10. Billing Det. for Def_Var'!H61,'[1]10. Billing Det. for Def_Var'!J61)</f>
        <v>0</v>
      </c>
      <c r="O46" s="59">
        <f t="shared" si="6"/>
        <v>0</v>
      </c>
      <c r="P46" s="62">
        <f t="shared" si="3"/>
      </c>
    </row>
    <row r="47" spans="1:16" ht="26.25" hidden="1" thickBot="1">
      <c r="A47" s="44" t="s">
        <v>60</v>
      </c>
      <c r="C47" s="53" t="str">
        <f t="shared" si="4"/>
        <v>General Service 50 to 4,999 kW – Interval Metered</v>
      </c>
      <c r="D47" s="54"/>
      <c r="E47" s="55">
        <f>VLOOKUP($C47,'[1]10. Billing Det. for Def_Var'!$B$26:I129,3,0)</f>
        <v>0</v>
      </c>
      <c r="F47" s="56"/>
      <c r="G47" s="57">
        <f>VLOOKUP($C47,'[1]10. Billing Det. for Def_Var'!$B$26:I129,5,0)</f>
        <v>0</v>
      </c>
      <c r="H47" s="57">
        <f>VLOOKUP($C47,'[1]10. Billing Det. for Def_Var'!$B$26:I129,6,0)</f>
        <v>0</v>
      </c>
      <c r="I47" s="58">
        <f>'[1]11. Cost Allocation Def_Var'!R61+'[1]11. Cost Allocation Def_Var'!G243</f>
        <v>0</v>
      </c>
      <c r="J47" s="59">
        <f t="shared" si="5"/>
        <v>0</v>
      </c>
      <c r="K47" s="60">
        <f t="shared" si="1"/>
      </c>
      <c r="L47" s="61"/>
      <c r="M47" s="58">
        <f>'[1]11. Cost Allocation Def_Var'!H153</f>
        <v>0</v>
      </c>
      <c r="N47" s="57">
        <f>IF(E47="$/kWh",'[1]10. Billing Det. for Def_Var'!H62,'[1]10. Billing Det. for Def_Var'!J62)</f>
        <v>0</v>
      </c>
      <c r="O47" s="59">
        <f t="shared" si="6"/>
        <v>0</v>
      </c>
      <c r="P47" s="62">
        <f t="shared" si="3"/>
      </c>
    </row>
    <row r="48" spans="1:16" ht="26.25" hidden="1" thickBot="1">
      <c r="A48" s="44" t="s">
        <v>61</v>
      </c>
      <c r="C48" s="53" t="str">
        <f t="shared" si="4"/>
        <v>General Service 50 to 4,999 kW - Time of Use</v>
      </c>
      <c r="D48" s="54"/>
      <c r="E48" s="55">
        <f>VLOOKUP($C48,'[1]10. Billing Det. for Def_Var'!$B$26:I129,3,0)</f>
        <v>0</v>
      </c>
      <c r="F48" s="56"/>
      <c r="G48" s="57">
        <f>VLOOKUP($C48,'[1]10. Billing Det. for Def_Var'!$B$26:I129,5,0)</f>
        <v>0</v>
      </c>
      <c r="H48" s="57">
        <f>VLOOKUP($C48,'[1]10. Billing Det. for Def_Var'!$B$26:I129,6,0)</f>
        <v>0</v>
      </c>
      <c r="I48" s="58">
        <f>'[1]11. Cost Allocation Def_Var'!R62+'[1]11. Cost Allocation Def_Var'!G244</f>
        <v>0</v>
      </c>
      <c r="J48" s="59">
        <f t="shared" si="5"/>
        <v>0</v>
      </c>
      <c r="K48" s="60">
        <f t="shared" si="1"/>
      </c>
      <c r="L48" s="61"/>
      <c r="M48" s="58">
        <f>'[1]11. Cost Allocation Def_Var'!H154</f>
        <v>0</v>
      </c>
      <c r="N48" s="57">
        <f>IF(E48="$/kWh",'[1]10. Billing Det. for Def_Var'!H63,'[1]10. Billing Det. for Def_Var'!J63)</f>
        <v>0</v>
      </c>
      <c r="O48" s="59">
        <f t="shared" si="6"/>
        <v>0</v>
      </c>
      <c r="P48" s="62">
        <f t="shared" si="3"/>
      </c>
    </row>
    <row r="49" spans="1:16" ht="26.25" hidden="1" thickBot="1">
      <c r="A49" s="44" t="s">
        <v>62</v>
      </c>
      <c r="C49" s="53" t="str">
        <f t="shared" si="4"/>
        <v>General Service 50 to 4,999 kW (CoGeneration)</v>
      </c>
      <c r="D49" s="54"/>
      <c r="E49" s="55">
        <f>VLOOKUP($C49,'[1]10. Billing Det. for Def_Var'!$B$26:I129,3,0)</f>
        <v>0</v>
      </c>
      <c r="F49" s="56"/>
      <c r="G49" s="57">
        <f>VLOOKUP($C49,'[1]10. Billing Det. for Def_Var'!$B$26:I129,5,0)</f>
        <v>0</v>
      </c>
      <c r="H49" s="57">
        <f>VLOOKUP($C49,'[1]10. Billing Det. for Def_Var'!$B$26:I129,6,0)</f>
        <v>0</v>
      </c>
      <c r="I49" s="58">
        <f>'[1]11. Cost Allocation Def_Var'!R63+'[1]11. Cost Allocation Def_Var'!G245</f>
        <v>0</v>
      </c>
      <c r="J49" s="59">
        <f t="shared" si="5"/>
        <v>0</v>
      </c>
      <c r="K49" s="60">
        <f t="shared" si="1"/>
      </c>
      <c r="L49" s="61"/>
      <c r="M49" s="58">
        <f>'[1]11. Cost Allocation Def_Var'!H155</f>
        <v>0</v>
      </c>
      <c r="N49" s="57">
        <f>IF(E49="$/kWh",'[1]10. Billing Det. for Def_Var'!H64,'[1]10. Billing Det. for Def_Var'!J64)</f>
        <v>0</v>
      </c>
      <c r="O49" s="59">
        <f t="shared" si="6"/>
        <v>0</v>
      </c>
      <c r="P49" s="62">
        <f t="shared" si="3"/>
      </c>
    </row>
    <row r="50" spans="1:16" ht="26.25" hidden="1" thickBot="1">
      <c r="A50" s="44" t="s">
        <v>63</v>
      </c>
      <c r="C50" s="53" t="str">
        <f t="shared" si="4"/>
        <v>General Service 50 to 4,999 kW (formerly Time of Use)</v>
      </c>
      <c r="D50" s="54"/>
      <c r="E50" s="55">
        <f>VLOOKUP($C50,'[1]10. Billing Det. for Def_Var'!$B$26:I129,3,0)</f>
        <v>0</v>
      </c>
      <c r="F50" s="56"/>
      <c r="G50" s="57">
        <f>VLOOKUP($C50,'[1]10. Billing Det. for Def_Var'!$B$26:I129,5,0)</f>
        <v>0</v>
      </c>
      <c r="H50" s="57">
        <f>VLOOKUP($C50,'[1]10. Billing Det. for Def_Var'!$B$26:I129,6,0)</f>
        <v>0</v>
      </c>
      <c r="I50" s="58">
        <f>'[1]11. Cost Allocation Def_Var'!R64+'[1]11. Cost Allocation Def_Var'!G246</f>
        <v>0</v>
      </c>
      <c r="J50" s="59">
        <f t="shared" si="5"/>
        <v>0</v>
      </c>
      <c r="K50" s="60">
        <f t="shared" si="1"/>
      </c>
      <c r="L50" s="61"/>
      <c r="M50" s="58">
        <f>'[1]11. Cost Allocation Def_Var'!H156</f>
        <v>0</v>
      </c>
      <c r="N50" s="57">
        <f>IF(E50="$/kWh",'[1]10. Billing Det. for Def_Var'!H65,'[1]10. Billing Det. for Def_Var'!J65)</f>
        <v>0</v>
      </c>
      <c r="O50" s="59">
        <f t="shared" si="6"/>
        <v>0</v>
      </c>
      <c r="P50" s="62">
        <f t="shared" si="3"/>
      </c>
    </row>
    <row r="51" spans="1:16" ht="15.75" hidden="1" thickBot="1">
      <c r="A51" s="44" t="s">
        <v>64</v>
      </c>
      <c r="C51" s="53" t="str">
        <f t="shared" si="4"/>
        <v>General Service 500 to 4,999 kW</v>
      </c>
      <c r="D51" s="54"/>
      <c r="E51" s="55">
        <f>VLOOKUP($C51,'[1]10. Billing Det. for Def_Var'!$B$26:I129,3,0)</f>
        <v>0</v>
      </c>
      <c r="F51" s="56"/>
      <c r="G51" s="57">
        <f>VLOOKUP($C51,'[1]10. Billing Det. for Def_Var'!$B$26:I129,5,0)</f>
        <v>0</v>
      </c>
      <c r="H51" s="57">
        <f>VLOOKUP($C51,'[1]10. Billing Det. for Def_Var'!$B$26:I129,6,0)</f>
        <v>0</v>
      </c>
      <c r="I51" s="58">
        <f>'[1]11. Cost Allocation Def_Var'!R65+'[1]11. Cost Allocation Def_Var'!G247</f>
        <v>0</v>
      </c>
      <c r="J51" s="59">
        <f t="shared" si="5"/>
        <v>0</v>
      </c>
      <c r="K51" s="60">
        <f t="shared" si="1"/>
      </c>
      <c r="L51" s="61"/>
      <c r="M51" s="58">
        <f>'[1]11. Cost Allocation Def_Var'!H157</f>
        <v>0</v>
      </c>
      <c r="N51" s="57">
        <f>IF(E51="$/kWh",'[1]10. Billing Det. for Def_Var'!H66,'[1]10. Billing Det. for Def_Var'!J66)</f>
        <v>0</v>
      </c>
      <c r="O51" s="59">
        <f t="shared" si="6"/>
        <v>0</v>
      </c>
      <c r="P51" s="62">
        <f t="shared" si="3"/>
      </c>
    </row>
    <row r="52" spans="1:16" ht="15.75" hidden="1" thickBot="1">
      <c r="A52" s="44" t="s">
        <v>65</v>
      </c>
      <c r="C52" s="53" t="str">
        <f t="shared" si="4"/>
        <v>General Service 700 to 4,999 kW</v>
      </c>
      <c r="D52" s="54"/>
      <c r="E52" s="55">
        <f>VLOOKUP($C52,'[1]10. Billing Det. for Def_Var'!$B$26:I129,3,0)</f>
        <v>0</v>
      </c>
      <c r="F52" s="56"/>
      <c r="G52" s="57">
        <f>VLOOKUP($C52,'[1]10. Billing Det. for Def_Var'!$B$26:I129,5,0)</f>
        <v>0</v>
      </c>
      <c r="H52" s="57">
        <f>VLOOKUP($C52,'[1]10. Billing Det. for Def_Var'!$B$26:I129,6,0)</f>
        <v>0</v>
      </c>
      <c r="I52" s="58">
        <f>'[1]11. Cost Allocation Def_Var'!R66+'[1]11. Cost Allocation Def_Var'!G248</f>
        <v>0</v>
      </c>
      <c r="J52" s="59">
        <f t="shared" si="5"/>
        <v>0</v>
      </c>
      <c r="K52" s="60">
        <f t="shared" si="1"/>
      </c>
      <c r="L52" s="61"/>
      <c r="M52" s="58">
        <f>'[1]11. Cost Allocation Def_Var'!H158</f>
        <v>0</v>
      </c>
      <c r="N52" s="57">
        <f>IF(E52="$/kWh",'[1]10. Billing Det. for Def_Var'!H67,'[1]10. Billing Det. for Def_Var'!J67)</f>
        <v>0</v>
      </c>
      <c r="O52" s="59">
        <f t="shared" si="6"/>
        <v>0</v>
      </c>
      <c r="P52" s="62">
        <f t="shared" si="3"/>
      </c>
    </row>
    <row r="53" spans="1:16" ht="26.25" hidden="1" thickBot="1">
      <c r="A53" s="44" t="s">
        <v>66</v>
      </c>
      <c r="C53" s="53" t="str">
        <f t="shared" si="4"/>
        <v>General Service 1,000 to 2,999 kW</v>
      </c>
      <c r="D53" s="54"/>
      <c r="E53" s="55">
        <f>VLOOKUP($C53,'[1]10. Billing Det. for Def_Var'!$B$26:I129,3,0)</f>
        <v>0</v>
      </c>
      <c r="F53" s="56"/>
      <c r="G53" s="57">
        <f>VLOOKUP($C53,'[1]10. Billing Det. for Def_Var'!$B$26:I129,5,0)</f>
        <v>0</v>
      </c>
      <c r="H53" s="57">
        <f>VLOOKUP($C53,'[1]10. Billing Det. for Def_Var'!$B$26:I129,6,0)</f>
        <v>0</v>
      </c>
      <c r="I53" s="58">
        <f>'[1]11. Cost Allocation Def_Var'!R67+'[1]11. Cost Allocation Def_Var'!G249</f>
        <v>0</v>
      </c>
      <c r="J53" s="59">
        <f t="shared" si="5"/>
        <v>0</v>
      </c>
      <c r="K53" s="60">
        <f t="shared" si="1"/>
      </c>
      <c r="L53" s="61"/>
      <c r="M53" s="58">
        <f>'[1]11. Cost Allocation Def_Var'!H159</f>
        <v>0</v>
      </c>
      <c r="N53" s="57">
        <f>IF(E53="$/kWh",'[1]10. Billing Det. for Def_Var'!H68,'[1]10. Billing Det. for Def_Var'!J68)</f>
        <v>0</v>
      </c>
      <c r="O53" s="59">
        <f t="shared" si="6"/>
        <v>0</v>
      </c>
      <c r="P53" s="62">
        <f t="shared" si="3"/>
      </c>
    </row>
    <row r="54" spans="1:16" ht="26.25" thickBot="1">
      <c r="A54" s="44" t="s">
        <v>67</v>
      </c>
      <c r="C54" s="53" t="str">
        <f t="shared" si="4"/>
        <v>General Service 1,000 to 4,999 kW</v>
      </c>
      <c r="D54" s="54"/>
      <c r="E54" s="55" t="str">
        <f>VLOOKUP($C54,'[1]10. Billing Det. for Def_Var'!$B$26:I129,3,0)</f>
        <v>$/kVA</v>
      </c>
      <c r="F54" s="56"/>
      <c r="G54" s="57">
        <f>VLOOKUP($C54,'[1]10. Billing Det. for Def_Var'!$B$26:I129,5,0)</f>
        <v>4626928262.169875</v>
      </c>
      <c r="H54" s="57">
        <f>VLOOKUP($C54,'[1]10. Billing Det. for Def_Var'!$B$26:I129,6,0)</f>
        <v>10587119.273365011</v>
      </c>
      <c r="I54" s="58">
        <f>'[1]11. Cost Allocation Def_Var'!R68+'[1]11. Cost Allocation Def_Var'!G250</f>
        <v>-578061.7348389109</v>
      </c>
      <c r="J54" s="59">
        <f t="shared" si="5"/>
        <v>-0.05460047439846965</v>
      </c>
      <c r="K54" s="60" t="str">
        <f t="shared" si="1"/>
        <v>$/kVA</v>
      </c>
      <c r="L54" s="61"/>
      <c r="M54" s="58">
        <f>'[1]11. Cost Allocation Def_Var'!H160</f>
        <v>0</v>
      </c>
      <c r="N54" s="57">
        <f>IF(E54="$/kWh",'[1]10. Billing Det. for Def_Var'!H69,'[1]10. Billing Det. for Def_Var'!J69)</f>
        <v>0</v>
      </c>
      <c r="O54" s="59">
        <f t="shared" si="6"/>
        <v>0</v>
      </c>
      <c r="P54" s="62">
        <f t="shared" si="3"/>
      </c>
    </row>
    <row r="55" spans="1:16" ht="26.25" hidden="1" thickBot="1">
      <c r="A55" s="44" t="s">
        <v>68</v>
      </c>
      <c r="C55" s="53" t="str">
        <f t="shared" si="4"/>
        <v>General Service 1,000 to 4,999 kW - Interval Meters</v>
      </c>
      <c r="D55" s="54"/>
      <c r="E55" s="55">
        <f>VLOOKUP($C55,'[1]10. Billing Det. for Def_Var'!$B$26:I129,3,0)</f>
        <v>0</v>
      </c>
      <c r="F55" s="56"/>
      <c r="G55" s="57">
        <f>VLOOKUP($C55,'[1]10. Billing Det. for Def_Var'!$B$26:I129,5,0)</f>
        <v>0</v>
      </c>
      <c r="H55" s="57">
        <f>VLOOKUP($C55,'[1]10. Billing Det. for Def_Var'!$B$26:I129,6,0)</f>
        <v>0</v>
      </c>
      <c r="I55" s="58">
        <f>'[1]11. Cost Allocation Def_Var'!R69+'[1]11. Cost Allocation Def_Var'!G251</f>
        <v>0</v>
      </c>
      <c r="J55" s="59">
        <f t="shared" si="5"/>
        <v>0</v>
      </c>
      <c r="K55" s="60">
        <f t="shared" si="1"/>
      </c>
      <c r="L55" s="61"/>
      <c r="M55" s="58">
        <f>'[1]11. Cost Allocation Def_Var'!H161</f>
        <v>0</v>
      </c>
      <c r="N55" s="57">
        <f>IF(E55="$/kWh",'[1]10. Billing Det. for Def_Var'!H70,'[1]10. Billing Det. for Def_Var'!J70)</f>
        <v>0</v>
      </c>
      <c r="O55" s="59">
        <f t="shared" si="6"/>
        <v>0</v>
      </c>
      <c r="P55" s="62">
        <f t="shared" si="3"/>
      </c>
    </row>
    <row r="56" spans="1:16" ht="26.25" hidden="1" thickBot="1">
      <c r="A56" s="44" t="s">
        <v>69</v>
      </c>
      <c r="C56" s="53" t="str">
        <f t="shared" si="4"/>
        <v>General Service 1,000 To 4,999 kW (co-generation)</v>
      </c>
      <c r="D56" s="54"/>
      <c r="E56" s="55">
        <f>VLOOKUP($C56,'[1]10. Billing Det. for Def_Var'!$B$26:I129,3,0)</f>
        <v>0</v>
      </c>
      <c r="F56" s="56"/>
      <c r="G56" s="57">
        <f>VLOOKUP($C56,'[1]10. Billing Det. for Def_Var'!$B$26:I129,5,0)</f>
        <v>0</v>
      </c>
      <c r="H56" s="57">
        <f>VLOOKUP($C56,'[1]10. Billing Det. for Def_Var'!$B$26:I129,6,0)</f>
        <v>0</v>
      </c>
      <c r="I56" s="58">
        <f>'[1]11. Cost Allocation Def_Var'!R70+'[1]11. Cost Allocation Def_Var'!G252</f>
        <v>0</v>
      </c>
      <c r="J56" s="59">
        <f t="shared" si="5"/>
        <v>0</v>
      </c>
      <c r="K56" s="60">
        <f t="shared" si="1"/>
      </c>
      <c r="L56" s="61"/>
      <c r="M56" s="58">
        <f>'[1]11. Cost Allocation Def_Var'!H162</f>
        <v>0</v>
      </c>
      <c r="N56" s="57">
        <f>IF(E56="$/kWh",'[1]10. Billing Det. for Def_Var'!H71,'[1]10. Billing Det. for Def_Var'!J71)</f>
        <v>0</v>
      </c>
      <c r="O56" s="59">
        <f t="shared" si="6"/>
        <v>0</v>
      </c>
      <c r="P56" s="62">
        <f t="shared" si="3"/>
      </c>
    </row>
    <row r="57" spans="1:16" ht="26.25" hidden="1" thickBot="1">
      <c r="A57" s="44" t="s">
        <v>70</v>
      </c>
      <c r="C57" s="53" t="str">
        <f t="shared" si="4"/>
        <v>General Service Greater Than 1,000 kW</v>
      </c>
      <c r="D57" s="54"/>
      <c r="E57" s="55">
        <f>VLOOKUP($C57,'[1]10. Billing Det. for Def_Var'!$B$26:I129,3,0)</f>
        <v>0</v>
      </c>
      <c r="F57" s="56"/>
      <c r="G57" s="57">
        <f>VLOOKUP($C57,'[1]10. Billing Det. for Def_Var'!$B$26:I129,5,0)</f>
        <v>0</v>
      </c>
      <c r="H57" s="57">
        <f>VLOOKUP($C57,'[1]10. Billing Det. for Def_Var'!$B$26:I129,6,0)</f>
        <v>0</v>
      </c>
      <c r="I57" s="58">
        <f>'[1]11. Cost Allocation Def_Var'!R71+'[1]11. Cost Allocation Def_Var'!G253</f>
        <v>0</v>
      </c>
      <c r="J57" s="59">
        <f t="shared" si="5"/>
        <v>0</v>
      </c>
      <c r="K57" s="60">
        <f t="shared" si="1"/>
      </c>
      <c r="L57" s="61"/>
      <c r="M57" s="58">
        <f>'[1]11. Cost Allocation Def_Var'!H163</f>
        <v>0</v>
      </c>
      <c r="N57" s="57">
        <f>IF(E57="$/kWh",'[1]10. Billing Det. for Def_Var'!H72,'[1]10. Billing Det. for Def_Var'!J72)</f>
        <v>0</v>
      </c>
      <c r="O57" s="59">
        <f t="shared" si="6"/>
        <v>0</v>
      </c>
      <c r="P57" s="62">
        <f t="shared" si="3"/>
      </c>
    </row>
    <row r="58" spans="1:16" ht="39" hidden="1" thickBot="1">
      <c r="A58" s="44" t="s">
        <v>71</v>
      </c>
      <c r="C58" s="53" t="str">
        <f t="shared" si="4"/>
        <v>General Service Intermediate Rate Class 1,000 To 4,999 kW (formerly Large Use Customers)</v>
      </c>
      <c r="D58" s="54"/>
      <c r="E58" s="55">
        <f>VLOOKUP($C58,'[1]10. Billing Det. for Def_Var'!$B$26:I129,3,0)</f>
        <v>0</v>
      </c>
      <c r="F58" s="56"/>
      <c r="G58" s="57">
        <f>VLOOKUP($C58,'[1]10. Billing Det. for Def_Var'!$B$26:I129,5,0)</f>
        <v>0</v>
      </c>
      <c r="H58" s="57">
        <f>VLOOKUP($C58,'[1]10. Billing Det. for Def_Var'!$B$26:I129,6,0)</f>
        <v>0</v>
      </c>
      <c r="I58" s="58">
        <f>'[1]11. Cost Allocation Def_Var'!R72+'[1]11. Cost Allocation Def_Var'!G254</f>
        <v>0</v>
      </c>
      <c r="J58" s="59">
        <f t="shared" si="5"/>
        <v>0</v>
      </c>
      <c r="K58" s="60">
        <f t="shared" si="1"/>
      </c>
      <c r="L58" s="61"/>
      <c r="M58" s="58">
        <f>'[1]11. Cost Allocation Def_Var'!H164</f>
        <v>0</v>
      </c>
      <c r="N58" s="57">
        <f>IF(E58="$/kWh",'[1]10. Billing Det. for Def_Var'!H73,'[1]10. Billing Det. for Def_Var'!J73)</f>
        <v>0</v>
      </c>
      <c r="O58" s="59">
        <f t="shared" si="6"/>
        <v>0</v>
      </c>
      <c r="P58" s="62">
        <f t="shared" si="3"/>
      </c>
    </row>
    <row r="59" spans="1:16" ht="51.75" hidden="1" thickBot="1">
      <c r="A59" s="44" t="s">
        <v>72</v>
      </c>
      <c r="C59" s="53" t="str">
        <f t="shared" si="4"/>
        <v>General Service Intermediate Rate Class 1,000 To 4,999 kW (formerly General Service &gt; 50 kW Customers)</v>
      </c>
      <c r="D59" s="54"/>
      <c r="E59" s="55">
        <f>VLOOKUP($C59,'[1]10. Billing Det. for Def_Var'!$B$26:I129,3,0)</f>
        <v>0</v>
      </c>
      <c r="F59" s="56"/>
      <c r="G59" s="57">
        <f>VLOOKUP($C59,'[1]10. Billing Det. for Def_Var'!$B$26:I129,5,0)</f>
        <v>0</v>
      </c>
      <c r="H59" s="57">
        <f>VLOOKUP($C59,'[1]10. Billing Det. for Def_Var'!$B$26:I129,6,0)</f>
        <v>0</v>
      </c>
      <c r="I59" s="58">
        <f>'[1]11. Cost Allocation Def_Var'!R73+'[1]11. Cost Allocation Def_Var'!G255</f>
        <v>0</v>
      </c>
      <c r="J59" s="59">
        <f t="shared" si="5"/>
        <v>0</v>
      </c>
      <c r="K59" s="60">
        <f t="shared" si="1"/>
      </c>
      <c r="L59" s="61"/>
      <c r="M59" s="58">
        <f>'[1]11. Cost Allocation Def_Var'!H165</f>
        <v>0</v>
      </c>
      <c r="N59" s="57">
        <f>IF(E59="$/kWh",'[1]10. Billing Det. for Def_Var'!H74,'[1]10. Billing Det. for Def_Var'!J74)</f>
        <v>0</v>
      </c>
      <c r="O59" s="59">
        <f t="shared" si="6"/>
        <v>0</v>
      </c>
      <c r="P59" s="62">
        <f t="shared" si="3"/>
      </c>
    </row>
    <row r="60" spans="1:16" ht="26.25" hidden="1" thickBot="1">
      <c r="A60" s="44" t="s">
        <v>73</v>
      </c>
      <c r="C60" s="53" t="str">
        <f t="shared" si="4"/>
        <v>General Service 1,500 to 4,999 kW</v>
      </c>
      <c r="D60" s="54"/>
      <c r="E60" s="55">
        <f>VLOOKUP($C60,'[1]10. Billing Det. for Def_Var'!$B$26:I129,3,0)</f>
        <v>0</v>
      </c>
      <c r="F60" s="56"/>
      <c r="G60" s="57">
        <f>VLOOKUP($C60,'[1]10. Billing Det. for Def_Var'!$B$26:I129,5,0)</f>
        <v>0</v>
      </c>
      <c r="H60" s="57">
        <f>VLOOKUP($C60,'[1]10. Billing Det. for Def_Var'!$B$26:I129,6,0)</f>
        <v>0</v>
      </c>
      <c r="I60" s="58">
        <f>'[1]11. Cost Allocation Def_Var'!R74+'[1]11. Cost Allocation Def_Var'!G256</f>
        <v>0</v>
      </c>
      <c r="J60" s="59">
        <f t="shared" si="5"/>
        <v>0</v>
      </c>
      <c r="K60" s="60">
        <f t="shared" si="1"/>
      </c>
      <c r="L60" s="61"/>
      <c r="M60" s="58">
        <f>'[1]11. Cost Allocation Def_Var'!H166</f>
        <v>0</v>
      </c>
      <c r="N60" s="57">
        <f>IF(E60="$/kWh",'[1]10. Billing Det. for Def_Var'!H75,'[1]10. Billing Det. for Def_Var'!J75)</f>
        <v>0</v>
      </c>
      <c r="O60" s="59">
        <f t="shared" si="6"/>
        <v>0</v>
      </c>
      <c r="P60" s="62">
        <f t="shared" si="3"/>
      </c>
    </row>
    <row r="61" spans="1:16" ht="26.25" hidden="1" thickBot="1">
      <c r="A61" s="44" t="s">
        <v>74</v>
      </c>
      <c r="C61" s="53" t="str">
        <f t="shared" si="4"/>
        <v>General Service Equal To Or Greater Than 1,500 kW</v>
      </c>
      <c r="D61" s="54"/>
      <c r="E61" s="55">
        <f>VLOOKUP($C61,'[1]10. Billing Det. for Def_Var'!$B$26:I129,3,0)</f>
        <v>0</v>
      </c>
      <c r="F61" s="56"/>
      <c r="G61" s="57">
        <f>VLOOKUP($C61,'[1]10. Billing Det. for Def_Var'!$B$26:I129,5,0)</f>
        <v>0</v>
      </c>
      <c r="H61" s="57">
        <f>VLOOKUP($C61,'[1]10. Billing Det. for Def_Var'!$B$26:I129,6,0)</f>
        <v>0</v>
      </c>
      <c r="I61" s="58">
        <f>'[1]11. Cost Allocation Def_Var'!R75+'[1]11. Cost Allocation Def_Var'!G257</f>
        <v>0</v>
      </c>
      <c r="J61" s="59">
        <f t="shared" si="5"/>
        <v>0</v>
      </c>
      <c r="K61" s="60">
        <f t="shared" si="1"/>
      </c>
      <c r="L61" s="61"/>
      <c r="M61" s="58">
        <f>'[1]11. Cost Allocation Def_Var'!H167</f>
        <v>0</v>
      </c>
      <c r="N61" s="57">
        <f>IF(E61="$/kWh",'[1]10. Billing Det. for Def_Var'!H76,'[1]10. Billing Det. for Def_Var'!J76)</f>
        <v>0</v>
      </c>
      <c r="O61" s="59">
        <f t="shared" si="6"/>
        <v>0</v>
      </c>
      <c r="P61" s="62">
        <f t="shared" si="3"/>
      </c>
    </row>
    <row r="62" spans="1:16" ht="39" hidden="1" thickBot="1">
      <c r="A62" s="44" t="s">
        <v>75</v>
      </c>
      <c r="C62" s="53" t="str">
        <f t="shared" si="4"/>
        <v>General Service Equal To Or Greater Than 1,500 kW - Interval Metered</v>
      </c>
      <c r="D62" s="54"/>
      <c r="E62" s="55">
        <f>VLOOKUP($C62,'[1]10. Billing Det. for Def_Var'!$B$26:I129,3,0)</f>
        <v>0</v>
      </c>
      <c r="F62" s="56"/>
      <c r="G62" s="57">
        <f>VLOOKUP($C62,'[1]10. Billing Det. for Def_Var'!$B$26:I129,5,0)</f>
        <v>0</v>
      </c>
      <c r="H62" s="57">
        <f>VLOOKUP($C62,'[1]10. Billing Det. for Def_Var'!$B$26:I129,6,0)</f>
        <v>0</v>
      </c>
      <c r="I62" s="58">
        <f>'[1]11. Cost Allocation Def_Var'!R76+'[1]11. Cost Allocation Def_Var'!G258</f>
        <v>0</v>
      </c>
      <c r="J62" s="59">
        <f t="shared" si="5"/>
        <v>0</v>
      </c>
      <c r="K62" s="60">
        <f t="shared" si="1"/>
      </c>
      <c r="L62" s="61"/>
      <c r="M62" s="58">
        <f>'[1]11. Cost Allocation Def_Var'!H168</f>
        <v>0</v>
      </c>
      <c r="N62" s="57">
        <f>IF(E62="$/kWh",'[1]10. Billing Det. for Def_Var'!H77,'[1]10. Billing Det. for Def_Var'!J77)</f>
        <v>0</v>
      </c>
      <c r="O62" s="59">
        <f t="shared" si="6"/>
        <v>0</v>
      </c>
      <c r="P62" s="62">
        <f t="shared" si="3"/>
      </c>
    </row>
    <row r="63" spans="1:16" ht="26.25" hidden="1" thickBot="1">
      <c r="A63" s="44" t="s">
        <v>76</v>
      </c>
      <c r="C63" s="53" t="str">
        <f t="shared" si="4"/>
        <v>General Service Intermediate 1,000 To 4,999 kW</v>
      </c>
      <c r="D63" s="54"/>
      <c r="E63" s="55">
        <f>VLOOKUP($C63,'[1]10. Billing Det. for Def_Var'!$B$26:I129,3,0)</f>
        <v>0</v>
      </c>
      <c r="F63" s="56"/>
      <c r="G63" s="57">
        <f>VLOOKUP($C63,'[1]10. Billing Det. for Def_Var'!$B$26:I129,5,0)</f>
        <v>0</v>
      </c>
      <c r="H63" s="57">
        <f>VLOOKUP($C63,'[1]10. Billing Det. for Def_Var'!$B$26:I129,6,0)</f>
        <v>0</v>
      </c>
      <c r="I63" s="58">
        <f>'[1]11. Cost Allocation Def_Var'!R77+'[1]11. Cost Allocation Def_Var'!G259</f>
        <v>0</v>
      </c>
      <c r="J63" s="59">
        <f t="shared" si="5"/>
        <v>0</v>
      </c>
      <c r="K63" s="60">
        <f t="shared" si="1"/>
      </c>
      <c r="L63" s="61"/>
      <c r="M63" s="58">
        <f>'[1]11. Cost Allocation Def_Var'!H169</f>
        <v>0</v>
      </c>
      <c r="N63" s="57">
        <f>IF(E63="$/kWh",'[1]10. Billing Det. for Def_Var'!H78,'[1]10. Billing Det. for Def_Var'!J78)</f>
        <v>0</v>
      </c>
      <c r="O63" s="59">
        <f t="shared" si="6"/>
        <v>0</v>
      </c>
      <c r="P63" s="62">
        <f t="shared" si="3"/>
      </c>
    </row>
    <row r="64" spans="1:16" ht="26.25" hidden="1" thickBot="1">
      <c r="A64" s="44" t="s">
        <v>77</v>
      </c>
      <c r="C64" s="53" t="str">
        <f t="shared" si="4"/>
        <v>General Service 2,500 to 4,999 kW</v>
      </c>
      <c r="D64" s="54"/>
      <c r="E64" s="55">
        <f>VLOOKUP($C64,'[1]10. Billing Det. for Def_Var'!$B$26:I129,3,0)</f>
        <v>0</v>
      </c>
      <c r="F64" s="56"/>
      <c r="G64" s="57">
        <f>VLOOKUP($C64,'[1]10. Billing Det. for Def_Var'!$B$26:I129,5,0)</f>
        <v>0</v>
      </c>
      <c r="H64" s="57">
        <f>VLOOKUP($C64,'[1]10. Billing Det. for Def_Var'!$B$26:I129,6,0)</f>
        <v>0</v>
      </c>
      <c r="I64" s="58">
        <f>'[1]11. Cost Allocation Def_Var'!R78+'[1]11. Cost Allocation Def_Var'!G260</f>
        <v>0</v>
      </c>
      <c r="J64" s="59">
        <f t="shared" si="5"/>
        <v>0</v>
      </c>
      <c r="K64" s="60">
        <f t="shared" si="1"/>
      </c>
      <c r="L64" s="61"/>
      <c r="M64" s="58">
        <f>'[1]11. Cost Allocation Def_Var'!H170</f>
        <v>0</v>
      </c>
      <c r="N64" s="57">
        <f>IF(E64="$/kWh",'[1]10. Billing Det. for Def_Var'!H79,'[1]10. Billing Det. for Def_Var'!J79)</f>
        <v>0</v>
      </c>
      <c r="O64" s="59">
        <f t="shared" si="6"/>
        <v>0</v>
      </c>
      <c r="P64" s="62">
        <f t="shared" si="3"/>
      </c>
    </row>
    <row r="65" spans="1:16" ht="26.25" hidden="1" thickBot="1">
      <c r="A65" s="44" t="s">
        <v>78</v>
      </c>
      <c r="C65" s="53" t="str">
        <f t="shared" si="4"/>
        <v>General Service 3,000 to 4,999 kW</v>
      </c>
      <c r="D65" s="54"/>
      <c r="E65" s="55">
        <f>VLOOKUP($C65,'[1]10. Billing Det. for Def_Var'!$B$26:I129,3,0)</f>
        <v>0</v>
      </c>
      <c r="F65" s="56"/>
      <c r="G65" s="57">
        <f>VLOOKUP($C65,'[1]10. Billing Det. for Def_Var'!$B$26:I129,5,0)</f>
        <v>0</v>
      </c>
      <c r="H65" s="57">
        <f>VLOOKUP($C65,'[1]10. Billing Det. for Def_Var'!$B$26:I129,6,0)</f>
        <v>0</v>
      </c>
      <c r="I65" s="58">
        <f>'[1]11. Cost Allocation Def_Var'!R79+'[1]11. Cost Allocation Def_Var'!G261</f>
        <v>0</v>
      </c>
      <c r="J65" s="59">
        <f t="shared" si="5"/>
        <v>0</v>
      </c>
      <c r="K65" s="60">
        <f t="shared" si="1"/>
      </c>
      <c r="L65" s="61"/>
      <c r="M65" s="58">
        <f>'[1]11. Cost Allocation Def_Var'!H171</f>
        <v>0</v>
      </c>
      <c r="N65" s="57">
        <f>IF(E65="$/kWh",'[1]10. Billing Det. for Def_Var'!H80,'[1]10. Billing Det. for Def_Var'!J80)</f>
        <v>0</v>
      </c>
      <c r="O65" s="59">
        <f t="shared" si="6"/>
        <v>0</v>
      </c>
      <c r="P65" s="62">
        <f t="shared" si="3"/>
      </c>
    </row>
    <row r="66" spans="1:16" ht="26.25" hidden="1" thickBot="1">
      <c r="A66" s="44" t="s">
        <v>79</v>
      </c>
      <c r="C66" s="53" t="str">
        <f t="shared" si="4"/>
        <v>General Service 3,000 to 4,999 kW - Interval Metered</v>
      </c>
      <c r="D66" s="54"/>
      <c r="E66" s="55">
        <f>VLOOKUP($C66,'[1]10. Billing Det. for Def_Var'!$B$26:I129,3,0)</f>
        <v>0</v>
      </c>
      <c r="F66" s="56"/>
      <c r="G66" s="57">
        <f>VLOOKUP($C66,'[1]10. Billing Det. for Def_Var'!$B$26:I129,5,0)</f>
        <v>0</v>
      </c>
      <c r="H66" s="57">
        <f>VLOOKUP($C66,'[1]10. Billing Det. for Def_Var'!$B$26:I129,6,0)</f>
        <v>0</v>
      </c>
      <c r="I66" s="58">
        <f>'[1]11. Cost Allocation Def_Var'!R80+'[1]11. Cost Allocation Def_Var'!G262</f>
        <v>0</v>
      </c>
      <c r="J66" s="59">
        <f t="shared" si="5"/>
        <v>0</v>
      </c>
      <c r="K66" s="60">
        <f t="shared" si="1"/>
      </c>
      <c r="L66" s="61"/>
      <c r="M66" s="58">
        <f>'[1]11. Cost Allocation Def_Var'!H172</f>
        <v>0</v>
      </c>
      <c r="N66" s="57">
        <f>IF(E66="$/kWh",'[1]10. Billing Det. for Def_Var'!H81,'[1]10. Billing Det. for Def_Var'!J81)</f>
        <v>0</v>
      </c>
      <c r="O66" s="59">
        <f t="shared" si="6"/>
        <v>0</v>
      </c>
      <c r="P66" s="62">
        <f t="shared" si="3"/>
      </c>
    </row>
    <row r="67" spans="1:16" ht="26.25" hidden="1" thickBot="1">
      <c r="A67" s="44" t="s">
        <v>80</v>
      </c>
      <c r="C67" s="53" t="str">
        <f t="shared" si="4"/>
        <v>General Service 3,000 to 4,999 kW - Intermediate Use</v>
      </c>
      <c r="D67" s="54"/>
      <c r="E67" s="55">
        <f>VLOOKUP($C67,'[1]10. Billing Det. for Def_Var'!$B$26:I129,3,0)</f>
        <v>0</v>
      </c>
      <c r="F67" s="56"/>
      <c r="G67" s="57">
        <f>VLOOKUP($C67,'[1]10. Billing Det. for Def_Var'!$B$26:I129,5,0)</f>
        <v>0</v>
      </c>
      <c r="H67" s="57">
        <f>VLOOKUP($C67,'[1]10. Billing Det. for Def_Var'!$B$26:I129,6,0)</f>
        <v>0</v>
      </c>
      <c r="I67" s="58">
        <f>'[1]11. Cost Allocation Def_Var'!R81+'[1]11. Cost Allocation Def_Var'!G263</f>
        <v>0</v>
      </c>
      <c r="J67" s="59">
        <f t="shared" si="5"/>
        <v>0</v>
      </c>
      <c r="K67" s="60">
        <f t="shared" si="1"/>
      </c>
      <c r="L67" s="61"/>
      <c r="M67" s="58">
        <f>'[1]11. Cost Allocation Def_Var'!H173</f>
        <v>0</v>
      </c>
      <c r="N67" s="57">
        <f>IF(E67="$/kWh",'[1]10. Billing Det. for Def_Var'!H82,'[1]10. Billing Det. for Def_Var'!J82)</f>
        <v>0</v>
      </c>
      <c r="O67" s="59">
        <f t="shared" si="6"/>
        <v>0</v>
      </c>
      <c r="P67" s="62">
        <f t="shared" si="3"/>
      </c>
    </row>
    <row r="68" spans="1:16" ht="26.25" hidden="1" thickBot="1">
      <c r="A68" s="44" t="s">
        <v>81</v>
      </c>
      <c r="C68" s="53" t="str">
        <f t="shared" si="4"/>
        <v>General Service 3,000 to 4,999 kW - Time of Use</v>
      </c>
      <c r="D68" s="54"/>
      <c r="E68" s="55">
        <f>VLOOKUP($C68,'[1]10. Billing Det. for Def_Var'!$B$26:I129,3,0)</f>
        <v>0</v>
      </c>
      <c r="F68" s="56"/>
      <c r="G68" s="57">
        <f>VLOOKUP($C68,'[1]10. Billing Det. for Def_Var'!$B$26:I129,5,0)</f>
        <v>0</v>
      </c>
      <c r="H68" s="57">
        <f>VLOOKUP($C68,'[1]10. Billing Det. for Def_Var'!$B$26:I129,6,0)</f>
        <v>0</v>
      </c>
      <c r="I68" s="58">
        <f>'[1]11. Cost Allocation Def_Var'!R82+'[1]11. Cost Allocation Def_Var'!G264</f>
        <v>0</v>
      </c>
      <c r="J68" s="59">
        <f t="shared" si="5"/>
        <v>0</v>
      </c>
      <c r="K68" s="60">
        <f t="shared" si="1"/>
      </c>
      <c r="L68" s="61"/>
      <c r="M68" s="58">
        <f>'[1]11. Cost Allocation Def_Var'!H174</f>
        <v>0</v>
      </c>
      <c r="N68" s="57">
        <f>IF(E68="$/kWh",'[1]10. Billing Det. for Def_Var'!H83,'[1]10. Billing Det. for Def_Var'!J83)</f>
        <v>0</v>
      </c>
      <c r="O68" s="59">
        <f t="shared" si="6"/>
        <v>0</v>
      </c>
      <c r="P68" s="62">
        <f t="shared" si="3"/>
      </c>
    </row>
    <row r="69" spans="1:16" ht="26.25" hidden="1" thickBot="1">
      <c r="A69" s="44" t="s">
        <v>82</v>
      </c>
      <c r="C69" s="53" t="str">
        <f t="shared" si="4"/>
        <v>Intermediate With Self Generation</v>
      </c>
      <c r="D69" s="54"/>
      <c r="E69" s="55">
        <f>VLOOKUP($C69,'[1]10. Billing Det. for Def_Var'!$B$26:I129,3,0)</f>
        <v>0</v>
      </c>
      <c r="F69" s="56"/>
      <c r="G69" s="57">
        <f>VLOOKUP($C69,'[1]10. Billing Det. for Def_Var'!$B$26:I129,5,0)</f>
        <v>0</v>
      </c>
      <c r="H69" s="57">
        <f>VLOOKUP($C69,'[1]10. Billing Det. for Def_Var'!$B$26:I129,6,0)</f>
        <v>0</v>
      </c>
      <c r="I69" s="58">
        <f>'[1]11. Cost Allocation Def_Var'!R83+'[1]11. Cost Allocation Def_Var'!G265</f>
        <v>0</v>
      </c>
      <c r="J69" s="59">
        <f t="shared" si="5"/>
        <v>0</v>
      </c>
      <c r="K69" s="60">
        <f t="shared" si="1"/>
      </c>
      <c r="L69" s="61"/>
      <c r="M69" s="58">
        <f>'[1]11. Cost Allocation Def_Var'!H175</f>
        <v>0</v>
      </c>
      <c r="N69" s="57">
        <f>IF(E69="$/kWh",'[1]10. Billing Det. for Def_Var'!H84,'[1]10. Billing Det. for Def_Var'!J84)</f>
        <v>0</v>
      </c>
      <c r="O69" s="59">
        <f t="shared" si="6"/>
        <v>0</v>
      </c>
      <c r="P69" s="62">
        <f t="shared" si="3"/>
      </c>
    </row>
    <row r="70" spans="1:16" ht="15.75" hidden="1" thickBot="1">
      <c r="A70" s="44" t="s">
        <v>83</v>
      </c>
      <c r="C70" s="53" t="str">
        <f t="shared" si="4"/>
        <v>General Service - Commercial</v>
      </c>
      <c r="D70" s="54"/>
      <c r="E70" s="55">
        <f>VLOOKUP($C70,'[1]10. Billing Det. for Def_Var'!$B$26:I129,3,0)</f>
        <v>0</v>
      </c>
      <c r="F70" s="56"/>
      <c r="G70" s="57">
        <f>VLOOKUP($C70,'[1]10. Billing Det. for Def_Var'!$B$26:I129,5,0)</f>
        <v>0</v>
      </c>
      <c r="H70" s="57">
        <f>VLOOKUP($C70,'[1]10. Billing Det. for Def_Var'!$B$26:I129,6,0)</f>
        <v>0</v>
      </c>
      <c r="I70" s="58">
        <f>'[1]11. Cost Allocation Def_Var'!R84+'[1]11. Cost Allocation Def_Var'!G266</f>
        <v>0</v>
      </c>
      <c r="J70" s="59">
        <f t="shared" si="5"/>
        <v>0</v>
      </c>
      <c r="K70" s="60">
        <f t="shared" si="1"/>
      </c>
      <c r="L70" s="61"/>
      <c r="M70" s="58">
        <f>'[1]11. Cost Allocation Def_Var'!H176</f>
        <v>0</v>
      </c>
      <c r="N70" s="57">
        <f>IF(E70="$/kWh",'[1]10. Billing Det. for Def_Var'!H85,'[1]10. Billing Det. for Def_Var'!J85)</f>
        <v>0</v>
      </c>
      <c r="O70" s="59">
        <f t="shared" si="6"/>
        <v>0</v>
      </c>
      <c r="P70" s="62">
        <f t="shared" si="3"/>
      </c>
    </row>
    <row r="71" spans="1:16" ht="15.75" hidden="1" thickBot="1">
      <c r="A71" s="44" t="s">
        <v>84</v>
      </c>
      <c r="C71" s="53" t="str">
        <f t="shared" si="4"/>
        <v>General Service - Institutional</v>
      </c>
      <c r="D71" s="54"/>
      <c r="E71" s="55">
        <f>VLOOKUP($C71,'[1]10. Billing Det. for Def_Var'!$B$26:I129,3,0)</f>
        <v>0</v>
      </c>
      <c r="F71" s="56"/>
      <c r="G71" s="57">
        <f>VLOOKUP($C71,'[1]10. Billing Det. for Def_Var'!$B$26:I129,5,0)</f>
        <v>0</v>
      </c>
      <c r="H71" s="57">
        <f>VLOOKUP($C71,'[1]10. Billing Det. for Def_Var'!$B$26:I129,6,0)</f>
        <v>0</v>
      </c>
      <c r="I71" s="58">
        <f>'[1]11. Cost Allocation Def_Var'!R85+'[1]11. Cost Allocation Def_Var'!G267</f>
        <v>0</v>
      </c>
      <c r="J71" s="59">
        <f t="shared" si="5"/>
        <v>0</v>
      </c>
      <c r="K71" s="60">
        <f t="shared" si="1"/>
      </c>
      <c r="L71" s="61"/>
      <c r="M71" s="58">
        <f>'[1]11. Cost Allocation Def_Var'!H177</f>
        <v>0</v>
      </c>
      <c r="N71" s="57">
        <f>IF(E71="$/kWh",'[1]10. Billing Det. for Def_Var'!H86,'[1]10. Billing Det. for Def_Var'!J86)</f>
        <v>0</v>
      </c>
      <c r="O71" s="59">
        <f t="shared" si="6"/>
        <v>0</v>
      </c>
      <c r="P71" s="62">
        <f t="shared" si="3"/>
      </c>
    </row>
    <row r="72" spans="1:16" ht="26.25" hidden="1" thickBot="1">
      <c r="A72" s="44" t="s">
        <v>85</v>
      </c>
      <c r="C72" s="53" t="str">
        <f t="shared" si="4"/>
        <v>Farms – Three Phase energy-billed [F3]</v>
      </c>
      <c r="D72" s="54"/>
      <c r="E72" s="55">
        <f>VLOOKUP($C72,'[1]10. Billing Det. for Def_Var'!$B$26:I129,3,0)</f>
        <v>0</v>
      </c>
      <c r="F72" s="56"/>
      <c r="G72" s="57">
        <f>VLOOKUP($C72,'[1]10. Billing Det. for Def_Var'!$B$26:I129,5,0)</f>
        <v>0</v>
      </c>
      <c r="H72" s="57">
        <f>VLOOKUP($C72,'[1]10. Billing Det. for Def_Var'!$B$26:I129,6,0)</f>
        <v>0</v>
      </c>
      <c r="I72" s="58">
        <f>'[1]11. Cost Allocation Def_Var'!R86+'[1]11. Cost Allocation Def_Var'!G268</f>
        <v>0</v>
      </c>
      <c r="J72" s="59">
        <f t="shared" si="5"/>
        <v>0</v>
      </c>
      <c r="K72" s="60">
        <f t="shared" si="1"/>
      </c>
      <c r="L72" s="61"/>
      <c r="M72" s="58">
        <f>'[1]11. Cost Allocation Def_Var'!H178</f>
        <v>0</v>
      </c>
      <c r="N72" s="57">
        <f>IF(E72="$/kWh",'[1]10. Billing Det. for Def_Var'!H87,'[1]10. Billing Det. for Def_Var'!J87)</f>
        <v>0</v>
      </c>
      <c r="O72" s="59">
        <f t="shared" si="6"/>
        <v>0</v>
      </c>
      <c r="P72" s="62">
        <f t="shared" si="3"/>
      </c>
    </row>
    <row r="73" spans="1:16" ht="15.75" hidden="1" thickBot="1">
      <c r="A73" s="44" t="s">
        <v>13</v>
      </c>
      <c r="C73" s="53" t="str">
        <f t="shared" si="4"/>
        <v>Large Use</v>
      </c>
      <c r="D73" s="54"/>
      <c r="E73" s="55">
        <f>VLOOKUP($C73,'[1]10. Billing Det. for Def_Var'!$B$26:I129,3,0)</f>
        <v>0</v>
      </c>
      <c r="F73" s="56"/>
      <c r="G73" s="57">
        <f>VLOOKUP($C73,'[1]10. Billing Det. for Def_Var'!$B$26:I129,5,0)</f>
        <v>0</v>
      </c>
      <c r="H73" s="57">
        <f>VLOOKUP($C73,'[1]10. Billing Det. for Def_Var'!$B$26:I129,6,0)</f>
        <v>0</v>
      </c>
      <c r="I73" s="58">
        <f>'[1]11. Cost Allocation Def_Var'!R87+'[1]11. Cost Allocation Def_Var'!G269</f>
        <v>0</v>
      </c>
      <c r="J73" s="59">
        <f t="shared" si="5"/>
        <v>0</v>
      </c>
      <c r="K73" s="60">
        <f t="shared" si="1"/>
      </c>
      <c r="L73" s="61"/>
      <c r="M73" s="58">
        <f>'[1]11. Cost Allocation Def_Var'!H179</f>
        <v>0</v>
      </c>
      <c r="N73" s="57">
        <f>IF(E73="$/kWh",'[1]10. Billing Det. for Def_Var'!H88,'[1]10. Billing Det. for Def_Var'!J88)</f>
        <v>0</v>
      </c>
      <c r="O73" s="59">
        <f t="shared" si="6"/>
        <v>0</v>
      </c>
      <c r="P73" s="62">
        <f t="shared" si="3"/>
      </c>
    </row>
    <row r="74" spans="1:16" ht="15.75" hidden="1" thickBot="1">
      <c r="A74" s="44" t="s">
        <v>86</v>
      </c>
      <c r="C74" s="53" t="str">
        <f t="shared" si="4"/>
        <v>Large Use - Regular</v>
      </c>
      <c r="D74" s="54"/>
      <c r="E74" s="55">
        <f>VLOOKUP($C74,'[1]10. Billing Det. for Def_Var'!$B$26:I129,3,0)</f>
        <v>0</v>
      </c>
      <c r="F74" s="56"/>
      <c r="G74" s="57">
        <f>VLOOKUP($C74,'[1]10. Billing Det. for Def_Var'!$B$26:I129,5,0)</f>
        <v>0</v>
      </c>
      <c r="H74" s="57">
        <f>VLOOKUP($C74,'[1]10. Billing Det. for Def_Var'!$B$26:I129,6,0)</f>
        <v>0</v>
      </c>
      <c r="I74" s="58">
        <f>'[1]11. Cost Allocation Def_Var'!R88+'[1]11. Cost Allocation Def_Var'!G270</f>
        <v>0</v>
      </c>
      <c r="J74" s="59">
        <f t="shared" si="5"/>
        <v>0</v>
      </c>
      <c r="K74" s="60">
        <f t="shared" si="1"/>
      </c>
      <c r="L74" s="61"/>
      <c r="M74" s="58">
        <f>'[1]11. Cost Allocation Def_Var'!H180</f>
        <v>0</v>
      </c>
      <c r="N74" s="57">
        <f>IF(E74="$/kWh",'[1]10. Billing Det. for Def_Var'!H89,'[1]10. Billing Det. for Def_Var'!J89)</f>
        <v>0</v>
      </c>
      <c r="O74" s="59">
        <f t="shared" si="6"/>
        <v>0</v>
      </c>
      <c r="P74" s="62">
        <f t="shared" si="3"/>
      </c>
    </row>
    <row r="75" spans="1:16" ht="15.75" thickBot="1">
      <c r="A75" s="44" t="s">
        <v>87</v>
      </c>
      <c r="C75" s="53" t="str">
        <f t="shared" si="4"/>
        <v>Large Use &gt; 5000 kW</v>
      </c>
      <c r="D75" s="54"/>
      <c r="E75" s="55" t="str">
        <f>VLOOKUP($C75,'[1]10. Billing Det. for Def_Var'!$B$26:I129,3,0)</f>
        <v>$/kVA</v>
      </c>
      <c r="F75" s="56"/>
      <c r="G75" s="57">
        <f>VLOOKUP($C75,'[1]10. Billing Det. for Def_Var'!$B$26:I129,5,0)</f>
        <v>2376778322.949487</v>
      </c>
      <c r="H75" s="57">
        <f>VLOOKUP($C75,'[1]10. Billing Det. for Def_Var'!$B$26:I129,6,0)</f>
        <v>4993733.30696673</v>
      </c>
      <c r="I75" s="58">
        <f>'[1]11. Cost Allocation Def_Var'!R89+'[1]11. Cost Allocation Def_Var'!G271</f>
        <v>-283489.583332655</v>
      </c>
      <c r="J75" s="59">
        <f aca="true" t="shared" si="7" ref="J75:J93">IF(ISERROR(IF(E75=0,0,IF(E75="$/kWh",(I75/G75)/$E$2,(I75/H75)/$E$2))),0,IF(E75=0,0,IF(E75="$/kWh",(I75/G75)/$E$2,(I75/H75)/$E$2)))</f>
        <v>-0.056769067530530765</v>
      </c>
      <c r="K75" s="60" t="str">
        <f aca="true" t="shared" si="8" ref="K75:K92">IF(OR(J75&gt;0,J75&lt;0),E75,"")</f>
        <v>$/kVA</v>
      </c>
      <c r="L75" s="61"/>
      <c r="M75" s="58">
        <f>'[1]11. Cost Allocation Def_Var'!H181</f>
        <v>0</v>
      </c>
      <c r="N75" s="57">
        <f>IF(E75="$/kWh",'[1]10. Billing Det. for Def_Var'!H90,'[1]10. Billing Det. for Def_Var'!J90)</f>
        <v>0</v>
      </c>
      <c r="O75" s="59">
        <f aca="true" t="shared" si="9" ref="O75:O93">IF(ISERROR(M75/N75/$E$2),0,M75/N75/$E$2)</f>
        <v>0</v>
      </c>
      <c r="P75" s="62">
        <f aca="true" t="shared" si="10" ref="P75:P93">IF(OR(O75&gt;0,O75&lt;0),E75,"")</f>
      </c>
    </row>
    <row r="76" spans="1:16" ht="15.75" hidden="1" thickBot="1">
      <c r="A76" s="44" t="s">
        <v>88</v>
      </c>
      <c r="C76" s="53" t="str">
        <f aca="true" t="shared" si="11" ref="C76:C93">A76</f>
        <v>Large Use - 3TS</v>
      </c>
      <c r="D76" s="54"/>
      <c r="E76" s="55">
        <f>VLOOKUP($C76,'[1]10. Billing Det. for Def_Var'!$B$26:I129,3,0)</f>
        <v>0</v>
      </c>
      <c r="F76" s="56"/>
      <c r="G76" s="57">
        <f>VLOOKUP($C76,'[1]10. Billing Det. for Def_Var'!$B$26:I129,5,0)</f>
        <v>0</v>
      </c>
      <c r="H76" s="57">
        <f>VLOOKUP($C76,'[1]10. Billing Det. for Def_Var'!$B$26:I129,6,0)</f>
        <v>0</v>
      </c>
      <c r="I76" s="58">
        <f>'[1]11. Cost Allocation Def_Var'!R90+'[1]11. Cost Allocation Def_Var'!G272</f>
        <v>0</v>
      </c>
      <c r="J76" s="59">
        <f t="shared" si="7"/>
        <v>0</v>
      </c>
      <c r="K76" s="60">
        <f t="shared" si="8"/>
      </c>
      <c r="L76" s="61"/>
      <c r="M76" s="58">
        <f>'[1]11. Cost Allocation Def_Var'!H182</f>
        <v>0</v>
      </c>
      <c r="N76" s="57">
        <f>IF(E76="$/kWh",'[1]10. Billing Det. for Def_Var'!H91,'[1]10. Billing Det. for Def_Var'!J91)</f>
        <v>0</v>
      </c>
      <c r="O76" s="59">
        <f t="shared" si="9"/>
        <v>0</v>
      </c>
      <c r="P76" s="62">
        <f t="shared" si="10"/>
      </c>
    </row>
    <row r="77" spans="1:16" ht="15.75" hidden="1" thickBot="1">
      <c r="A77" s="44" t="s">
        <v>89</v>
      </c>
      <c r="C77" s="53" t="str">
        <f t="shared" si="11"/>
        <v>Large Use - Ford Annex</v>
      </c>
      <c r="D77" s="54"/>
      <c r="E77" s="55">
        <f>VLOOKUP($C77,'[1]10. Billing Det. for Def_Var'!$B$26:I129,3,0)</f>
        <v>0</v>
      </c>
      <c r="F77" s="56"/>
      <c r="G77" s="57">
        <f>VLOOKUP($C77,'[1]10. Billing Det. for Def_Var'!$B$26:I129,5,0)</f>
        <v>0</v>
      </c>
      <c r="H77" s="57">
        <f>VLOOKUP($C77,'[1]10. Billing Det. for Def_Var'!$B$26:I129,6,0)</f>
        <v>0</v>
      </c>
      <c r="I77" s="58">
        <f>'[1]11. Cost Allocation Def_Var'!R91+'[1]11. Cost Allocation Def_Var'!G273</f>
        <v>0</v>
      </c>
      <c r="J77" s="59">
        <f t="shared" si="7"/>
        <v>0</v>
      </c>
      <c r="K77" s="60">
        <f t="shared" si="8"/>
      </c>
      <c r="L77" s="61"/>
      <c r="M77" s="58">
        <f>'[1]11. Cost Allocation Def_Var'!H183</f>
        <v>0</v>
      </c>
      <c r="N77" s="57">
        <f>IF(E77="$/kWh",'[1]10. Billing Det. for Def_Var'!H92,'[1]10. Billing Det. for Def_Var'!J92)</f>
        <v>0</v>
      </c>
      <c r="O77" s="59">
        <f t="shared" si="9"/>
        <v>0</v>
      </c>
      <c r="P77" s="62">
        <f t="shared" si="10"/>
      </c>
    </row>
    <row r="78" spans="1:16" ht="15.75" thickBot="1">
      <c r="A78" s="44" t="s">
        <v>5</v>
      </c>
      <c r="C78" s="53" t="str">
        <f t="shared" si="11"/>
        <v>Unmetered Scattered Load</v>
      </c>
      <c r="D78" s="54"/>
      <c r="E78" s="55" t="str">
        <f>VLOOKUP($C78,'[1]10. Billing Det. for Def_Var'!$B$26:I129,3,0)</f>
        <v>$/kWh</v>
      </c>
      <c r="F78" s="56"/>
      <c r="G78" s="57">
        <f>VLOOKUP($C78,'[1]10. Billing Det. for Def_Var'!$B$26:I129,5,0)</f>
        <v>56231584.96968395</v>
      </c>
      <c r="H78" s="57">
        <f>VLOOKUP($C78,'[1]10. Billing Det. for Def_Var'!$B$26:I129,6,0)</f>
        <v>0</v>
      </c>
      <c r="I78" s="58">
        <f>'[1]11. Cost Allocation Def_Var'!R92+'[1]11. Cost Allocation Def_Var'!G274</f>
        <v>-61395.835928768465</v>
      </c>
      <c r="J78" s="59">
        <f t="shared" si="7"/>
        <v>-0.0010918389720273526</v>
      </c>
      <c r="K78" s="60" t="str">
        <f t="shared" si="8"/>
        <v>$/kWh</v>
      </c>
      <c r="L78" s="61"/>
      <c r="M78" s="58">
        <f>'[1]11. Cost Allocation Def_Var'!H184</f>
        <v>0</v>
      </c>
      <c r="N78" s="57">
        <f>IF(E78="$/kWh",'[1]10. Billing Det. for Def_Var'!H93,'[1]10. Billing Det. for Def_Var'!J93)</f>
        <v>0</v>
      </c>
      <c r="O78" s="59">
        <f t="shared" si="9"/>
        <v>0</v>
      </c>
      <c r="P78" s="62">
        <f t="shared" si="10"/>
      </c>
    </row>
    <row r="79" spans="1:16" ht="15.75" thickBot="1">
      <c r="A79" s="44" t="s">
        <v>90</v>
      </c>
      <c r="C79" s="53" t="str">
        <f t="shared" si="11"/>
        <v>Sentinel Lighting</v>
      </c>
      <c r="D79" s="54"/>
      <c r="E79" s="55">
        <f>VLOOKUP($C79,'[1]10. Billing Det. for Def_Var'!$B$26:I129,3,0)</f>
        <v>0</v>
      </c>
      <c r="F79" s="56"/>
      <c r="G79" s="57">
        <f>VLOOKUP($C79,'[1]10. Billing Det. for Def_Var'!$B$26:I129,5,0)</f>
        <v>0</v>
      </c>
      <c r="H79" s="57">
        <f>VLOOKUP($C79,'[1]10. Billing Det. for Def_Var'!$B$26:I129,6,0)</f>
        <v>0</v>
      </c>
      <c r="I79" s="58">
        <f>'[1]11. Cost Allocation Def_Var'!R93+'[1]11. Cost Allocation Def_Var'!G275</f>
        <v>0</v>
      </c>
      <c r="J79" s="59">
        <f t="shared" si="7"/>
        <v>0</v>
      </c>
      <c r="K79" s="60">
        <f t="shared" si="8"/>
      </c>
      <c r="L79" s="61"/>
      <c r="M79" s="58">
        <f>'[1]11. Cost Allocation Def_Var'!H185</f>
        <v>0</v>
      </c>
      <c r="N79" s="57">
        <f>IF(E79="$/kWh",'[1]10. Billing Det. for Def_Var'!H94,'[1]10. Billing Det. for Def_Var'!J94)</f>
        <v>0</v>
      </c>
      <c r="O79" s="59">
        <f t="shared" si="9"/>
        <v>0</v>
      </c>
      <c r="P79" s="62">
        <f t="shared" si="10"/>
      </c>
    </row>
    <row r="80" spans="1:16" ht="15.75" thickBot="1">
      <c r="A80" s="44" t="s">
        <v>4</v>
      </c>
      <c r="C80" s="53" t="str">
        <f t="shared" si="11"/>
        <v>Street Lighting</v>
      </c>
      <c r="D80" s="54"/>
      <c r="E80" s="55" t="str">
        <f>VLOOKUP($C80,'[1]10. Billing Det. for Def_Var'!$B$26:I129,3,0)</f>
        <v>$/kVA</v>
      </c>
      <c r="F80" s="56"/>
      <c r="G80" s="57">
        <f>VLOOKUP($C80,'[1]10. Billing Det. for Def_Var'!$B$26:I129,5,0)</f>
        <v>110165015.81603143</v>
      </c>
      <c r="H80" s="57">
        <f>VLOOKUP($C80,'[1]10. Billing Det. for Def_Var'!$B$26:I129,6,0)</f>
        <v>322022.8596</v>
      </c>
      <c r="I80" s="58">
        <f>'[1]11. Cost Allocation Def_Var'!R94+'[1]11. Cost Allocation Def_Var'!G276</f>
        <v>-155344.6527456679</v>
      </c>
      <c r="J80" s="59">
        <f t="shared" si="7"/>
        <v>-0.4824025627827444</v>
      </c>
      <c r="K80" s="60" t="str">
        <f t="shared" si="8"/>
        <v>$/kVA</v>
      </c>
      <c r="L80" s="61"/>
      <c r="M80" s="58">
        <f>'[1]11. Cost Allocation Def_Var'!H186</f>
        <v>0</v>
      </c>
      <c r="N80" s="57">
        <f>IF(E80="$/kWh",'[1]10. Billing Det. for Def_Var'!H95,'[1]10. Billing Det. for Def_Var'!J95)</f>
        <v>0</v>
      </c>
      <c r="O80" s="59">
        <f t="shared" si="9"/>
        <v>0</v>
      </c>
      <c r="P80" s="62">
        <f t="shared" si="10"/>
      </c>
    </row>
    <row r="81" spans="1:16" ht="15.75" hidden="1" thickBot="1">
      <c r="A81" s="44" t="s">
        <v>91</v>
      </c>
      <c r="C81" s="53" t="str">
        <f t="shared" si="11"/>
        <v>Embedded Distributor</v>
      </c>
      <c r="D81" s="54"/>
      <c r="E81" s="55">
        <f>VLOOKUP($C81,'[1]10. Billing Det. for Def_Var'!$B$26:I129,3,0)</f>
        <v>0</v>
      </c>
      <c r="F81" s="56"/>
      <c r="G81" s="57">
        <f>VLOOKUP($C81,'[1]10. Billing Det. for Def_Var'!$B$26:I129,5,0)</f>
        <v>0</v>
      </c>
      <c r="H81" s="57">
        <f>VLOOKUP($C81,'[1]10. Billing Det. for Def_Var'!$B$26:I129,6,0)</f>
        <v>0</v>
      </c>
      <c r="I81" s="58">
        <f>'[1]11. Cost Allocation Def_Var'!R95+'[1]11. Cost Allocation Def_Var'!G277</f>
        <v>0</v>
      </c>
      <c r="J81" s="59">
        <f t="shared" si="7"/>
        <v>0</v>
      </c>
      <c r="K81" s="60">
        <f t="shared" si="8"/>
      </c>
      <c r="L81" s="61"/>
      <c r="M81" s="58">
        <f>'[1]11. Cost Allocation Def_Var'!H187</f>
        <v>0</v>
      </c>
      <c r="N81" s="57">
        <f>IF(E81="$/kWh",'[1]10. Billing Det. for Def_Var'!H96,'[1]10. Billing Det. for Def_Var'!J96)</f>
        <v>0</v>
      </c>
      <c r="O81" s="59">
        <f t="shared" si="9"/>
        <v>0</v>
      </c>
      <c r="P81" s="62">
        <f t="shared" si="10"/>
      </c>
    </row>
    <row r="82" spans="1:16" ht="26.25" hidden="1" thickBot="1">
      <c r="A82" s="44" t="s">
        <v>92</v>
      </c>
      <c r="C82" s="53" t="str">
        <f t="shared" si="11"/>
        <v>Low Voltage Wheeling Charge Rate</v>
      </c>
      <c r="D82" s="54"/>
      <c r="E82" s="55">
        <f>VLOOKUP($C82,'[1]10. Billing Det. for Def_Var'!$B$26:I129,3,0)</f>
        <v>0</v>
      </c>
      <c r="F82" s="56"/>
      <c r="G82" s="57">
        <f>VLOOKUP($C82,'[1]10. Billing Det. for Def_Var'!$B$26:I129,5,0)</f>
        <v>0</v>
      </c>
      <c r="H82" s="57">
        <f>VLOOKUP($C82,'[1]10. Billing Det. for Def_Var'!$B$26:I129,6,0)</f>
        <v>0</v>
      </c>
      <c r="I82" s="58">
        <f>'[1]11. Cost Allocation Def_Var'!R96+'[1]11. Cost Allocation Def_Var'!G278</f>
        <v>0</v>
      </c>
      <c r="J82" s="59">
        <f t="shared" si="7"/>
        <v>0</v>
      </c>
      <c r="K82" s="60">
        <f t="shared" si="8"/>
      </c>
      <c r="L82" s="61"/>
      <c r="M82" s="58">
        <f>'[1]11. Cost Allocation Def_Var'!H188</f>
        <v>0</v>
      </c>
      <c r="N82" s="57">
        <f>IF(E82="$/kWh",'[1]10. Billing Det. for Def_Var'!H97,'[1]10. Billing Det. for Def_Var'!J97)</f>
        <v>0</v>
      </c>
      <c r="O82" s="59">
        <f t="shared" si="9"/>
        <v>0</v>
      </c>
      <c r="P82" s="62">
        <f t="shared" si="10"/>
      </c>
    </row>
    <row r="83" spans="1:16" ht="15.75" hidden="1" thickBot="1">
      <c r="A83" s="44" t="s">
        <v>93</v>
      </c>
      <c r="C83" s="53" t="str">
        <f t="shared" si="11"/>
        <v>Stand-By</v>
      </c>
      <c r="D83" s="54"/>
      <c r="E83" s="55">
        <f>VLOOKUP($C83,'[1]10. Billing Det. for Def_Var'!$B$26:I129,3,0)</f>
        <v>0</v>
      </c>
      <c r="F83" s="56"/>
      <c r="G83" s="57">
        <f>VLOOKUP($C83,'[1]10. Billing Det. for Def_Var'!$B$26:I129,5,0)</f>
        <v>0</v>
      </c>
      <c r="H83" s="57">
        <f>VLOOKUP($C83,'[1]10. Billing Det. for Def_Var'!$B$26:I129,6,0)</f>
        <v>0</v>
      </c>
      <c r="I83" s="58">
        <f>'[1]11. Cost Allocation Def_Var'!R97+'[1]11. Cost Allocation Def_Var'!G279</f>
        <v>0</v>
      </c>
      <c r="J83" s="59">
        <f t="shared" si="7"/>
        <v>0</v>
      </c>
      <c r="K83" s="60">
        <f t="shared" si="8"/>
      </c>
      <c r="L83" s="61"/>
      <c r="M83" s="58">
        <f>'[1]11. Cost Allocation Def_Var'!H189</f>
        <v>0</v>
      </c>
      <c r="N83" s="57">
        <f>IF(E83="$/kWh",'[1]10. Billing Det. for Def_Var'!H98,'[1]10. Billing Det. for Def_Var'!J98)</f>
        <v>0</v>
      </c>
      <c r="O83" s="59">
        <f t="shared" si="9"/>
        <v>0</v>
      </c>
      <c r="P83" s="62">
        <f t="shared" si="10"/>
      </c>
    </row>
    <row r="84" spans="1:16" ht="15.75" hidden="1" thickBot="1">
      <c r="A84" s="44" t="s">
        <v>94</v>
      </c>
      <c r="C84" s="53" t="str">
        <f t="shared" si="11"/>
        <v>Standby Power</v>
      </c>
      <c r="D84" s="54"/>
      <c r="E84" s="55">
        <f>VLOOKUP($C84,'[1]10. Billing Det. for Def_Var'!$B$26:I129,3,0)</f>
        <v>0</v>
      </c>
      <c r="F84" s="56"/>
      <c r="G84" s="57">
        <f>VLOOKUP($C84,'[1]10. Billing Det. for Def_Var'!$B$26:I129,5,0)</f>
        <v>0</v>
      </c>
      <c r="H84" s="57">
        <f>VLOOKUP($C84,'[1]10. Billing Det. for Def_Var'!$B$26:I129,6,0)</f>
        <v>0</v>
      </c>
      <c r="I84" s="58">
        <f>'[1]11. Cost Allocation Def_Var'!R98+'[1]11. Cost Allocation Def_Var'!G280</f>
        <v>0</v>
      </c>
      <c r="J84" s="59">
        <f t="shared" si="7"/>
        <v>0</v>
      </c>
      <c r="K84" s="60">
        <f t="shared" si="8"/>
      </c>
      <c r="L84" s="61"/>
      <c r="M84" s="58">
        <f>'[1]11. Cost Allocation Def_Var'!H190</f>
        <v>0</v>
      </c>
      <c r="N84" s="57">
        <f>IF(E84="$/kWh",'[1]10. Billing Det. for Def_Var'!H99,'[1]10. Billing Det. for Def_Var'!J99)</f>
        <v>0</v>
      </c>
      <c r="O84" s="59">
        <f t="shared" si="9"/>
        <v>0</v>
      </c>
      <c r="P84" s="62">
        <f t="shared" si="10"/>
      </c>
    </row>
    <row r="85" spans="1:16" ht="26.25" hidden="1" thickBot="1">
      <c r="A85" s="44" t="s">
        <v>95</v>
      </c>
      <c r="C85" s="53" t="str">
        <f t="shared" si="11"/>
        <v>Standby Power – INTERIM APPROVAL</v>
      </c>
      <c r="D85" s="54"/>
      <c r="E85" s="55">
        <f>VLOOKUP($C85,'[1]10. Billing Det. for Def_Var'!$B$26:I129,3,0)</f>
        <v>0</v>
      </c>
      <c r="F85" s="56"/>
      <c r="G85" s="57">
        <f>VLOOKUP($C85,'[1]10. Billing Det. for Def_Var'!$B$26:I129,5,0)</f>
        <v>0</v>
      </c>
      <c r="H85" s="57">
        <f>VLOOKUP($C85,'[1]10. Billing Det. for Def_Var'!$B$26:I129,6,0)</f>
        <v>0</v>
      </c>
      <c r="I85" s="58">
        <f>'[1]11. Cost Allocation Def_Var'!R99+'[1]11. Cost Allocation Def_Var'!G281</f>
        <v>0</v>
      </c>
      <c r="J85" s="59">
        <f t="shared" si="7"/>
        <v>0</v>
      </c>
      <c r="K85" s="60">
        <f t="shared" si="8"/>
      </c>
      <c r="L85" s="61"/>
      <c r="M85" s="58">
        <f>'[1]11. Cost Allocation Def_Var'!H191</f>
        <v>0</v>
      </c>
      <c r="N85" s="57">
        <f>IF(E85="$/kWh",'[1]10. Billing Det. for Def_Var'!H100,'[1]10. Billing Det. for Def_Var'!J100)</f>
        <v>0</v>
      </c>
      <c r="O85" s="59">
        <f t="shared" si="9"/>
        <v>0</v>
      </c>
      <c r="P85" s="62">
        <f t="shared" si="10"/>
      </c>
    </row>
    <row r="86" spans="1:16" ht="26.25" hidden="1" thickBot="1">
      <c r="A86" s="44" t="s">
        <v>96</v>
      </c>
      <c r="C86" s="53" t="str">
        <f t="shared" si="11"/>
        <v>Standby Power - APPROVED ON AN INTERIM BASIS</v>
      </c>
      <c r="D86" s="54"/>
      <c r="E86" s="55">
        <f>VLOOKUP($C86,'[1]10. Billing Det. for Def_Var'!$B$26:I129,3,0)</f>
        <v>0</v>
      </c>
      <c r="F86" s="56"/>
      <c r="G86" s="57">
        <f>VLOOKUP($C86,'[1]10. Billing Det. for Def_Var'!$B$26:I129,5,0)</f>
        <v>0</v>
      </c>
      <c r="H86" s="57">
        <f>VLOOKUP($C86,'[1]10. Billing Det. for Def_Var'!$B$26:I129,6,0)</f>
        <v>0</v>
      </c>
      <c r="I86" s="58">
        <f>'[1]11. Cost Allocation Def_Var'!R100+'[1]11. Cost Allocation Def_Var'!G282</f>
        <v>0</v>
      </c>
      <c r="J86" s="59">
        <f t="shared" si="7"/>
        <v>0</v>
      </c>
      <c r="K86" s="60">
        <f t="shared" si="8"/>
      </c>
      <c r="L86" s="61"/>
      <c r="M86" s="58">
        <f>'[1]11. Cost Allocation Def_Var'!H192</f>
        <v>0</v>
      </c>
      <c r="N86" s="57">
        <f>IF(E86="$/kWh",'[1]10. Billing Det. for Def_Var'!H101,'[1]10. Billing Det. for Def_Var'!J101)</f>
        <v>0</v>
      </c>
      <c r="O86" s="59">
        <f t="shared" si="9"/>
        <v>0</v>
      </c>
      <c r="P86" s="62">
        <f t="shared" si="10"/>
      </c>
    </row>
    <row r="87" spans="1:16" ht="26.25" thickBot="1">
      <c r="A87" s="44" t="s">
        <v>97</v>
      </c>
      <c r="C87" s="53" t="str">
        <f t="shared" si="11"/>
        <v>Standby - General Service 50 - 1,000 kW</v>
      </c>
      <c r="D87" s="54"/>
      <c r="E87" s="55">
        <f>VLOOKUP($C87,'[1]10. Billing Det. for Def_Var'!$B$26:I129,3,0)</f>
        <v>0</v>
      </c>
      <c r="F87" s="56"/>
      <c r="G87" s="57">
        <f>VLOOKUP($C87,'[1]10. Billing Det. for Def_Var'!$B$26:I129,5,0)</f>
        <v>0</v>
      </c>
      <c r="H87" s="57">
        <f>VLOOKUP($C87,'[1]10. Billing Det. for Def_Var'!$B$26:I129,6,0)</f>
        <v>0</v>
      </c>
      <c r="I87" s="58">
        <f>'[1]11. Cost Allocation Def_Var'!R101+'[1]11. Cost Allocation Def_Var'!G283</f>
        <v>0</v>
      </c>
      <c r="J87" s="59">
        <f t="shared" si="7"/>
        <v>0</v>
      </c>
      <c r="K87" s="60">
        <f t="shared" si="8"/>
      </c>
      <c r="L87" s="61"/>
      <c r="M87" s="58">
        <f>'[1]11. Cost Allocation Def_Var'!H193</f>
        <v>0</v>
      </c>
      <c r="N87" s="57">
        <f>IF(E87="$/kWh",'[1]10. Billing Det. for Def_Var'!H102,'[1]10. Billing Det. for Def_Var'!J102)</f>
        <v>0</v>
      </c>
      <c r="O87" s="59">
        <f t="shared" si="9"/>
        <v>0</v>
      </c>
      <c r="P87" s="62">
        <f t="shared" si="10"/>
      </c>
    </row>
    <row r="88" spans="1:16" ht="26.25" hidden="1" thickBot="1">
      <c r="A88" s="44" t="s">
        <v>98</v>
      </c>
      <c r="C88" s="53" t="str">
        <f t="shared" si="11"/>
        <v>Standby Power General Service 50 to 1,499 kW</v>
      </c>
      <c r="D88" s="54"/>
      <c r="E88" s="55">
        <f>VLOOKUP($C88,'[1]10. Billing Det. for Def_Var'!$B$26:I129,3,0)</f>
        <v>0</v>
      </c>
      <c r="F88" s="56"/>
      <c r="G88" s="57">
        <f>VLOOKUP($C88,'[1]10. Billing Det. for Def_Var'!$B$26:I129,5,0)</f>
        <v>0</v>
      </c>
      <c r="H88" s="57">
        <f>VLOOKUP($C88,'[1]10. Billing Det. for Def_Var'!$B$26:I129,6,0)</f>
        <v>0</v>
      </c>
      <c r="I88" s="58">
        <f>'[1]11. Cost Allocation Def_Var'!R102+'[1]11. Cost Allocation Def_Var'!G284</f>
        <v>0</v>
      </c>
      <c r="J88" s="59">
        <f t="shared" si="7"/>
        <v>0</v>
      </c>
      <c r="K88" s="60">
        <f t="shared" si="8"/>
      </c>
      <c r="L88" s="61"/>
      <c r="M88" s="58">
        <f>'[1]11. Cost Allocation Def_Var'!H194</f>
        <v>0</v>
      </c>
      <c r="N88" s="57">
        <f>IF(E88="$/kWh",'[1]10. Billing Det. for Def_Var'!H103,'[1]10. Billing Det. for Def_Var'!J103)</f>
        <v>0</v>
      </c>
      <c r="O88" s="59">
        <f t="shared" si="9"/>
        <v>0</v>
      </c>
      <c r="P88" s="62">
        <f t="shared" si="10"/>
      </c>
    </row>
    <row r="89" spans="1:16" ht="26.25" thickBot="1">
      <c r="A89" s="44" t="s">
        <v>99</v>
      </c>
      <c r="C89" s="53" t="str">
        <f t="shared" si="11"/>
        <v>Standby - General Service 1,000 - 5,000 kW</v>
      </c>
      <c r="D89" s="54"/>
      <c r="E89" s="55">
        <f>VLOOKUP($C89,'[1]10. Billing Det. for Def_Var'!$B$26:I129,3,0)</f>
        <v>0</v>
      </c>
      <c r="F89" s="56"/>
      <c r="G89" s="57">
        <f>VLOOKUP($C89,'[1]10. Billing Det. for Def_Var'!$B$26:I129,5,0)</f>
        <v>0</v>
      </c>
      <c r="H89" s="57">
        <f>VLOOKUP($C89,'[1]10. Billing Det. for Def_Var'!$B$26:I129,6,0)</f>
        <v>0</v>
      </c>
      <c r="I89" s="58">
        <f>'[1]11. Cost Allocation Def_Var'!R103+'[1]11. Cost Allocation Def_Var'!G285</f>
        <v>0</v>
      </c>
      <c r="J89" s="59">
        <f t="shared" si="7"/>
        <v>0</v>
      </c>
      <c r="K89" s="60">
        <f t="shared" si="8"/>
      </c>
      <c r="L89" s="61"/>
      <c r="M89" s="58">
        <f>'[1]11. Cost Allocation Def_Var'!H195</f>
        <v>0</v>
      </c>
      <c r="N89" s="57">
        <f>IF(E89="$/kWh",'[1]10. Billing Det. for Def_Var'!H104,'[1]10. Billing Det. for Def_Var'!J104)</f>
        <v>0</v>
      </c>
      <c r="O89" s="59">
        <f t="shared" si="9"/>
        <v>0</v>
      </c>
      <c r="P89" s="62">
        <f t="shared" si="10"/>
      </c>
    </row>
    <row r="90" spans="1:16" ht="26.25" hidden="1" thickBot="1">
      <c r="A90" s="44" t="s">
        <v>100</v>
      </c>
      <c r="C90" s="53" t="str">
        <f t="shared" si="11"/>
        <v>Standby Power General Service 1,500 to 4,999 kW</v>
      </c>
      <c r="D90" s="54"/>
      <c r="E90" s="55">
        <f>VLOOKUP($C90,'[1]10. Billing Det. for Def_Var'!$B$26:I129,3,0)</f>
        <v>0</v>
      </c>
      <c r="F90" s="56"/>
      <c r="G90" s="57">
        <f>VLOOKUP($C90,'[1]10. Billing Det. for Def_Var'!$B$26:I129,5,0)</f>
        <v>0</v>
      </c>
      <c r="H90" s="57">
        <f>VLOOKUP($C90,'[1]10. Billing Det. for Def_Var'!$B$26:I129,6,0)</f>
        <v>0</v>
      </c>
      <c r="I90" s="58">
        <f>'[1]11. Cost Allocation Def_Var'!R104+'[1]11. Cost Allocation Def_Var'!G286</f>
        <v>0</v>
      </c>
      <c r="J90" s="59">
        <f t="shared" si="7"/>
        <v>0</v>
      </c>
      <c r="K90" s="60">
        <f t="shared" si="8"/>
      </c>
      <c r="L90" s="61"/>
      <c r="M90" s="58">
        <f>'[1]11. Cost Allocation Def_Var'!H196</f>
        <v>0</v>
      </c>
      <c r="N90" s="57">
        <f>IF(E90="$/kWh",'[1]10. Billing Det. for Def_Var'!H105,'[1]10. Billing Det. for Def_Var'!J105)</f>
        <v>0</v>
      </c>
      <c r="O90" s="59">
        <f t="shared" si="9"/>
        <v>0</v>
      </c>
      <c r="P90" s="62">
        <f t="shared" si="10"/>
      </c>
    </row>
    <row r="91" spans="1:16" ht="15.75" thickBot="1">
      <c r="A91" s="44" t="s">
        <v>101</v>
      </c>
      <c r="C91" s="53" t="str">
        <f t="shared" si="11"/>
        <v>Standby - Large Use</v>
      </c>
      <c r="D91" s="54"/>
      <c r="E91" s="55">
        <f>VLOOKUP($C91,'[1]10. Billing Det. for Def_Var'!$B$26:I129,3,0)</f>
        <v>0</v>
      </c>
      <c r="F91" s="56"/>
      <c r="G91" s="57">
        <f>VLOOKUP($C91,'[1]10. Billing Det. for Def_Var'!$B$26:I129,5,0)</f>
        <v>0</v>
      </c>
      <c r="H91" s="57">
        <f>VLOOKUP($C91,'[1]10. Billing Det. for Def_Var'!$B$26:I129,6,0)</f>
        <v>0</v>
      </c>
      <c r="I91" s="58">
        <f>'[1]11. Cost Allocation Def_Var'!R105+'[1]11. Cost Allocation Def_Var'!G287</f>
        <v>0</v>
      </c>
      <c r="J91" s="59">
        <f t="shared" si="7"/>
        <v>0</v>
      </c>
      <c r="K91" s="60">
        <f t="shared" si="8"/>
      </c>
      <c r="L91" s="61"/>
      <c r="M91" s="58">
        <f>'[1]11. Cost Allocation Def_Var'!H197</f>
        <v>0</v>
      </c>
      <c r="N91" s="57">
        <f>IF(E91="$/kWh",'[1]10. Billing Det. for Def_Var'!H106,'[1]10. Billing Det. for Def_Var'!J106)</f>
        <v>0</v>
      </c>
      <c r="O91" s="59">
        <f t="shared" si="9"/>
        <v>0</v>
      </c>
      <c r="P91" s="62">
        <f t="shared" si="10"/>
      </c>
    </row>
    <row r="92" spans="1:16" ht="26.25" hidden="1" thickBot="1">
      <c r="A92" s="44" t="s">
        <v>102</v>
      </c>
      <c r="C92" s="53" t="str">
        <f t="shared" si="11"/>
        <v>Standby Power General Service Large Use</v>
      </c>
      <c r="D92" s="54"/>
      <c r="E92" s="55">
        <f>VLOOKUP($C92,'[1]10. Billing Det. for Def_Var'!$B$26:I129,3,0)</f>
        <v>0</v>
      </c>
      <c r="F92" s="56"/>
      <c r="G92" s="57">
        <f>VLOOKUP($C92,'[1]10. Billing Det. for Def_Var'!$B$26:I129,5,0)</f>
        <v>0</v>
      </c>
      <c r="H92" s="57">
        <f>VLOOKUP($C92,'[1]10. Billing Det. for Def_Var'!$B$26:I129,6,0)</f>
        <v>0</v>
      </c>
      <c r="I92" s="58">
        <f>'[1]11. Cost Allocation Def_Var'!R106+'[1]11. Cost Allocation Def_Var'!G288</f>
        <v>0</v>
      </c>
      <c r="J92" s="59">
        <f t="shared" si="7"/>
        <v>0</v>
      </c>
      <c r="K92" s="60">
        <f t="shared" si="8"/>
      </c>
      <c r="L92" s="61"/>
      <c r="M92" s="58">
        <f>'[1]11. Cost Allocation Def_Var'!H198</f>
        <v>0</v>
      </c>
      <c r="N92" s="57">
        <f>IF(E92="$/kWh",'[1]10. Billing Det. for Def_Var'!H107,'[1]10. Billing Det. for Def_Var'!J107)</f>
        <v>0</v>
      </c>
      <c r="O92" s="59">
        <f t="shared" si="9"/>
        <v>0</v>
      </c>
      <c r="P92" s="62">
        <f t="shared" si="10"/>
      </c>
    </row>
    <row r="93" spans="1:16" ht="15.75" hidden="1" thickBot="1">
      <c r="A93" s="44" t="s">
        <v>103</v>
      </c>
      <c r="C93" s="53" t="str">
        <f t="shared" si="11"/>
        <v>Standby Distribution Service</v>
      </c>
      <c r="E93" s="55">
        <f>VLOOKUP($C93,'[1]10. Billing Det. for Def_Var'!$B$26:I129,3,0)</f>
        <v>0</v>
      </c>
      <c r="F93" s="56"/>
      <c r="G93" s="57">
        <f>VLOOKUP($C93,'[1]10. Billing Det. for Def_Var'!$B$26:I129,5,0)</f>
        <v>0</v>
      </c>
      <c r="H93" s="57">
        <f>VLOOKUP($C93,'[1]10. Billing Det. for Def_Var'!$B$26:I129,6,0)</f>
        <v>0</v>
      </c>
      <c r="I93" s="58">
        <f>'[1]11. Cost Allocation Def_Var'!R107+'[1]11. Cost Allocation Def_Var'!G289</f>
        <v>0</v>
      </c>
      <c r="J93" s="59">
        <f t="shared" si="7"/>
        <v>0</v>
      </c>
      <c r="K93" s="60">
        <f>IF(OR(J93&gt;0,J93&lt;0),E93,"")</f>
      </c>
      <c r="L93" s="61"/>
      <c r="M93" s="58">
        <f>'[1]11. Cost Allocation Def_Var'!H199</f>
        <v>0</v>
      </c>
      <c r="N93" s="57">
        <f>IF(E93="$/kWh",'[1]10. Billing Det. for Def_Var'!H108,'[1]10. Billing Det. for Def_Var'!J108)</f>
        <v>0</v>
      </c>
      <c r="O93" s="59">
        <f t="shared" si="9"/>
        <v>0</v>
      </c>
      <c r="P93" s="62">
        <f t="shared" si="10"/>
      </c>
    </row>
    <row r="95" spans="3:16" ht="15.75" thickBot="1">
      <c r="C95" s="53" t="s">
        <v>104</v>
      </c>
      <c r="G95" s="63">
        <f>SUM(G11:G93)</f>
        <v>24412564087.717564</v>
      </c>
      <c r="H95" s="63">
        <f>SUM(H11:H93)</f>
        <v>42838066.71619871</v>
      </c>
      <c r="I95" s="64">
        <f>SUM(I11:I93)</f>
        <v>-6468699.221104493</v>
      </c>
      <c r="J95" s="65"/>
      <c r="K95" s="66"/>
      <c r="L95" s="67"/>
      <c r="M95" s="64">
        <f>SUM(M11:M93)</f>
        <v>0</v>
      </c>
      <c r="N95" s="63"/>
      <c r="O95" s="65"/>
      <c r="P95" s="66"/>
    </row>
    <row r="96" ht="15.75" thickTop="1"/>
    <row r="98" spans="2:16" ht="409.5">
      <c r="B98" s="1"/>
      <c r="C98" s="1"/>
      <c r="D98" s="68" t="s">
        <v>105</v>
      </c>
      <c r="E98" s="68" t="s">
        <v>107</v>
      </c>
      <c r="F98" s="68" t="s">
        <v>108</v>
      </c>
      <c r="G98" s="68"/>
      <c r="H98" s="68"/>
      <c r="I98" s="68" t="s">
        <v>109</v>
      </c>
      <c r="J98" s="68" t="s">
        <v>110</v>
      </c>
      <c r="K98" s="68" t="s">
        <v>111</v>
      </c>
      <c r="L98" s="68" t="s">
        <v>112</v>
      </c>
      <c r="M98" s="68"/>
      <c r="N98" s="68" t="s">
        <v>113</v>
      </c>
      <c r="O98" s="68" t="s">
        <v>114</v>
      </c>
      <c r="P98" s="68" t="s">
        <v>115</v>
      </c>
    </row>
    <row r="99" spans="2:16" ht="15.75" thickBot="1">
      <c r="B99" s="1"/>
      <c r="C99" s="1"/>
      <c r="D99" s="1"/>
      <c r="E99" s="1"/>
      <c r="F99" s="1"/>
      <c r="G99" s="1"/>
      <c r="H99" s="1"/>
      <c r="I99" s="1"/>
      <c r="J99" s="1"/>
      <c r="K99" s="1"/>
      <c r="L99" s="1"/>
      <c r="M99" s="1"/>
      <c r="N99" s="1"/>
      <c r="O99" s="1"/>
      <c r="P99" s="1"/>
    </row>
    <row r="100" spans="2:16" ht="19.5" thickBot="1">
      <c r="B100" s="69" t="s">
        <v>116</v>
      </c>
      <c r="C100" s="70"/>
      <c r="D100" s="71"/>
      <c r="E100" s="71"/>
      <c r="F100" s="71"/>
      <c r="G100" s="70"/>
      <c r="H100" s="70"/>
      <c r="I100" s="70"/>
      <c r="J100" s="70"/>
      <c r="K100" s="70"/>
      <c r="L100" s="70"/>
      <c r="M100" s="70"/>
      <c r="N100" s="69" t="s">
        <v>117</v>
      </c>
      <c r="O100" s="70"/>
      <c r="P100" s="72"/>
    </row>
    <row r="101" spans="2:16" ht="15">
      <c r="B101" s="2" t="s">
        <v>0</v>
      </c>
      <c r="C101" s="3"/>
      <c r="D101" s="4">
        <v>598508</v>
      </c>
      <c r="E101" s="4">
        <v>4525698913.42498</v>
      </c>
      <c r="F101" s="4"/>
      <c r="G101" s="3"/>
      <c r="H101" s="3"/>
      <c r="I101" s="73">
        <f>+I75+I87</f>
        <v>-283489.583332655</v>
      </c>
      <c r="J101" s="73">
        <f>+J75+J87</f>
        <v>-0.056769067530530765</v>
      </c>
      <c r="K101" s="73" t="e">
        <f>+K75+K87</f>
        <v>#VALUE!</v>
      </c>
      <c r="L101" s="73">
        <f>+L75+L87</f>
        <v>0</v>
      </c>
      <c r="M101" s="3"/>
      <c r="N101" s="74">
        <f aca="true" t="shared" si="12" ref="N101:N109">ROUND(((((+I101/(+D101*23))*23)/(334+365))*30),2)</f>
        <v>-0.02</v>
      </c>
      <c r="O101" s="75">
        <f>ROUND((+J101)/E101,5)</f>
        <v>0</v>
      </c>
      <c r="P101" s="76"/>
    </row>
    <row r="102" spans="2:16" ht="15">
      <c r="B102" s="2" t="s">
        <v>1</v>
      </c>
      <c r="C102" s="3"/>
      <c r="D102" s="4">
        <v>24898</v>
      </c>
      <c r="E102" s="4">
        <v>91475252</v>
      </c>
      <c r="F102" s="4" t="s">
        <v>7</v>
      </c>
      <c r="G102" s="3"/>
      <c r="H102" s="3"/>
      <c r="I102" s="73">
        <f aca="true" t="shared" si="13" ref="I102:L109">+I76+I88</f>
        <v>0</v>
      </c>
      <c r="J102" s="73">
        <f t="shared" si="13"/>
        <v>0</v>
      </c>
      <c r="K102" s="73" t="e">
        <f t="shared" si="13"/>
        <v>#VALUE!</v>
      </c>
      <c r="L102" s="73">
        <f t="shared" si="13"/>
        <v>0</v>
      </c>
      <c r="M102" s="3"/>
      <c r="N102" s="74">
        <f t="shared" si="12"/>
        <v>0</v>
      </c>
      <c r="O102" s="75">
        <f>ROUND((+J102)/E102,5)</f>
        <v>0</v>
      </c>
      <c r="P102" s="76"/>
    </row>
    <row r="103" spans="2:16" ht="15">
      <c r="B103" s="2" t="s">
        <v>2</v>
      </c>
      <c r="C103" s="3"/>
      <c r="D103" s="4">
        <v>65792.15586864308</v>
      </c>
      <c r="E103" s="4">
        <v>1973588443.9754324</v>
      </c>
      <c r="F103" s="4"/>
      <c r="G103" s="3"/>
      <c r="H103" s="3"/>
      <c r="I103" s="73">
        <f t="shared" si="13"/>
        <v>0</v>
      </c>
      <c r="J103" s="73">
        <f t="shared" si="13"/>
        <v>0</v>
      </c>
      <c r="K103" s="73" t="e">
        <f t="shared" si="13"/>
        <v>#VALUE!</v>
      </c>
      <c r="L103" s="73">
        <f t="shared" si="13"/>
        <v>0</v>
      </c>
      <c r="M103" s="3"/>
      <c r="N103" s="74">
        <f t="shared" si="12"/>
        <v>0</v>
      </c>
      <c r="O103" s="75">
        <f>ROUND((+J103)/E103,5)</f>
        <v>0</v>
      </c>
      <c r="P103" s="76"/>
    </row>
    <row r="104" spans="2:16" ht="15">
      <c r="B104" s="2" t="s">
        <v>3</v>
      </c>
      <c r="C104" s="3"/>
      <c r="D104" s="4">
        <v>13066.548999999999</v>
      </c>
      <c r="E104" s="4"/>
      <c r="F104" s="4">
        <v>24760209.860052735</v>
      </c>
      <c r="G104" s="3"/>
      <c r="H104" s="3"/>
      <c r="I104" s="73">
        <f t="shared" si="13"/>
        <v>-61395.835928768465</v>
      </c>
      <c r="J104" s="73">
        <f t="shared" si="13"/>
        <v>-0.0010918389720273526</v>
      </c>
      <c r="K104" s="73" t="e">
        <f t="shared" si="13"/>
        <v>#VALUE!</v>
      </c>
      <c r="L104" s="73">
        <f t="shared" si="13"/>
        <v>0</v>
      </c>
      <c r="M104" s="3"/>
      <c r="N104" s="74">
        <f t="shared" si="12"/>
        <v>-0.2</v>
      </c>
      <c r="O104" s="75">
        <v>0</v>
      </c>
      <c r="P104" s="77" t="e">
        <f>ROUND((((+K104/(F104*23)*23)/(334+365))*30),4)</f>
        <v>#VALUE!</v>
      </c>
    </row>
    <row r="105" spans="2:16" ht="15">
      <c r="B105" s="2" t="s">
        <v>67</v>
      </c>
      <c r="C105" s="3"/>
      <c r="D105" s="4">
        <v>514</v>
      </c>
      <c r="E105" s="4"/>
      <c r="F105" s="4">
        <v>9712360.014664905</v>
      </c>
      <c r="G105" s="3"/>
      <c r="H105" s="3"/>
      <c r="I105" s="73">
        <f t="shared" si="13"/>
        <v>0</v>
      </c>
      <c r="J105" s="73">
        <f t="shared" si="13"/>
        <v>0</v>
      </c>
      <c r="K105" s="73" t="e">
        <f t="shared" si="13"/>
        <v>#VALUE!</v>
      </c>
      <c r="L105" s="73">
        <f t="shared" si="13"/>
        <v>0</v>
      </c>
      <c r="M105" s="3"/>
      <c r="N105" s="74">
        <f t="shared" si="12"/>
        <v>0</v>
      </c>
      <c r="O105" s="75">
        <v>0</v>
      </c>
      <c r="P105" s="77" t="e">
        <f>ROUND((((+K105/(F105*23)*23)/(334+365))*30),4)</f>
        <v>#VALUE!</v>
      </c>
    </row>
    <row r="106" spans="2:16" ht="15">
      <c r="B106" s="2" t="s">
        <v>86</v>
      </c>
      <c r="C106" s="3"/>
      <c r="D106" s="4">
        <v>47</v>
      </c>
      <c r="E106" s="4"/>
      <c r="F106" s="4">
        <v>4583463.932266163</v>
      </c>
      <c r="G106" s="3"/>
      <c r="H106" s="3"/>
      <c r="I106" s="73">
        <f t="shared" si="13"/>
        <v>-155344.6527456679</v>
      </c>
      <c r="J106" s="73">
        <f t="shared" si="13"/>
        <v>-0.4824025627827444</v>
      </c>
      <c r="K106" s="73" t="e">
        <f t="shared" si="13"/>
        <v>#VALUE!</v>
      </c>
      <c r="L106" s="73">
        <f t="shared" si="13"/>
        <v>0</v>
      </c>
      <c r="M106" s="3"/>
      <c r="N106" s="74">
        <f t="shared" si="12"/>
        <v>-141.85</v>
      </c>
      <c r="O106" s="75">
        <v>0</v>
      </c>
      <c r="P106" s="77" t="e">
        <f>ROUND((((+K106/(F106*23)*23)/(334+365))*30),4)</f>
        <v>#VALUE!</v>
      </c>
    </row>
    <row r="107" spans="2:16" ht="15">
      <c r="B107" s="2" t="s">
        <v>4</v>
      </c>
      <c r="C107" s="3"/>
      <c r="D107" s="4">
        <v>162777.033</v>
      </c>
      <c r="E107" s="4"/>
      <c r="F107" s="4">
        <v>295192.142</v>
      </c>
      <c r="G107" s="3"/>
      <c r="H107" s="3"/>
      <c r="I107" s="73">
        <f t="shared" si="13"/>
        <v>0</v>
      </c>
      <c r="J107" s="73">
        <f t="shared" si="13"/>
        <v>0</v>
      </c>
      <c r="K107" s="73" t="e">
        <f t="shared" si="13"/>
        <v>#VALUE!</v>
      </c>
      <c r="L107" s="73">
        <f t="shared" si="13"/>
        <v>0</v>
      </c>
      <c r="M107" s="3"/>
      <c r="N107" s="74">
        <f t="shared" si="12"/>
        <v>0</v>
      </c>
      <c r="O107" s="75">
        <v>0</v>
      </c>
      <c r="P107" s="77" t="e">
        <f>ROUND((((+K107/(F107*23)*23)/(334+365))*30),4)</f>
        <v>#VALUE!</v>
      </c>
    </row>
    <row r="108" spans="2:16" ht="15">
      <c r="B108" s="2" t="s">
        <v>5</v>
      </c>
      <c r="C108" s="3"/>
      <c r="D108" s="4">
        <v>1129.6651261047787</v>
      </c>
      <c r="E108" s="4">
        <v>51545619.555543624</v>
      </c>
      <c r="F108" s="4"/>
      <c r="G108" s="3"/>
      <c r="H108" s="3"/>
      <c r="I108" s="73">
        <f t="shared" si="13"/>
        <v>0</v>
      </c>
      <c r="J108" s="73">
        <f t="shared" si="13"/>
        <v>0</v>
      </c>
      <c r="K108" s="73" t="e">
        <f t="shared" si="13"/>
        <v>#VALUE!</v>
      </c>
      <c r="L108" s="73">
        <f t="shared" si="13"/>
        <v>0</v>
      </c>
      <c r="M108" s="3"/>
      <c r="N108" s="74">
        <f t="shared" si="12"/>
        <v>0</v>
      </c>
      <c r="O108" s="75">
        <f>ROUND((+J108)/E108,5)</f>
        <v>0</v>
      </c>
      <c r="P108" s="76"/>
    </row>
    <row r="109" spans="2:16" ht="15">
      <c r="B109" s="2" t="s">
        <v>5</v>
      </c>
      <c r="C109" s="3"/>
      <c r="D109" s="4">
        <v>21729.08603786342</v>
      </c>
      <c r="E109" s="4"/>
      <c r="F109" s="4"/>
      <c r="G109" s="3"/>
      <c r="H109" s="3"/>
      <c r="I109" s="73">
        <f t="shared" si="13"/>
        <v>-6468699.221104493</v>
      </c>
      <c r="J109" s="73">
        <f t="shared" si="13"/>
        <v>0</v>
      </c>
      <c r="K109" s="73" t="e">
        <f t="shared" si="13"/>
        <v>#VALUE!</v>
      </c>
      <c r="L109" s="73">
        <f t="shared" si="13"/>
        <v>0</v>
      </c>
      <c r="M109" s="3"/>
      <c r="N109" s="74">
        <f t="shared" si="12"/>
        <v>-12.78</v>
      </c>
      <c r="O109" s="78">
        <v>0</v>
      </c>
      <c r="P109" s="76"/>
    </row>
    <row r="110" spans="2:16" ht="15.75" thickBot="1">
      <c r="B110" s="5"/>
      <c r="C110" s="6"/>
      <c r="D110" s="6"/>
      <c r="E110" s="6"/>
      <c r="F110" s="6"/>
      <c r="G110" s="6"/>
      <c r="H110" s="6"/>
      <c r="I110" s="79">
        <f>SUM(I101:I109)</f>
        <v>-6968929.293111585</v>
      </c>
      <c r="J110" s="79">
        <f>SUM(J101:J109)</f>
        <v>-0.5402634692853026</v>
      </c>
      <c r="K110" s="79" t="e">
        <f>SUM(K101:K109)</f>
        <v>#VALUE!</v>
      </c>
      <c r="L110" s="80">
        <f>SUM(L101:L109)</f>
        <v>0</v>
      </c>
      <c r="M110" s="6"/>
      <c r="N110" s="81"/>
      <c r="O110" s="79"/>
      <c r="P110" s="82"/>
    </row>
    <row r="111" spans="2:16" ht="15">
      <c r="B111" s="1"/>
      <c r="C111" s="1"/>
      <c r="D111" s="1"/>
      <c r="E111" s="1"/>
      <c r="F111" s="1"/>
      <c r="G111" s="1"/>
      <c r="H111" s="1"/>
      <c r="I111" s="1"/>
      <c r="J111" s="1"/>
      <c r="K111" s="1"/>
      <c r="L111" s="1"/>
      <c r="M111" s="1"/>
      <c r="N111" s="1"/>
      <c r="O111" s="1"/>
      <c r="P111" s="1"/>
    </row>
    <row r="112" spans="2:16" ht="15">
      <c r="B112" s="1"/>
      <c r="C112" s="1"/>
      <c r="D112" s="1"/>
      <c r="E112" s="1"/>
      <c r="F112" s="1"/>
      <c r="G112" s="1"/>
      <c r="H112" s="1"/>
      <c r="I112" s="83" t="s">
        <v>7</v>
      </c>
      <c r="J112" s="1"/>
      <c r="K112" s="1"/>
      <c r="L112" s="1" t="s">
        <v>7</v>
      </c>
      <c r="M112" s="1"/>
      <c r="N112" s="1"/>
      <c r="O112" s="1"/>
      <c r="P112" s="1"/>
    </row>
  </sheetData>
  <sheetProtection/>
  <mergeCells count="11">
    <mergeCell ref="K6:K8"/>
    <mergeCell ref="L6:L8"/>
    <mergeCell ref="M6:M8"/>
    <mergeCell ref="N6:N8"/>
    <mergeCell ref="O6:O8"/>
    <mergeCell ref="J6:J8"/>
    <mergeCell ref="C2:D3"/>
    <mergeCell ref="I3:I8"/>
    <mergeCell ref="E6:E8"/>
    <mergeCell ref="G6:G8"/>
    <mergeCell ref="H6:H8"/>
  </mergeCells>
  <conditionalFormatting sqref="P11:P93">
    <cfRule type="cellIs" priority="1" dxfId="2" operator="equal" stopIfTrue="1">
      <formula>"kWh"</formula>
    </cfRule>
    <cfRule type="cellIs" priority="2" dxfId="2" operator="equal" stopIfTrue="1">
      <formula>"kW"</formula>
    </cfRule>
  </conditionalFormatting>
  <dataValidations count="1">
    <dataValidation type="list" allowBlank="1" showInputMessage="1" showErrorMessage="1" sqref="E2">
      <formula1>"1,2,3,4"</formula1>
    </dataValidation>
  </dataValidations>
  <hyperlinks>
    <hyperlink ref="A1" r:id="rId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Toronto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alam</dc:creator>
  <cp:keywords/>
  <dc:description/>
  <cp:lastModifiedBy>acrespo</cp:lastModifiedBy>
  <cp:lastPrinted>2013-04-11T22:44:19Z</cp:lastPrinted>
  <dcterms:created xsi:type="dcterms:W3CDTF">2012-10-22T14:54:32Z</dcterms:created>
  <dcterms:modified xsi:type="dcterms:W3CDTF">2013-04-12T16:53:28Z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