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765" windowWidth="13440" windowHeight="6540" tabRatio="849" firstSheet="2" activeTab="2"/>
  </bookViews>
  <sheets>
    <sheet name="Raw Data" sheetId="1" state="hidden" r:id="rId1"/>
    <sheet name="2012 " sheetId="2" state="hidden" r:id="rId2"/>
    <sheet name="2013 Without Bremner" sheetId="3" r:id="rId3"/>
    <sheet name="2012 No Dead Band and Half Year" sheetId="4" state="hidden" r:id="rId4"/>
    <sheet name="2013 No Dead Band and Half Year" sheetId="5" state="hidden" r:id="rId5"/>
  </sheets>
  <externalReferences>
    <externalReference r:id="rId8"/>
  </externalReferences>
  <definedNames>
    <definedName name="ASSET_AMOUNT_SELECTED_YEAR">IF(YEAR_SELECTED=2012,'[1]DATA_PIVOT'!$C:$C,IF(YEAR_SELECTED=2013,'[1]DATA_PIVOT'!$H:$H,'[1]DATA_PIVOT'!$M:$M))</definedName>
    <definedName name="d">'Raw Data'!#REF!</definedName>
    <definedName name="_xlnm.Print_Area" localSheetId="1">'2012 '!$A$2:$D$39</definedName>
    <definedName name="_xlnm.Print_Area" localSheetId="2">'2013 Without Bremner'!$A$2:$D$47</definedName>
    <definedName name="PROJECTS_LIST_SELECTED_YEAR">IF(YEAR_SELECTED=2012,'[1]DATA_PIVOT'!$A:$A,IF(YEAR_SELECTED=2013,'[1]DATA_PIVOT'!$F:$F,'[1]DATA_PIVOT'!$K:$K))</definedName>
    <definedName name="YEAR_SELECTED">'Raw Data'!#REF!</definedName>
  </definedNames>
  <calcPr fullCalcOnLoad="1"/>
</workbook>
</file>

<file path=xl/sharedStrings.xml><?xml version="1.0" encoding="utf-8"?>
<sst xmlns="http://schemas.openxmlformats.org/spreadsheetml/2006/main" count="199" uniqueCount="68">
  <si>
    <t>Closing Net Fixed Asset</t>
  </si>
  <si>
    <t>Amortization Expense</t>
  </si>
  <si>
    <t>CCA</t>
  </si>
  <si>
    <t>Total</t>
  </si>
  <si>
    <t>Net Fixed Asset</t>
  </si>
  <si>
    <t>Amort. Exp</t>
  </si>
  <si>
    <t>Threshold CAPEX</t>
  </si>
  <si>
    <t>Total For Checking</t>
  </si>
  <si>
    <t xml:space="preserve"> </t>
  </si>
  <si>
    <t>Values Above Threshold for ICM Model</t>
  </si>
  <si>
    <t>Resource Buckets (@12%)</t>
  </si>
  <si>
    <t>Threshold Values</t>
  </si>
  <si>
    <t>PCI Total</t>
  </si>
  <si>
    <t>01 Underground Infrastructure</t>
  </si>
  <si>
    <t>02 Paper Insulated Lead Covered Cable - Piece Outs and Leakers</t>
  </si>
  <si>
    <t>03 Handwell Replacement</t>
  </si>
  <si>
    <t>04 Overhead Infrastructure</t>
  </si>
  <si>
    <t>05 Box Construction</t>
  </si>
  <si>
    <t>06 Rear Lot Construction</t>
  </si>
  <si>
    <t>07 Polymer SMD - 20 Fuses</t>
  </si>
  <si>
    <t>08 Scadamate R1 Switches</t>
  </si>
  <si>
    <t>09 Network Vault &amp; Roofs</t>
  </si>
  <si>
    <t>10 Fibertop Network Units</t>
  </si>
  <si>
    <t>12 Stations Power Transformers</t>
  </si>
  <si>
    <t>14 Stations Circuit Breakers</t>
  </si>
  <si>
    <t>15 Stations Control &amp; Communication Systems</t>
  </si>
  <si>
    <t>16 Downtown Station Load Transfers</t>
  </si>
  <si>
    <t>17 Bremner Transformer Station</t>
  </si>
  <si>
    <t>18 Hydro One Capital Contributions</t>
  </si>
  <si>
    <t>19 Feeder Automation</t>
  </si>
  <si>
    <t>21 Externally-Initiated Plant Relocations and Expansions</t>
  </si>
  <si>
    <t>Summary: V4.0</t>
  </si>
  <si>
    <t>Grand Total</t>
  </si>
  <si>
    <t>Difference</t>
  </si>
  <si>
    <t>XX ICM Understatement of Capitalized Labour</t>
  </si>
  <si>
    <t>20 Metering</t>
  </si>
  <si>
    <t>13.1 &amp; 13.2 Stations Switchgear -Municipal and Transformer Stations</t>
  </si>
  <si>
    <t>11 Automatic Transfer Switches (ATS) &amp; Reverse Power Breakers (RPB)</t>
  </si>
  <si>
    <t xml:space="preserve">     PCI - Emerging</t>
  </si>
  <si>
    <t xml:space="preserve">     PCI - Emerging - Other - Sunk Jan COS Costs</t>
  </si>
  <si>
    <t xml:space="preserve">     PCI - Emerging - Resource Buckets</t>
  </si>
  <si>
    <t xml:space="preserve">     PCI - Worst Performing Feeders</t>
  </si>
  <si>
    <t xml:space="preserve">     PCI - Customer Connections</t>
  </si>
  <si>
    <t xml:space="preserve">     PCI - Reactive Capital</t>
  </si>
  <si>
    <t xml:space="preserve">     PCI - EAR</t>
  </si>
  <si>
    <t>``</t>
  </si>
  <si>
    <t>Operations Portfolio Capital</t>
  </si>
  <si>
    <t>Information Technology Capital</t>
  </si>
  <si>
    <t>Fleet Capital</t>
  </si>
  <si>
    <t>Buildings and Facilities Capital</t>
  </si>
  <si>
    <t>Allowance for Funds Used During Construction</t>
  </si>
  <si>
    <t>Total PCI</t>
  </si>
  <si>
    <t>Pre-2012 CWIP</t>
  </si>
  <si>
    <t>Total Non-Discretionary Moved to PCI</t>
  </si>
  <si>
    <t xml:space="preserve">Total </t>
  </si>
  <si>
    <t>PCI Total (Includes Non Discretionary)</t>
  </si>
  <si>
    <t xml:space="preserve">PCI </t>
  </si>
  <si>
    <t>Board Approved Non-Material ICM</t>
  </si>
  <si>
    <t>Projects below THRESHOLD CAPEX</t>
  </si>
  <si>
    <t>2013 Threshold CAPEX (from ICM model)</t>
  </si>
  <si>
    <t>(3) Threshold CAPEX (see Note)</t>
  </si>
  <si>
    <t>Total For Checking (1) + ( 3)</t>
  </si>
  <si>
    <t>(1) Values Above Threshold with Bremner</t>
  </si>
  <si>
    <t>(2) Values Above Threshold without Bremner</t>
  </si>
  <si>
    <t>17 Bremner Transformer Station (Separate Rate Rider)</t>
  </si>
  <si>
    <t xml:space="preserve">The sum of PCI, Pre-202 CWIP and Board Approved amounts to be funded "through its normal capital budget" is $166,191,897. </t>
  </si>
  <si>
    <t xml:space="preserve">This value was used to established the projects eligible for ICM funding instead of the ICM's WorkForm calculated Threshold CAPEX of $163,833,177.  </t>
  </si>
  <si>
    <t>NOTE: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</si>
</sst>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left" indent="4"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/>
    </xf>
    <xf numFmtId="165" fontId="44" fillId="33" borderId="11" xfId="75" applyNumberFormat="1" applyFont="1" applyFill="1" applyBorder="1" applyAlignment="1" applyProtection="1">
      <alignment/>
      <protection/>
    </xf>
    <xf numFmtId="166" fontId="0" fillId="0" borderId="0" xfId="75" applyNumberFormat="1" applyFont="1" applyAlignment="1">
      <alignment/>
    </xf>
    <xf numFmtId="9" fontId="0" fillId="0" borderId="0" xfId="99" applyFont="1" applyAlignment="1">
      <alignment/>
    </xf>
    <xf numFmtId="0" fontId="42" fillId="34" borderId="12" xfId="0" applyFont="1" applyFill="1" applyBorder="1" applyAlignment="1">
      <alignment/>
    </xf>
    <xf numFmtId="3" fontId="42" fillId="34" borderId="13" xfId="0" applyNumberFormat="1" applyFont="1" applyFill="1" applyBorder="1" applyAlignment="1">
      <alignment/>
    </xf>
    <xf numFmtId="3" fontId="42" fillId="34" borderId="14" xfId="0" applyNumberFormat="1" applyFont="1" applyFill="1" applyBorder="1" applyAlignment="1">
      <alignment/>
    </xf>
    <xf numFmtId="3" fontId="42" fillId="34" borderId="15" xfId="0" applyNumberFormat="1" applyFont="1" applyFill="1" applyBorder="1" applyAlignment="1">
      <alignment/>
    </xf>
    <xf numFmtId="3" fontId="42" fillId="34" borderId="16" xfId="0" applyNumberFormat="1" applyFont="1" applyFill="1" applyBorder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35" borderId="10" xfId="0" applyFon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0" fontId="45" fillId="34" borderId="18" xfId="0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42" fillId="2" borderId="18" xfId="0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0" fontId="42" fillId="2" borderId="19" xfId="0" applyFont="1" applyFill="1" applyBorder="1" applyAlignment="1">
      <alignment/>
    </xf>
    <xf numFmtId="3" fontId="0" fillId="2" borderId="20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3" fontId="0" fillId="35" borderId="0" xfId="0" applyNumberFormat="1" applyFill="1" applyAlignment="1">
      <alignment/>
    </xf>
    <xf numFmtId="10" fontId="0" fillId="0" borderId="0" xfId="99" applyNumberFormat="1" applyFont="1" applyAlignment="1">
      <alignment/>
    </xf>
    <xf numFmtId="0" fontId="42" fillId="2" borderId="12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3" fontId="0" fillId="37" borderId="17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0" fontId="42" fillId="0" borderId="0" xfId="0" applyFont="1" applyAlignment="1">
      <alignment/>
    </xf>
    <xf numFmtId="167" fontId="0" fillId="36" borderId="18" xfId="42" applyNumberFormat="1" applyFont="1" applyFill="1" applyBorder="1" applyAlignment="1">
      <alignment/>
    </xf>
    <xf numFmtId="167" fontId="0" fillId="36" borderId="15" xfId="42" applyNumberFormat="1" applyFont="1" applyFill="1" applyBorder="1" applyAlignment="1">
      <alignment/>
    </xf>
    <xf numFmtId="167" fontId="0" fillId="36" borderId="16" xfId="42" applyNumberFormat="1" applyFont="1" applyFill="1" applyBorder="1" applyAlignment="1">
      <alignment/>
    </xf>
    <xf numFmtId="167" fontId="0" fillId="36" borderId="19" xfId="42" applyNumberFormat="1" applyFont="1" applyFill="1" applyBorder="1" applyAlignment="1">
      <alignment/>
    </xf>
    <xf numFmtId="167" fontId="0" fillId="36" borderId="0" xfId="42" applyNumberFormat="1" applyFont="1" applyFill="1" applyBorder="1" applyAlignment="1">
      <alignment/>
    </xf>
    <xf numFmtId="167" fontId="0" fillId="36" borderId="20" xfId="42" applyNumberFormat="1" applyFont="1" applyFill="1" applyBorder="1" applyAlignment="1">
      <alignment/>
    </xf>
    <xf numFmtId="167" fontId="0" fillId="36" borderId="12" xfId="42" applyNumberFormat="1" applyFont="1" applyFill="1" applyBorder="1" applyAlignment="1">
      <alignment/>
    </xf>
    <xf numFmtId="167" fontId="0" fillId="36" borderId="13" xfId="42" applyNumberFormat="1" applyFont="1" applyFill="1" applyBorder="1" applyAlignment="1">
      <alignment/>
    </xf>
    <xf numFmtId="167" fontId="0" fillId="36" borderId="14" xfId="42" applyNumberFormat="1" applyFon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42" fillId="36" borderId="12" xfId="0" applyFont="1" applyFill="1" applyBorder="1" applyAlignment="1">
      <alignment/>
    </xf>
    <xf numFmtId="3" fontId="46" fillId="36" borderId="20" xfId="0" applyNumberFormat="1" applyFont="1" applyFill="1" applyBorder="1" applyAlignment="1">
      <alignment/>
    </xf>
    <xf numFmtId="3" fontId="46" fillId="36" borderId="0" xfId="0" applyNumberFormat="1" applyFont="1" applyFill="1" applyBorder="1" applyAlignment="1">
      <alignment/>
    </xf>
    <xf numFmtId="0" fontId="42" fillId="36" borderId="0" xfId="0" applyNumberFormat="1" applyFont="1" applyFill="1" applyAlignment="1">
      <alignment/>
    </xf>
    <xf numFmtId="3" fontId="42" fillId="36" borderId="13" xfId="0" applyNumberFormat="1" applyFont="1" applyFill="1" applyBorder="1" applyAlignment="1">
      <alignment/>
    </xf>
    <xf numFmtId="0" fontId="47" fillId="36" borderId="19" xfId="0" applyFont="1" applyFill="1" applyBorder="1" applyAlignment="1">
      <alignment/>
    </xf>
    <xf numFmtId="0" fontId="3" fillId="36" borderId="10" xfId="0" applyFont="1" applyFill="1" applyBorder="1" applyAlignment="1" applyProtection="1">
      <alignment/>
      <protection/>
    </xf>
    <xf numFmtId="167" fontId="0" fillId="36" borderId="17" xfId="42" applyNumberFormat="1" applyFont="1" applyFill="1" applyBorder="1" applyAlignment="1">
      <alignment/>
    </xf>
    <xf numFmtId="3" fontId="42" fillId="36" borderId="14" xfId="0" applyNumberFormat="1" applyFont="1" applyFill="1" applyBorder="1" applyAlignment="1">
      <alignment/>
    </xf>
    <xf numFmtId="168" fontId="48" fillId="38" borderId="21" xfId="49" applyNumberFormat="1" applyFont="1" applyFill="1" applyBorder="1" applyAlignment="1">
      <alignment/>
    </xf>
    <xf numFmtId="168" fontId="48" fillId="38" borderId="22" xfId="49" applyNumberFormat="1" applyFont="1" applyFill="1" applyBorder="1" applyAlignment="1">
      <alignment/>
    </xf>
    <xf numFmtId="0" fontId="49" fillId="0" borderId="23" xfId="0" applyFont="1" applyFill="1" applyBorder="1" applyAlignment="1">
      <alignment horizontal="left" vertical="center" wrapText="1"/>
    </xf>
    <xf numFmtId="0" fontId="49" fillId="36" borderId="23" xfId="0" applyFont="1" applyFill="1" applyBorder="1" applyAlignment="1">
      <alignment horizontal="left" vertical="center" wrapText="1"/>
    </xf>
    <xf numFmtId="0" fontId="50" fillId="39" borderId="2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3" fontId="0" fillId="36" borderId="20" xfId="0" applyNumberFormat="1" applyFill="1" applyBorder="1" applyAlignment="1">
      <alignment/>
    </xf>
    <xf numFmtId="0" fontId="48" fillId="8" borderId="24" xfId="0" applyFont="1" applyFill="1" applyBorder="1" applyAlignment="1">
      <alignment horizontal="center"/>
    </xf>
    <xf numFmtId="0" fontId="42" fillId="36" borderId="19" xfId="0" applyFont="1" applyFill="1" applyBorder="1" applyAlignment="1">
      <alignment/>
    </xf>
    <xf numFmtId="3" fontId="0" fillId="36" borderId="16" xfId="0" applyNumberFormat="1" applyFill="1" applyBorder="1" applyAlignment="1">
      <alignment/>
    </xf>
    <xf numFmtId="3" fontId="0" fillId="36" borderId="11" xfId="0" applyNumberFormat="1" applyFill="1" applyBorder="1" applyAlignment="1">
      <alignment/>
    </xf>
    <xf numFmtId="3" fontId="0" fillId="36" borderId="15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65" fontId="44" fillId="36" borderId="11" xfId="75" applyNumberFormat="1" applyFont="1" applyFill="1" applyBorder="1" applyAlignment="1" applyProtection="1">
      <alignment/>
      <protection/>
    </xf>
    <xf numFmtId="0" fontId="42" fillId="36" borderId="0" xfId="0" applyFont="1" applyFill="1" applyAlignment="1">
      <alignment/>
    </xf>
    <xf numFmtId="0" fontId="42" fillId="36" borderId="10" xfId="0" applyFont="1" applyFill="1" applyBorder="1" applyAlignment="1">
      <alignment/>
    </xf>
    <xf numFmtId="0" fontId="42" fillId="36" borderId="0" xfId="0" applyFont="1" applyFill="1" applyAlignment="1">
      <alignment horizontal="center"/>
    </xf>
    <xf numFmtId="0" fontId="42" fillId="36" borderId="0" xfId="0" applyNumberFormat="1" applyFont="1" applyFill="1" applyAlignment="1">
      <alignment horizontal="center"/>
    </xf>
    <xf numFmtId="0" fontId="42" fillId="36" borderId="18" xfId="0" applyFont="1" applyFill="1" applyBorder="1" applyAlignment="1">
      <alignment/>
    </xf>
    <xf numFmtId="0" fontId="49" fillId="36" borderId="24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50" fillId="39" borderId="24" xfId="0" applyFont="1" applyFill="1" applyBorder="1" applyAlignment="1">
      <alignment horizontal="left" vertical="center" wrapText="1"/>
    </xf>
    <xf numFmtId="168" fontId="49" fillId="0" borderId="25" xfId="49" applyNumberFormat="1" applyFont="1" applyBorder="1" applyAlignment="1">
      <alignment/>
    </xf>
    <xf numFmtId="168" fontId="49" fillId="40" borderId="25" xfId="49" applyNumberFormat="1" applyFont="1" applyFill="1" applyBorder="1" applyAlignment="1">
      <alignment/>
    </xf>
    <xf numFmtId="168" fontId="44" fillId="0" borderId="25" xfId="49" applyNumberFormat="1" applyFont="1" applyFill="1" applyBorder="1" applyAlignment="1">
      <alignment/>
    </xf>
    <xf numFmtId="168" fontId="49" fillId="0" borderId="25" xfId="49" applyNumberFormat="1" applyFont="1" applyBorder="1" applyAlignment="1">
      <alignment/>
    </xf>
    <xf numFmtId="168" fontId="49" fillId="40" borderId="25" xfId="49" applyNumberFormat="1" applyFont="1" applyFill="1" applyBorder="1" applyAlignment="1">
      <alignment/>
    </xf>
    <xf numFmtId="168" fontId="44" fillId="0" borderId="25" xfId="49" applyNumberFormat="1" applyFont="1" applyFill="1" applyBorder="1" applyAlignment="1">
      <alignment/>
    </xf>
    <xf numFmtId="0" fontId="44" fillId="38" borderId="23" xfId="0" applyFont="1" applyFill="1" applyBorder="1" applyAlignment="1">
      <alignment horizontal="center"/>
    </xf>
    <xf numFmtId="168" fontId="44" fillId="38" borderId="22" xfId="49" applyNumberFormat="1" applyFont="1" applyFill="1" applyBorder="1" applyAlignment="1">
      <alignment/>
    </xf>
    <xf numFmtId="168" fontId="44" fillId="38" borderId="22" xfId="49" applyNumberFormat="1" applyFont="1" applyFill="1" applyBorder="1" applyAlignment="1">
      <alignment/>
    </xf>
    <xf numFmtId="168" fontId="44" fillId="38" borderId="21" xfId="49" applyNumberFormat="1" applyFont="1" applyFill="1" applyBorder="1" applyAlignment="1">
      <alignment/>
    </xf>
    <xf numFmtId="0" fontId="0" fillId="0" borderId="0" xfId="0" applyAlignment="1">
      <alignment/>
    </xf>
    <xf numFmtId="167" fontId="42" fillId="36" borderId="14" xfId="42" applyNumberFormat="1" applyFont="1" applyFill="1" applyBorder="1" applyAlignment="1">
      <alignment/>
    </xf>
    <xf numFmtId="167" fontId="0" fillId="36" borderId="0" xfId="42" applyNumberFormat="1" applyFont="1" applyFill="1" applyAlignment="1">
      <alignment/>
    </xf>
    <xf numFmtId="167" fontId="42" fillId="36" borderId="0" xfId="42" applyNumberFormat="1" applyFont="1" applyFill="1" applyAlignment="1">
      <alignment horizontal="center"/>
    </xf>
    <xf numFmtId="167" fontId="44" fillId="36" borderId="11" xfId="42" applyNumberFormat="1" applyFont="1" applyFill="1" applyBorder="1" applyAlignment="1" applyProtection="1">
      <alignment/>
      <protection/>
    </xf>
    <xf numFmtId="167" fontId="42" fillId="36" borderId="13" xfId="42" applyNumberFormat="1" applyFont="1" applyFill="1" applyBorder="1" applyAlignment="1">
      <alignment/>
    </xf>
    <xf numFmtId="167" fontId="0" fillId="36" borderId="11" xfId="42" applyNumberFormat="1" applyFont="1" applyFill="1" applyBorder="1" applyAlignment="1">
      <alignment/>
    </xf>
    <xf numFmtId="0" fontId="44" fillId="38" borderId="23" xfId="0" applyFont="1" applyFill="1" applyBorder="1" applyAlignment="1">
      <alignment/>
    </xf>
    <xf numFmtId="168" fontId="44" fillId="38" borderId="25" xfId="49" applyNumberFormat="1" applyFont="1" applyFill="1" applyBorder="1" applyAlignment="1">
      <alignment/>
    </xf>
    <xf numFmtId="168" fontId="44" fillId="38" borderId="22" xfId="49" applyNumberFormat="1" applyFont="1" applyFill="1" applyBorder="1" applyAlignment="1">
      <alignment/>
    </xf>
    <xf numFmtId="0" fontId="44" fillId="38" borderId="23" xfId="0" applyFont="1" applyFill="1" applyBorder="1" applyAlignment="1">
      <alignment horizontal="center"/>
    </xf>
    <xf numFmtId="0" fontId="44" fillId="38" borderId="23" xfId="0" applyFont="1" applyFill="1" applyBorder="1" applyAlignment="1">
      <alignment horizontal="center"/>
    </xf>
    <xf numFmtId="168" fontId="44" fillId="38" borderId="22" xfId="49" applyNumberFormat="1" applyFont="1" applyFill="1" applyBorder="1" applyAlignment="1">
      <alignment/>
    </xf>
    <xf numFmtId="168" fontId="44" fillId="38" borderId="25" xfId="49" applyNumberFormat="1" applyFont="1" applyFill="1" applyBorder="1" applyAlignment="1">
      <alignment/>
    </xf>
    <xf numFmtId="0" fontId="44" fillId="36" borderId="0" xfId="0" applyFont="1" applyFill="1" applyAlignment="1">
      <alignment/>
    </xf>
    <xf numFmtId="2" fontId="44" fillId="36" borderId="0" xfId="0" applyNumberFormat="1" applyFont="1" applyFill="1" applyAlignment="1">
      <alignment/>
    </xf>
    <xf numFmtId="0" fontId="42" fillId="36" borderId="17" xfId="0" applyFont="1" applyFill="1" applyBorder="1" applyAlignment="1">
      <alignment/>
    </xf>
    <xf numFmtId="167" fontId="42" fillId="36" borderId="17" xfId="42" applyNumberFormat="1" applyFont="1" applyFill="1" applyBorder="1" applyAlignment="1">
      <alignment horizontal="center"/>
    </xf>
    <xf numFmtId="167" fontId="42" fillId="36" borderId="11" xfId="42" applyNumberFormat="1" applyFont="1" applyFill="1" applyBorder="1" applyAlignment="1">
      <alignment horizontal="center"/>
    </xf>
    <xf numFmtId="0" fontId="42" fillId="36" borderId="13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167" fontId="44" fillId="36" borderId="17" xfId="42" applyNumberFormat="1" applyFont="1" applyFill="1" applyBorder="1" applyAlignment="1">
      <alignment/>
    </xf>
    <xf numFmtId="167" fontId="44" fillId="36" borderId="11" xfId="42" applyNumberFormat="1" applyFont="1" applyFill="1" applyBorder="1" applyAlignment="1">
      <alignment/>
    </xf>
    <xf numFmtId="0" fontId="42" fillId="37" borderId="18" xfId="0" applyFont="1" applyFill="1" applyBorder="1" applyAlignment="1">
      <alignment/>
    </xf>
    <xf numFmtId="3" fontId="42" fillId="37" borderId="15" xfId="0" applyNumberFormat="1" applyFont="1" applyFill="1" applyBorder="1" applyAlignment="1">
      <alignment/>
    </xf>
    <xf numFmtId="3" fontId="42" fillId="37" borderId="16" xfId="0" applyNumberFormat="1" applyFont="1" applyFill="1" applyBorder="1" applyAlignment="1">
      <alignment/>
    </xf>
    <xf numFmtId="167" fontId="42" fillId="37" borderId="15" xfId="42" applyNumberFormat="1" applyFont="1" applyFill="1" applyBorder="1" applyAlignment="1">
      <alignment/>
    </xf>
    <xf numFmtId="167" fontId="42" fillId="37" borderId="16" xfId="42" applyNumberFormat="1" applyFont="1" applyFill="1" applyBorder="1" applyAlignment="1">
      <alignment/>
    </xf>
    <xf numFmtId="167" fontId="0" fillId="37" borderId="17" xfId="42" applyNumberFormat="1" applyFont="1" applyFill="1" applyBorder="1" applyAlignment="1">
      <alignment/>
    </xf>
    <xf numFmtId="167" fontId="0" fillId="37" borderId="11" xfId="42" applyNumberFormat="1" applyFont="1" applyFill="1" applyBorder="1" applyAlignment="1">
      <alignment/>
    </xf>
    <xf numFmtId="0" fontId="42" fillId="37" borderId="12" xfId="0" applyFont="1" applyFill="1" applyBorder="1" applyAlignment="1">
      <alignment/>
    </xf>
    <xf numFmtId="167" fontId="42" fillId="37" borderId="13" xfId="42" applyNumberFormat="1" applyFont="1" applyFill="1" applyBorder="1" applyAlignment="1">
      <alignment/>
    </xf>
    <xf numFmtId="167" fontId="42" fillId="37" borderId="14" xfId="42" applyNumberFormat="1" applyFont="1" applyFill="1" applyBorder="1" applyAlignment="1">
      <alignment/>
    </xf>
    <xf numFmtId="167" fontId="42" fillId="36" borderId="17" xfId="42" applyNumberFormat="1" applyFont="1" applyFill="1" applyBorder="1" applyAlignment="1">
      <alignment/>
    </xf>
    <xf numFmtId="167" fontId="42" fillId="36" borderId="11" xfId="42" applyNumberFormat="1" applyFont="1" applyFill="1" applyBorder="1" applyAlignment="1">
      <alignment/>
    </xf>
    <xf numFmtId="0" fontId="44" fillId="36" borderId="0" xfId="0" applyFont="1" applyFill="1" applyAlignment="1">
      <alignment/>
    </xf>
    <xf numFmtId="0" fontId="42" fillId="36" borderId="0" xfId="0" applyFont="1" applyFill="1" applyBorder="1" applyAlignment="1">
      <alignment/>
    </xf>
    <xf numFmtId="167" fontId="42" fillId="36" borderId="0" xfId="42" applyNumberFormat="1" applyFont="1" applyFill="1" applyBorder="1" applyAlignment="1">
      <alignment/>
    </xf>
    <xf numFmtId="0" fontId="44" fillId="36" borderId="0" xfId="0" applyFont="1" applyFill="1" applyAlignment="1">
      <alignment horizontal="left" wrapText="1"/>
    </xf>
    <xf numFmtId="0" fontId="44" fillId="36" borderId="0" xfId="0" applyFont="1" applyFill="1" applyAlignment="1">
      <alignment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8 2" xfId="64"/>
    <cellStyle name="Comma 29" xfId="65"/>
    <cellStyle name="Comma 3" xfId="66"/>
    <cellStyle name="Comma 30" xfId="67"/>
    <cellStyle name="Comma 31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Currency" xfId="75"/>
    <cellStyle name="Currency [0]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 2" xfId="86"/>
    <cellStyle name="Normal 2 2" xfId="87"/>
    <cellStyle name="Normal 3" xfId="88"/>
    <cellStyle name="Normal 4" xfId="89"/>
    <cellStyle name="Normal 4 2" xfId="90"/>
    <cellStyle name="Normal 5" xfId="91"/>
    <cellStyle name="Normal 6" xfId="92"/>
    <cellStyle name="Normal 7" xfId="93"/>
    <cellStyle name="Normal 7 2" xfId="94"/>
    <cellStyle name="Normal 8" xfId="95"/>
    <cellStyle name="Normal 9" xfId="96"/>
    <cellStyle name="Note" xfId="97"/>
    <cellStyle name="Output" xfId="98"/>
    <cellStyle name="Percent" xfId="99"/>
    <cellStyle name="Percent 2" xfId="100"/>
    <cellStyle name="Percent 3" xfId="101"/>
    <cellStyle name="Title" xfId="102"/>
    <cellStyle name="Total" xfId="103"/>
    <cellStyle name="Warning Text" xfId="104"/>
  </cellStyles>
  <dxfs count="8">
    <dxf>
      <font>
        <b/>
        <i val="0"/>
      </font>
      <fill>
        <patternFill>
          <bgColor theme="2" tint="-0.0999400019645690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2" tint="-0.0999400019645690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Rate%20Filing\2012%20IRM\IRM%20MODELS%20for%20Filings\For%20Project%20Wise%20(Refile%20-%20V4.0)\Copy%20of%20Incremental%20Capital%20Project%20Worksheet_UPDATED%20THESL(19OCT2012-3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Incremental Capital Summary"/>
      <sheetName val="Fixed Asset Amort and  UCC 1"/>
      <sheetName val="Fixed Asset Amort and  UCC 2"/>
      <sheetName val="Fixed Asset Amort and  UCC 3"/>
      <sheetName val="Fixed Asset Amort and  UCC 4"/>
      <sheetName val="Fixed Asset Amort and  UCC 5"/>
      <sheetName val="Fixed Asset Amort and  UCC 6"/>
      <sheetName val="Fixed Asset Amort and  UCC 7"/>
      <sheetName val="Fixed Asset Amort and  UCC 8"/>
      <sheetName val="Fixed Asset Amort and  UCC 9"/>
      <sheetName val="Fixed Asset Amort and  UCC 10"/>
      <sheetName val="Fixed Asset Amort and  UCC 11"/>
      <sheetName val="Fixed Asset Amort and  UCC 12"/>
      <sheetName val="Fixed Asset Amort and  UCC 13"/>
      <sheetName val="Fixed Asset Amort and  UCC 14"/>
      <sheetName val="Fixed Asset Amort and  UCC 15"/>
      <sheetName val="Fixed Asset Amort and  UCC 16"/>
      <sheetName val="Fixed Asset Amort and  UCC 17"/>
      <sheetName val="Fixed Asset Amort and  UCC 18"/>
      <sheetName val="Fixed Asset Amort and  UCC 19"/>
      <sheetName val="Fixed Asset Amort and  UCC 20"/>
      <sheetName val="Fixed Asset Amort and  UCC 21"/>
      <sheetName val="Fixed Asset Amort and  UCC 22"/>
      <sheetName val="Fixed Asset Amort and  UCC 23"/>
      <sheetName val="Fixed Asset Amort and  UCC 24"/>
      <sheetName val="Fixed Asset Amort and  UCC 25"/>
      <sheetName val="Fixed Asset Amort and  UCC 26"/>
      <sheetName val="Fixed Asset Amort and  UCC 27"/>
      <sheetName val="Fixed Asset Amort and  UCC 28"/>
      <sheetName val="Fixed Asset Amort and  UCC 29"/>
      <sheetName val="Fixed Asset Amort and  UCC 30"/>
      <sheetName val="LOOKUPS_&amp;_DATA==&gt;&gt;"/>
      <sheetName val="DATA_PIVOT"/>
      <sheetName val="DATA_PIVOT (EST)"/>
      <sheetName val="DATA"/>
      <sheetName val="DATA_UPDATE_INPUT"/>
      <sheetName val="APP_A"/>
      <sheetName val="APP_B"/>
      <sheetName val="APP_C"/>
      <sheetName val="APP_D"/>
      <sheetName val="APP_E"/>
      <sheetName val="APP_F"/>
      <sheetName val="DATA_PIVOT (EST) (2)"/>
    </sheetNames>
    <sheetDataSet>
      <sheetData sheetId="33">
        <row r="1">
          <cell r="A1" t="str">
            <v>Include</v>
          </cell>
          <cell r="F1" t="str">
            <v>Include</v>
          </cell>
          <cell r="K1" t="str">
            <v>Include</v>
          </cell>
        </row>
        <row r="3">
          <cell r="A3" t="str">
            <v>Sum of FY12</v>
          </cell>
          <cell r="F3" t="str">
            <v>Sum of FY13</v>
          </cell>
          <cell r="K3" t="str">
            <v>Sum of FY14</v>
          </cell>
        </row>
        <row r="4">
          <cell r="A4" t="str">
            <v>CATEGORY LISTING</v>
          </cell>
          <cell r="C4" t="str">
            <v>Total</v>
          </cell>
          <cell r="F4" t="str">
            <v>CATEGORY LISTING</v>
          </cell>
          <cell r="H4" t="str">
            <v>Total</v>
          </cell>
          <cell r="K4" t="str">
            <v>CATEGORY LISTING</v>
          </cell>
          <cell r="M4" t="str">
            <v>Total</v>
          </cell>
        </row>
        <row r="5">
          <cell r="A5" t="str">
            <v>C1 Underground Infrastructure</v>
          </cell>
          <cell r="C5">
            <v>122585.25004461339</v>
          </cell>
          <cell r="F5" t="str">
            <v>C1 Underground Infrastructure</v>
          </cell>
          <cell r="H5">
            <v>402061.21768827434</v>
          </cell>
        </row>
        <row r="6">
          <cell r="C6">
            <v>325987.4807591958</v>
          </cell>
          <cell r="H6">
            <v>388921.20034954284</v>
          </cell>
        </row>
        <row r="7">
          <cell r="C7">
            <v>152105.44903236837</v>
          </cell>
          <cell r="H7">
            <v>762053.3692648154</v>
          </cell>
        </row>
        <row r="8">
          <cell r="C8">
            <v>411602.9946046311</v>
          </cell>
          <cell r="H8">
            <v>813301.2389810842</v>
          </cell>
        </row>
        <row r="9">
          <cell r="C9">
            <v>21423967.317433324</v>
          </cell>
          <cell r="H9">
            <v>38382444.583885625</v>
          </cell>
        </row>
        <row r="10">
          <cell r="C10">
            <v>395387.21523492906</v>
          </cell>
          <cell r="H10">
            <v>1497236.9842669186</v>
          </cell>
        </row>
        <row r="11">
          <cell r="C11">
            <v>9567.760495224293</v>
          </cell>
          <cell r="H11">
            <v>75959.29613189098</v>
          </cell>
        </row>
        <row r="12">
          <cell r="C12">
            <v>2810905.514350746</v>
          </cell>
          <cell r="H12">
            <v>9597074.41081369</v>
          </cell>
        </row>
        <row r="13">
          <cell r="C13">
            <v>1417853.6324738674</v>
          </cell>
          <cell r="H13">
            <v>3796569.205034667</v>
          </cell>
        </row>
        <row r="14">
          <cell r="C14">
            <v>11957.18989949298</v>
          </cell>
          <cell r="H14">
            <v>34376.646440476405</v>
          </cell>
        </row>
        <row r="15">
          <cell r="C15">
            <v>1353546.8669633146</v>
          </cell>
          <cell r="H15">
            <v>2826535.73142952</v>
          </cell>
        </row>
        <row r="16">
          <cell r="C16">
            <v>1558.121385200837</v>
          </cell>
          <cell r="H16">
            <v>7196.681831589393</v>
          </cell>
        </row>
        <row r="17">
          <cell r="C17">
            <v>311529.2428834534</v>
          </cell>
          <cell r="H17">
            <v>317627.49374805717</v>
          </cell>
        </row>
        <row r="18">
          <cell r="C18">
            <v>5039.439096164324</v>
          </cell>
          <cell r="H18">
            <v>41012.517260820954</v>
          </cell>
        </row>
        <row r="19">
          <cell r="A19" t="str">
            <v>C1 Underground Infrastructure Total</v>
          </cell>
          <cell r="C19">
            <v>28753593.474656526</v>
          </cell>
          <cell r="F19" t="str">
            <v>C1 Underground Infrastructure Total</v>
          </cell>
          <cell r="H19">
            <v>58942370.57712697</v>
          </cell>
        </row>
        <row r="20">
          <cell r="A20" t="str">
            <v>C2 Paper Insulated Lead Covered Cable - Piece Outs and Leakers</v>
          </cell>
          <cell r="C20">
            <v>80959.41054783999</v>
          </cell>
          <cell r="F20" t="str">
            <v>C2 Paper Insulated Lead Covered Cable - Piece Outs and Leakers</v>
          </cell>
          <cell r="H20">
            <v>209068.84676015688</v>
          </cell>
        </row>
        <row r="21">
          <cell r="A21" t="str">
            <v>C2 Paper Insulated Lead Covered Cable - Piece Outs and Leakers Total</v>
          </cell>
          <cell r="C21">
            <v>80959.41054783999</v>
          </cell>
          <cell r="H21">
            <v>1599887.5656069878</v>
          </cell>
        </row>
        <row r="22">
          <cell r="A22" t="str">
            <v>C3 Handwell Replacement</v>
          </cell>
          <cell r="C22">
            <v>13651577.341380002</v>
          </cell>
          <cell r="H22">
            <v>7944.836317755997</v>
          </cell>
        </row>
        <row r="23">
          <cell r="A23" t="str">
            <v>C3 Handwell Replacement Total</v>
          </cell>
          <cell r="C23">
            <v>13651577.341380002</v>
          </cell>
          <cell r="H23">
            <v>3538.9992415320116</v>
          </cell>
        </row>
        <row r="24">
          <cell r="A24" t="str">
            <v>C4 Overhead Infrastructure </v>
          </cell>
          <cell r="C24">
            <v>2437690.932333755</v>
          </cell>
          <cell r="H24">
            <v>3595225.073761498</v>
          </cell>
        </row>
        <row r="25">
          <cell r="C25">
            <v>2086837.4525733525</v>
          </cell>
          <cell r="H25">
            <v>1889.0599771932564</v>
          </cell>
        </row>
        <row r="26">
          <cell r="C26">
            <v>1033849.1464401375</v>
          </cell>
          <cell r="H26">
            <v>1459.6299823777924</v>
          </cell>
        </row>
        <row r="27">
          <cell r="C27">
            <v>173.15369548926424</v>
          </cell>
          <cell r="F27" t="str">
            <v>C2 Paper Insulated Lead Covered Cable - Piece Outs and Leakers Total</v>
          </cell>
          <cell r="H27">
            <v>5419014.011647502</v>
          </cell>
        </row>
        <row r="28">
          <cell r="C28">
            <v>51859.70055657756</v>
          </cell>
          <cell r="F28" t="str">
            <v>C3 Handwell Replacement</v>
          </cell>
          <cell r="H28">
            <v>16650487.820999999</v>
          </cell>
        </row>
        <row r="29">
          <cell r="C29">
            <v>388.7197229980629</v>
          </cell>
          <cell r="F29" t="str">
            <v>C3 Handwell Replacement Total</v>
          </cell>
          <cell r="H29">
            <v>16650487.820999999</v>
          </cell>
        </row>
        <row r="30">
          <cell r="C30">
            <v>173.15369548926424</v>
          </cell>
          <cell r="F30" t="str">
            <v>C4 Overhead Infrastructure </v>
          </cell>
          <cell r="H30">
            <v>17785991.6127974</v>
          </cell>
        </row>
        <row r="31">
          <cell r="C31">
            <v>973508.307381733</v>
          </cell>
          <cell r="H31">
            <v>14700766.887412596</v>
          </cell>
        </row>
        <row r="32">
          <cell r="C32">
            <v>64132.56238506878</v>
          </cell>
          <cell r="H32">
            <v>5644928.322942448</v>
          </cell>
        </row>
        <row r="33">
          <cell r="C33">
            <v>1760540.2617628619</v>
          </cell>
          <cell r="H33">
            <v>4720.870063928677</v>
          </cell>
        </row>
        <row r="34">
          <cell r="C34">
            <v>24056.538293062807</v>
          </cell>
          <cell r="H34">
            <v>1446081.7258081657</v>
          </cell>
        </row>
        <row r="35">
          <cell r="C35">
            <v>2165.314979923093</v>
          </cell>
          <cell r="H35">
            <v>31868.790691701695</v>
          </cell>
        </row>
        <row r="36">
          <cell r="C36">
            <v>623.2812931586489</v>
          </cell>
          <cell r="H36">
            <v>1861.8000948067172</v>
          </cell>
        </row>
        <row r="37">
          <cell r="C37">
            <v>633740.6812186431</v>
          </cell>
          <cell r="H37">
            <v>677259.2304137159</v>
          </cell>
        </row>
        <row r="38">
          <cell r="A38" t="str">
            <v>C4 Overhead Infrastructure  Total</v>
          </cell>
          <cell r="C38">
            <v>9069739.206332253</v>
          </cell>
          <cell r="H38">
            <v>238068.7202195694</v>
          </cell>
        </row>
        <row r="39">
          <cell r="A39" t="str">
            <v>C5 Box Construction</v>
          </cell>
          <cell r="C39">
            <v>125547.65951919911</v>
          </cell>
          <cell r="H39">
            <v>12795144.1908141</v>
          </cell>
        </row>
        <row r="40">
          <cell r="C40">
            <v>149422.65315996174</v>
          </cell>
          <cell r="H40">
            <v>1037521.7984394594</v>
          </cell>
        </row>
        <row r="41">
          <cell r="C41">
            <v>23979.94831140604</v>
          </cell>
          <cell r="H41">
            <v>171508.39659170288</v>
          </cell>
        </row>
        <row r="42">
          <cell r="C42">
            <v>2762.4787080095252</v>
          </cell>
          <cell r="H42">
            <v>108362.02125497579</v>
          </cell>
        </row>
        <row r="43">
          <cell r="C43">
            <v>30198.467559511908</v>
          </cell>
          <cell r="H43">
            <v>1232469.8790197573</v>
          </cell>
        </row>
        <row r="44">
          <cell r="C44">
            <v>7199.680202853999</v>
          </cell>
          <cell r="F44" t="str">
            <v>C4 Overhead Infrastructure  Total</v>
          </cell>
          <cell r="H44">
            <v>55876554.24656433</v>
          </cell>
        </row>
        <row r="45">
          <cell r="C45">
            <v>124926.12718855703</v>
          </cell>
          <cell r="F45" t="str">
            <v>C5 Box Construction</v>
          </cell>
          <cell r="H45">
            <v>4921765.950098524</v>
          </cell>
        </row>
        <row r="46">
          <cell r="C46">
            <v>5669.4510183783805</v>
          </cell>
          <cell r="H46">
            <v>4973736.198118019</v>
          </cell>
        </row>
        <row r="47">
          <cell r="C47">
            <v>374.2251552886265</v>
          </cell>
          <cell r="H47">
            <v>1242094.5592365386</v>
          </cell>
        </row>
        <row r="48">
          <cell r="C48">
            <v>107.22480384327201</v>
          </cell>
          <cell r="H48">
            <v>1094416.9307836192</v>
          </cell>
        </row>
        <row r="49">
          <cell r="C49">
            <v>112795.67712499041</v>
          </cell>
          <cell r="H49">
            <v>307118.01473609026</v>
          </cell>
        </row>
        <row r="50">
          <cell r="A50" t="str">
            <v>C5 Box Construction Total</v>
          </cell>
          <cell r="C50">
            <v>582983.592752</v>
          </cell>
          <cell r="H50">
            <v>38531.35985810297</v>
          </cell>
        </row>
        <row r="51">
          <cell r="A51" t="str">
            <v>C6 Rear Lot Construction</v>
          </cell>
          <cell r="C51">
            <v>340085.8259826499</v>
          </cell>
          <cell r="H51">
            <v>23871.781735797926</v>
          </cell>
        </row>
        <row r="52">
          <cell r="C52">
            <v>383403.3655508462</v>
          </cell>
          <cell r="H52">
            <v>3199657.776182016</v>
          </cell>
        </row>
        <row r="53">
          <cell r="C53">
            <v>91446.5051212017</v>
          </cell>
          <cell r="H53">
            <v>249649.44221558137</v>
          </cell>
        </row>
        <row r="54">
          <cell r="C54">
            <v>296991.07392322196</v>
          </cell>
          <cell r="H54">
            <v>3796781.5895910556</v>
          </cell>
        </row>
        <row r="55">
          <cell r="C55">
            <v>2968226.764216951</v>
          </cell>
          <cell r="H55">
            <v>498616.3985393169</v>
          </cell>
        </row>
        <row r="56">
          <cell r="C56">
            <v>388988.8885541146</v>
          </cell>
          <cell r="H56">
            <v>115671.1292826004</v>
          </cell>
        </row>
        <row r="57">
          <cell r="C57">
            <v>5526904.570174575</v>
          </cell>
          <cell r="H57">
            <v>28696.344745872815</v>
          </cell>
        </row>
        <row r="58">
          <cell r="C58">
            <v>557775.2327331818</v>
          </cell>
          <cell r="H58">
            <v>133954.0485719041</v>
          </cell>
        </row>
        <row r="59">
          <cell r="C59">
            <v>231436.0442370465</v>
          </cell>
          <cell r="H59">
            <v>2417137.036712964</v>
          </cell>
        </row>
        <row r="60">
          <cell r="C60">
            <v>1877089.9546988364</v>
          </cell>
          <cell r="F60" t="str">
            <v>C5 Box Construction Total</v>
          </cell>
          <cell r="H60">
            <v>23041698.560408</v>
          </cell>
        </row>
        <row r="61">
          <cell r="C61">
            <v>109448.05196989552</v>
          </cell>
          <cell r="F61" t="str">
            <v>C6 Rear Lot Construction</v>
          </cell>
          <cell r="H61">
            <v>2094448.3981963508</v>
          </cell>
        </row>
        <row r="62">
          <cell r="C62">
            <v>3505509.4762302353</v>
          </cell>
          <cell r="H62">
            <v>1453817.8247093423</v>
          </cell>
        </row>
        <row r="63">
          <cell r="C63">
            <v>80124.82166057988</v>
          </cell>
          <cell r="H63">
            <v>103680.47098919841</v>
          </cell>
        </row>
        <row r="64">
          <cell r="A64" t="str">
            <v>C6 Rear Lot Construction Total</v>
          </cell>
          <cell r="C64">
            <v>16357430.575053338</v>
          </cell>
          <cell r="H64">
            <v>13778364.769782357</v>
          </cell>
        </row>
        <row r="65">
          <cell r="A65" t="str">
            <v>C9 Network Vault &amp; Roofs</v>
          </cell>
          <cell r="C65">
            <v>2844.26583479039</v>
          </cell>
          <cell r="H65">
            <v>47739.333503193884</v>
          </cell>
        </row>
        <row r="66">
          <cell r="C66">
            <v>2129.9838984267176</v>
          </cell>
          <cell r="H66">
            <v>4287714.727605738</v>
          </cell>
        </row>
        <row r="67">
          <cell r="C67">
            <v>10805.497491886412</v>
          </cell>
          <cell r="H67">
            <v>303154.37173442816</v>
          </cell>
        </row>
        <row r="68">
          <cell r="C68">
            <v>367287.1377937535</v>
          </cell>
          <cell r="H68">
            <v>540999.4364503006</v>
          </cell>
        </row>
        <row r="69">
          <cell r="C69">
            <v>255320.32859776972</v>
          </cell>
          <cell r="H69">
            <v>1586065.2766061183</v>
          </cell>
        </row>
        <row r="70">
          <cell r="C70">
            <v>688097.6718231619</v>
          </cell>
          <cell r="H70">
            <v>487371.589911328</v>
          </cell>
        </row>
        <row r="71">
          <cell r="C71">
            <v>832.0267471708103</v>
          </cell>
          <cell r="H71">
            <v>3414406.9725002395</v>
          </cell>
        </row>
        <row r="72">
          <cell r="C72">
            <v>534383.3188215541</v>
          </cell>
          <cell r="H72">
            <v>1327800.281671407</v>
          </cell>
        </row>
        <row r="73">
          <cell r="C73">
            <v>354141.2402534971</v>
          </cell>
          <cell r="F73" t="str">
            <v>C6 Rear Lot Construction Total</v>
          </cell>
          <cell r="H73">
            <v>29425563.453660004</v>
          </cell>
        </row>
        <row r="74">
          <cell r="C74">
            <v>3336.162089507142</v>
          </cell>
          <cell r="F74" t="str">
            <v>C7 Polymer SMD-20 Fuses</v>
          </cell>
          <cell r="H74">
            <v>261034.23347361726</v>
          </cell>
        </row>
        <row r="75">
          <cell r="C75">
            <v>4932.70505281783</v>
          </cell>
          <cell r="H75">
            <v>195476.3537193622</v>
          </cell>
        </row>
        <row r="76">
          <cell r="C76">
            <v>610228.4487349085</v>
          </cell>
          <cell r="H76">
            <v>1034050.3793165614</v>
          </cell>
        </row>
        <row r="77">
          <cell r="C77">
            <v>3403.133201647078</v>
          </cell>
          <cell r="H77">
            <v>38536.922490459176</v>
          </cell>
        </row>
        <row r="78">
          <cell r="C78">
            <v>419.9020176084456</v>
          </cell>
          <cell r="F78" t="str">
            <v>C7 Polymer SMD-20 Fuses Total</v>
          </cell>
          <cell r="H78">
            <v>1529097.889</v>
          </cell>
        </row>
        <row r="79">
          <cell r="A79" t="str">
            <v>C9 Network Vault &amp; Roofs Total</v>
          </cell>
          <cell r="C79">
            <v>2838161.8223584993</v>
          </cell>
          <cell r="F79" t="str">
            <v>C8 Scadamate R1 Switches</v>
          </cell>
          <cell r="H79">
            <v>39003.569447921065</v>
          </cell>
        </row>
        <row r="80">
          <cell r="A80" t="str">
            <v>C10 Fibertop Network Units</v>
          </cell>
          <cell r="C80">
            <v>13807.942472713728</v>
          </cell>
          <cell r="H80">
            <v>1390359.9305520789</v>
          </cell>
        </row>
        <row r="81">
          <cell r="C81">
            <v>112219.04244425312</v>
          </cell>
          <cell r="F81" t="str">
            <v>C8 Scadamate R1 Switches Total</v>
          </cell>
          <cell r="H81">
            <v>1429363.5</v>
          </cell>
        </row>
        <row r="82">
          <cell r="C82">
            <v>1350708.176083033</v>
          </cell>
          <cell r="F82" t="str">
            <v>C9 Network Vault &amp; Roofs</v>
          </cell>
          <cell r="H82">
            <v>24078.60208800031</v>
          </cell>
        </row>
        <row r="83">
          <cell r="A83" t="str">
            <v>C10 Fibertop Network Units Total</v>
          </cell>
          <cell r="C83">
            <v>1476735.1609999998</v>
          </cell>
          <cell r="H83">
            <v>18031.71798614037</v>
          </cell>
        </row>
        <row r="84">
          <cell r="A84" t="str">
            <v>C12 Stations Power Transformers</v>
          </cell>
          <cell r="C84">
            <v>375539.99999999994</v>
          </cell>
          <cell r="H84">
            <v>91475.75843913275</v>
          </cell>
        </row>
        <row r="85">
          <cell r="A85" t="str">
            <v>C12 Stations Power Transformers Total</v>
          </cell>
          <cell r="C85">
            <v>375539.99999999994</v>
          </cell>
          <cell r="H85">
            <v>1845734.0843494614</v>
          </cell>
        </row>
        <row r="86">
          <cell r="A86" t="str">
            <v>C13 Stations Switchgear</v>
          </cell>
          <cell r="C86">
            <v>9336.0704292404</v>
          </cell>
          <cell r="H86">
            <v>1135425.798811446</v>
          </cell>
        </row>
        <row r="87">
          <cell r="C87">
            <v>1672453.8472810162</v>
          </cell>
          <cell r="H87">
            <v>4890519.578739143</v>
          </cell>
        </row>
        <row r="88">
          <cell r="C88">
            <v>661.6631839237587</v>
          </cell>
          <cell r="H88">
            <v>113369.00682106367</v>
          </cell>
        </row>
        <row r="89">
          <cell r="C89">
            <v>2228.50251209633</v>
          </cell>
          <cell r="H89">
            <v>4526474.9199174885</v>
          </cell>
        </row>
        <row r="90">
          <cell r="C90">
            <v>6671.232082966405</v>
          </cell>
          <cell r="H90">
            <v>2354136.971165223</v>
          </cell>
        </row>
        <row r="91">
          <cell r="C91">
            <v>11193.384947922386</v>
          </cell>
          <cell r="H91">
            <v>28242.847793970504</v>
          </cell>
        </row>
        <row r="92">
          <cell r="C92">
            <v>9062.273733430267</v>
          </cell>
          <cell r="H92">
            <v>61797.88521854309</v>
          </cell>
        </row>
        <row r="93">
          <cell r="C93">
            <v>16079.589829404253</v>
          </cell>
          <cell r="H93">
            <v>3616796.300291479</v>
          </cell>
        </row>
        <row r="94">
          <cell r="A94" t="str">
            <v>C13 Stations Switchgear Total</v>
          </cell>
          <cell r="C94">
            <v>1727686.564</v>
          </cell>
          <cell r="H94">
            <v>51114.78473159181</v>
          </cell>
        </row>
        <row r="95">
          <cell r="A95" t="str">
            <v>C14 Stations Circuit Breakers</v>
          </cell>
          <cell r="C95">
            <v>8107.571468920687</v>
          </cell>
          <cell r="H95">
            <v>3554.7436473139323</v>
          </cell>
        </row>
        <row r="96">
          <cell r="C96">
            <v>742105.8693635433</v>
          </cell>
          <cell r="F96" t="str">
            <v>C9 Network Vault &amp; Roofs Total</v>
          </cell>
          <cell r="H96">
            <v>18760753</v>
          </cell>
        </row>
        <row r="97">
          <cell r="C97">
            <v>9444.80316753574</v>
          </cell>
          <cell r="F97" t="str">
            <v>C10 Fibertop Network Units</v>
          </cell>
          <cell r="H97">
            <v>58650.63867131692</v>
          </cell>
        </row>
        <row r="98">
          <cell r="A98" t="str">
            <v>C14 Stations Circuit Breakers Total</v>
          </cell>
          <cell r="C98">
            <v>759658.2439999997</v>
          </cell>
          <cell r="H98">
            <v>544849.098299589</v>
          </cell>
        </row>
        <row r="99">
          <cell r="A99" t="str">
            <v>C15 Stations Control &amp; Communicaton Systems</v>
          </cell>
          <cell r="C99">
            <v>135428.82799999998</v>
          </cell>
          <cell r="H99">
            <v>7107549.8290290935</v>
          </cell>
        </row>
        <row r="100">
          <cell r="A100" t="str">
            <v>C15 Stations Control &amp; Communicaton Systems Total</v>
          </cell>
          <cell r="C100">
            <v>135428.82799999998</v>
          </cell>
          <cell r="F100" t="str">
            <v>C10 Fibertop Network Units Total</v>
          </cell>
          <cell r="H100">
            <v>7711049.566</v>
          </cell>
        </row>
        <row r="101">
          <cell r="A101" t="str">
            <v>C16 Downtown Station Load Transfers</v>
          </cell>
          <cell r="C101">
            <v>679134.7743400001</v>
          </cell>
          <cell r="F101" t="str">
            <v>C11 Automatic Transfer Switches (ATS) &amp; Reverse Power Breakers (RPB)</v>
          </cell>
          <cell r="H101">
            <v>9214.158669033872</v>
          </cell>
        </row>
        <row r="102">
          <cell r="A102" t="str">
            <v>C16 Downtown Station Load Transfers Total</v>
          </cell>
          <cell r="C102">
            <v>679134.7743400001</v>
          </cell>
          <cell r="H102">
            <v>6900.199003280552</v>
          </cell>
        </row>
        <row r="103">
          <cell r="A103" t="str">
            <v>C17 Bremner Transformer Station</v>
          </cell>
          <cell r="C103">
            <v>400480.42010725813</v>
          </cell>
          <cell r="H103">
            <v>35005.01494359812</v>
          </cell>
        </row>
        <row r="104">
          <cell r="C104">
            <v>3619270.6226666216</v>
          </cell>
          <cell r="H104">
            <v>7265.824767740695</v>
          </cell>
        </row>
        <row r="105">
          <cell r="C105">
            <v>1174252.2458342088</v>
          </cell>
          <cell r="H105">
            <v>31860.84382423314</v>
          </cell>
        </row>
        <row r="106">
          <cell r="C106">
            <v>1388727.5423295374</v>
          </cell>
          <cell r="H106">
            <v>412290.86458959646</v>
          </cell>
        </row>
        <row r="107">
          <cell r="C107">
            <v>412864.9450168895</v>
          </cell>
          <cell r="H107">
            <v>424741.4042801287</v>
          </cell>
        </row>
        <row r="108">
          <cell r="C108">
            <v>61207.85049352876</v>
          </cell>
          <cell r="H108">
            <v>10807.6884388518</v>
          </cell>
        </row>
        <row r="109">
          <cell r="C109">
            <v>1328185.8678443062</v>
          </cell>
          <cell r="H109">
            <v>245151.67965914792</v>
          </cell>
        </row>
        <row r="110">
          <cell r="C110">
            <v>115010.5057076515</v>
          </cell>
          <cell r="H110">
            <v>2076956.554263184</v>
          </cell>
        </row>
        <row r="111">
          <cell r="A111" t="str">
            <v>C17 Bremner Transformer Station Total</v>
          </cell>
          <cell r="C111">
            <v>8500000.000000002</v>
          </cell>
          <cell r="H111">
            <v>1677.4497576958584</v>
          </cell>
        </row>
        <row r="112">
          <cell r="A112" t="str">
            <v>C18 Hydro One Capital Contributions</v>
          </cell>
          <cell r="C112">
            <v>24753808</v>
          </cell>
          <cell r="H112">
            <v>1360.2898035089565</v>
          </cell>
        </row>
        <row r="113">
          <cell r="A113" t="str">
            <v>C18 Hydro One Capital Contributions Total</v>
          </cell>
          <cell r="C113">
            <v>24753808</v>
          </cell>
          <cell r="F113" t="str">
            <v>C11 Automatic Transfer Switches (ATS) &amp; Reverse Power Breakers (RPB) Total</v>
          </cell>
          <cell r="H113">
            <v>3263231.972</v>
          </cell>
        </row>
        <row r="114">
          <cell r="A114" t="str">
            <v>C19 Feeder Automation</v>
          </cell>
          <cell r="C114">
            <v>85222.31180105399</v>
          </cell>
          <cell r="F114" t="str">
            <v>C12 Stations Power Transformers</v>
          </cell>
          <cell r="H114">
            <v>7352.156159550519</v>
          </cell>
        </row>
        <row r="115">
          <cell r="C115">
            <v>30370.15132856775</v>
          </cell>
          <cell r="H115">
            <v>3433561.6047933158</v>
          </cell>
        </row>
        <row r="116">
          <cell r="C116">
            <v>2186989.679927192</v>
          </cell>
          <cell r="H116">
            <v>41376.48104713313</v>
          </cell>
        </row>
        <row r="117">
          <cell r="C117">
            <v>1323.0111448262546</v>
          </cell>
          <cell r="F117" t="str">
            <v>C12 Stations Power Transformers Total</v>
          </cell>
          <cell r="H117">
            <v>3482290.241999999</v>
          </cell>
        </row>
        <row r="118">
          <cell r="A118" t="str">
            <v>C19 Feeder Automation Total</v>
          </cell>
          <cell r="C118">
            <v>2303905.1542016403</v>
          </cell>
          <cell r="F118" t="str">
            <v>C13 Stations Switchgear</v>
          </cell>
          <cell r="H118">
            <v>129458.08461596635</v>
          </cell>
        </row>
        <row r="119">
          <cell r="A119" t="str">
            <v>C20 Wholesale and Smart Metering</v>
          </cell>
          <cell r="C119">
            <v>983180.38368</v>
          </cell>
          <cell r="H119">
            <v>49364.164</v>
          </cell>
        </row>
        <row r="120">
          <cell r="C120">
            <v>3755933.30112</v>
          </cell>
          <cell r="H120">
            <v>5886.000178952875</v>
          </cell>
        </row>
        <row r="121">
          <cell r="A121" t="str">
            <v>C20 Wholesale and Smart Metering Total</v>
          </cell>
          <cell r="C121">
            <v>4739113.6848</v>
          </cell>
          <cell r="H121">
            <v>7063.1944413532465</v>
          </cell>
        </row>
        <row r="122">
          <cell r="A122" t="str">
            <v>C21 Externally-Initiated Plant Relocations and Expansions</v>
          </cell>
          <cell r="C122">
            <v>467215.56490972807</v>
          </cell>
          <cell r="H122">
            <v>17842402.765149664</v>
          </cell>
        </row>
        <row r="123">
          <cell r="C123">
            <v>642659.8479585161</v>
          </cell>
          <cell r="H123">
            <v>224632.82073930168</v>
          </cell>
        </row>
        <row r="124">
          <cell r="C124">
            <v>83916.5211594201</v>
          </cell>
          <cell r="H124">
            <v>154302.45643004097</v>
          </cell>
        </row>
        <row r="125">
          <cell r="C125">
            <v>253040.0718988916</v>
          </cell>
          <cell r="H125">
            <v>303642.13358371024</v>
          </cell>
        </row>
        <row r="126">
          <cell r="C126">
            <v>4159149.9934675773</v>
          </cell>
          <cell r="H126">
            <v>728483.3775923256</v>
          </cell>
        </row>
        <row r="127">
          <cell r="C127">
            <v>17599.411558450334</v>
          </cell>
          <cell r="H127">
            <v>258970.86783849003</v>
          </cell>
        </row>
        <row r="128">
          <cell r="C128">
            <v>52865.71808654751</v>
          </cell>
          <cell r="H128">
            <v>999969.1181007646</v>
          </cell>
        </row>
        <row r="129">
          <cell r="C129">
            <v>3777042.0926187425</v>
          </cell>
          <cell r="H129">
            <v>4167.23464183973</v>
          </cell>
        </row>
        <row r="130">
          <cell r="C130">
            <v>566495.5275244698</v>
          </cell>
          <cell r="H130">
            <v>1856.2805162919128</v>
          </cell>
        </row>
        <row r="131">
          <cell r="C131">
            <v>75801.88990255658</v>
          </cell>
          <cell r="H131">
            <v>924876.3282725387</v>
          </cell>
        </row>
        <row r="132">
          <cell r="C132">
            <v>4212.866162691234</v>
          </cell>
          <cell r="H132">
            <v>6491.3861527693725</v>
          </cell>
        </row>
        <row r="133">
          <cell r="C133">
            <v>63652.68181407959</v>
          </cell>
          <cell r="H133">
            <v>169860.36024583096</v>
          </cell>
        </row>
        <row r="134">
          <cell r="A134" t="str">
            <v>C21 Externally-Initiated Plant Relocations and Expansions Total</v>
          </cell>
          <cell r="C134">
            <v>10163652.18706167</v>
          </cell>
          <cell r="H134">
            <v>514.7073172841373</v>
          </cell>
        </row>
        <row r="135">
          <cell r="A135" t="str">
            <v>Grand Total</v>
          </cell>
          <cell r="C135">
            <v>126949108.02048378</v>
          </cell>
          <cell r="H135">
            <v>1252.9621828726624</v>
          </cell>
        </row>
        <row r="136">
          <cell r="F136" t="str">
            <v>C13 Stations Switchgear Total</v>
          </cell>
          <cell r="H136">
            <v>21813194.242000002</v>
          </cell>
        </row>
        <row r="137">
          <cell r="F137" t="str">
            <v>C14 Stations Circuit Breakers</v>
          </cell>
          <cell r="H137">
            <v>7307.52669352429</v>
          </cell>
        </row>
        <row r="138">
          <cell r="H138">
            <v>536231.236377264</v>
          </cell>
        </row>
        <row r="139">
          <cell r="H139">
            <v>8336.612929211547</v>
          </cell>
        </row>
        <row r="140">
          <cell r="F140" t="str">
            <v>C14 Stations Circuit Breakers Total</v>
          </cell>
          <cell r="H140">
            <v>551875.3759999999</v>
          </cell>
        </row>
        <row r="141">
          <cell r="F141" t="str">
            <v>C15 Stations Control &amp; Communicaton Systems</v>
          </cell>
          <cell r="H141">
            <v>1000374.8319999999</v>
          </cell>
        </row>
        <row r="142">
          <cell r="F142" t="str">
            <v>C15 Stations Control &amp; Communicaton Systems Total</v>
          </cell>
          <cell r="H142">
            <v>1000374.8319999999</v>
          </cell>
        </row>
        <row r="143">
          <cell r="F143" t="str">
            <v>C16 Downtown Station Load Transfers</v>
          </cell>
          <cell r="H143">
            <v>29340.08247990863</v>
          </cell>
        </row>
        <row r="144">
          <cell r="H144">
            <v>49375.40417335197</v>
          </cell>
        </row>
        <row r="145">
          <cell r="H145">
            <v>84547.8071462252</v>
          </cell>
        </row>
        <row r="146">
          <cell r="H146">
            <v>107040.57512561117</v>
          </cell>
        </row>
        <row r="147">
          <cell r="H147">
            <v>114454.89796676971</v>
          </cell>
        </row>
        <row r="148">
          <cell r="H148">
            <v>4547.38979292202</v>
          </cell>
        </row>
        <row r="149">
          <cell r="H149">
            <v>2025.629907757336</v>
          </cell>
        </row>
        <row r="150">
          <cell r="H150">
            <v>1642438.206602741</v>
          </cell>
        </row>
        <row r="151">
          <cell r="H151">
            <v>99383.59547429292</v>
          </cell>
        </row>
        <row r="152">
          <cell r="H152">
            <v>3909.2403304202994</v>
          </cell>
        </row>
        <row r="153">
          <cell r="F153" t="str">
            <v>C16 Downtown Station Load Transfers Total</v>
          </cell>
          <cell r="H153">
            <v>2137062.8290000004</v>
          </cell>
        </row>
        <row r="154">
          <cell r="F154" t="str">
            <v>C17 Bremner Transformer Station</v>
          </cell>
          <cell r="H154">
            <v>5227492.97237938</v>
          </cell>
        </row>
        <row r="155">
          <cell r="H155">
            <v>5959821.1283337725</v>
          </cell>
        </row>
        <row r="156">
          <cell r="H156">
            <v>30804869.335710462</v>
          </cell>
        </row>
        <row r="157">
          <cell r="H157">
            <v>10448051.356246399</v>
          </cell>
        </row>
        <row r="158">
          <cell r="H158">
            <v>12135251.557199538</v>
          </cell>
        </row>
        <row r="159">
          <cell r="H159">
            <v>3593901.4228886985</v>
          </cell>
        </row>
        <row r="160">
          <cell r="H160">
            <v>522084.0984433209</v>
          </cell>
        </row>
        <row r="161">
          <cell r="H161">
            <v>11327642.845859861</v>
          </cell>
        </row>
        <row r="162">
          <cell r="H162">
            <v>980885.2829385619</v>
          </cell>
        </row>
        <row r="163">
          <cell r="F163" t="str">
            <v>C17 Bremner Transformer Station Total</v>
          </cell>
          <cell r="H163">
            <v>80999999.99999997</v>
          </cell>
        </row>
        <row r="164">
          <cell r="F164" t="str">
            <v>C18 Hydro One Capital Contributions</v>
          </cell>
          <cell r="H164">
            <v>48118000</v>
          </cell>
        </row>
        <row r="165">
          <cell r="F165" t="str">
            <v>C18 Hydro One Capital Contributions Total</v>
          </cell>
          <cell r="H165">
            <v>48118000</v>
          </cell>
        </row>
        <row r="166">
          <cell r="F166" t="str">
            <v>C19 Feeder Automation</v>
          </cell>
          <cell r="H166">
            <v>854434.368777392</v>
          </cell>
        </row>
        <row r="167">
          <cell r="H167">
            <v>401634.7709409921</v>
          </cell>
        </row>
        <row r="168">
          <cell r="H168">
            <v>19067132.457859397</v>
          </cell>
        </row>
        <row r="169">
          <cell r="H169">
            <v>12479.269726481723</v>
          </cell>
        </row>
        <row r="170">
          <cell r="H170">
            <v>272771.5969788861</v>
          </cell>
        </row>
        <row r="171">
          <cell r="H171">
            <v>1079.3999934635367</v>
          </cell>
        </row>
        <row r="172">
          <cell r="H172">
            <v>53020.980723388304</v>
          </cell>
        </row>
        <row r="173">
          <cell r="F173" t="str">
            <v>C19 Feeder Automation Total</v>
          </cell>
          <cell r="H173">
            <v>20662552.845000003</v>
          </cell>
        </row>
        <row r="174">
          <cell r="F174" t="str">
            <v>C20 Wholesale and Smart Metering</v>
          </cell>
          <cell r="H174">
            <v>6296119.258</v>
          </cell>
        </row>
        <row r="175">
          <cell r="H175">
            <v>2107978.686</v>
          </cell>
        </row>
        <row r="176">
          <cell r="F176" t="str">
            <v>C20 Wholesale and Smart Metering Total</v>
          </cell>
          <cell r="H176">
            <v>8404097.944</v>
          </cell>
        </row>
        <row r="177">
          <cell r="F177" t="str">
            <v>C21 Externally-Initiated Plant Relocations and Expansions</v>
          </cell>
          <cell r="H177">
            <v>83203.5682701047</v>
          </cell>
        </row>
        <row r="178">
          <cell r="H178">
            <v>130691.48402948013</v>
          </cell>
        </row>
        <row r="179">
          <cell r="H179">
            <v>16566.71415882688</v>
          </cell>
        </row>
        <row r="180">
          <cell r="H180">
            <v>2590674.2081996803</v>
          </cell>
        </row>
        <row r="181">
          <cell r="H181">
            <v>18814554.876830366</v>
          </cell>
        </row>
        <row r="182">
          <cell r="H182">
            <v>342104.48082608153</v>
          </cell>
        </row>
        <row r="183">
          <cell r="H183">
            <v>55910.74429701199</v>
          </cell>
        </row>
        <row r="184">
          <cell r="H184">
            <v>2625760.3283213098</v>
          </cell>
        </row>
        <row r="185">
          <cell r="H185">
            <v>1009.896788157731</v>
          </cell>
        </row>
        <row r="186">
          <cell r="H186">
            <v>5945.834330277856</v>
          </cell>
        </row>
        <row r="187">
          <cell r="H187">
            <v>2828.4079668334743</v>
          </cell>
        </row>
        <row r="188">
          <cell r="H188">
            <v>163664.10088083922</v>
          </cell>
        </row>
        <row r="189">
          <cell r="H189">
            <v>1154.7799864587992</v>
          </cell>
        </row>
        <row r="190">
          <cell r="H190">
            <v>6020.983324576196</v>
          </cell>
        </row>
        <row r="191">
          <cell r="F191" t="str">
            <v>C21 Externally-Initiated Plant Relocations and Expansions Total</v>
          </cell>
          <cell r="H191">
            <v>24840090.408210002</v>
          </cell>
        </row>
        <row r="192">
          <cell r="F192" t="str">
            <v>Grand Total</v>
          </cell>
          <cell r="H192">
            <v>434058723.3156169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76">
      <selection activeCell="D88" sqref="D88"/>
    </sheetView>
  </sheetViews>
  <sheetFormatPr defaultColWidth="9.140625" defaultRowHeight="15"/>
  <cols>
    <col min="1" max="1" width="39.7109375" style="0" customWidth="1"/>
    <col min="2" max="2" width="36.7109375" style="0" customWidth="1"/>
    <col min="3" max="3" width="19.28125" style="0" customWidth="1"/>
    <col min="4" max="4" width="23.00390625" style="0" customWidth="1"/>
    <col min="5" max="5" width="15.7109375" style="0" customWidth="1"/>
    <col min="6" max="6" width="10.140625" style="0" customWidth="1"/>
  </cols>
  <sheetData>
    <row r="1" spans="3:5" ht="15">
      <c r="C1" s="2">
        <v>2012</v>
      </c>
      <c r="D1" s="2">
        <v>2013</v>
      </c>
      <c r="E1" s="2"/>
    </row>
    <row r="2" ht="15">
      <c r="B2" s="2" t="s">
        <v>13</v>
      </c>
    </row>
    <row r="3" spans="2:6" ht="15">
      <c r="B3" s="1" t="s">
        <v>0</v>
      </c>
      <c r="C3" s="3">
        <f>12326358.4420029+C4</f>
        <v>12743887.751724936</v>
      </c>
      <c r="D3" s="3">
        <f>+F3</f>
        <v>51882315.25308349</v>
      </c>
      <c r="E3" s="3"/>
      <c r="F3" s="3">
        <v>51882315.25308349</v>
      </c>
    </row>
    <row r="4" spans="2:5" ht="15">
      <c r="B4" s="1" t="s">
        <v>1</v>
      </c>
      <c r="C4" s="3">
        <v>417529.30972203694</v>
      </c>
      <c r="D4" s="3">
        <v>1689702.2872356158</v>
      </c>
      <c r="E4" s="3"/>
    </row>
    <row r="5" spans="2:5" ht="15">
      <c r="B5" s="1" t="s">
        <v>2</v>
      </c>
      <c r="C5" s="3">
        <v>1019511.0201379926</v>
      </c>
      <c r="D5" s="3">
        <v>4150585.22024668</v>
      </c>
      <c r="E5" s="3"/>
    </row>
    <row r="6" spans="3:5" ht="15">
      <c r="C6" s="3"/>
      <c r="D6" s="3"/>
      <c r="E6" s="3"/>
    </row>
    <row r="7" spans="2:5" ht="15">
      <c r="B7" s="2" t="s">
        <v>14</v>
      </c>
      <c r="C7" s="3"/>
      <c r="D7" s="3"/>
      <c r="E7" s="3"/>
    </row>
    <row r="8" spans="2:6" ht="15">
      <c r="B8" s="1" t="s">
        <v>0</v>
      </c>
      <c r="C8" s="3">
        <f>34985.1675039704+C9</f>
        <v>35882.22308099528</v>
      </c>
      <c r="D8" s="3">
        <f>+F8</f>
        <v>3343115.1453457624</v>
      </c>
      <c r="E8" s="3"/>
      <c r="F8" s="3">
        <v>3343115.1453457624</v>
      </c>
    </row>
    <row r="9" spans="2:5" ht="15">
      <c r="B9" s="1" t="s">
        <v>1</v>
      </c>
      <c r="C9" s="3">
        <v>897.0555770248834</v>
      </c>
      <c r="D9" s="3">
        <v>91138.42616392495</v>
      </c>
      <c r="E9" s="3"/>
    </row>
    <row r="10" spans="2:5" ht="15">
      <c r="B10" s="1" t="s">
        <v>2</v>
      </c>
      <c r="C10" s="3">
        <v>2870.5778464796267</v>
      </c>
      <c r="D10" s="3">
        <v>267449.211627661</v>
      </c>
      <c r="E10" s="3"/>
    </row>
    <row r="11" spans="3:5" ht="15">
      <c r="C11" s="3"/>
      <c r="D11" s="3"/>
      <c r="E11" s="3"/>
    </row>
    <row r="12" spans="2:5" ht="15">
      <c r="B12" s="2" t="s">
        <v>15</v>
      </c>
      <c r="C12" s="3"/>
      <c r="D12" s="3"/>
      <c r="E12" s="3"/>
    </row>
    <row r="13" spans="2:6" ht="15">
      <c r="B13" s="1" t="s">
        <v>0</v>
      </c>
      <c r="C13" s="3">
        <f>5899256.26624225+C14</f>
        <v>6050519.247427949</v>
      </c>
      <c r="D13" s="3">
        <f>+F13</f>
        <v>17734624.83219049</v>
      </c>
      <c r="E13" s="3"/>
      <c r="F13" s="3">
        <v>17734624.83219049</v>
      </c>
    </row>
    <row r="14" spans="2:5" ht="15">
      <c r="B14" s="1" t="s">
        <v>1</v>
      </c>
      <c r="C14" s="3">
        <v>151262.98118569874</v>
      </c>
      <c r="D14" s="3">
        <v>443365.6208047623</v>
      </c>
      <c r="E14" s="3"/>
    </row>
    <row r="15" spans="2:5" ht="15">
      <c r="B15" s="1" t="s">
        <v>2</v>
      </c>
      <c r="C15" s="3">
        <v>484041.53979423596</v>
      </c>
      <c r="D15" s="3">
        <v>1418769.9865752393</v>
      </c>
      <c r="E15" s="3"/>
    </row>
    <row r="16" spans="3:5" ht="15">
      <c r="C16" s="3"/>
      <c r="D16" s="3"/>
      <c r="E16" s="3"/>
    </row>
    <row r="17" spans="2:5" ht="15">
      <c r="B17" s="2" t="s">
        <v>16</v>
      </c>
      <c r="C17" s="3"/>
      <c r="D17" s="3"/>
      <c r="E17" s="3"/>
    </row>
    <row r="18" spans="2:6" ht="15">
      <c r="B18" s="1" t="s">
        <v>0</v>
      </c>
      <c r="C18" s="33">
        <f>3914974.00466572+C19</f>
        <v>4020819.5962586654</v>
      </c>
      <c r="D18" s="33">
        <f>+F18</f>
        <v>39056807.44485035</v>
      </c>
      <c r="E18" s="3"/>
      <c r="F18" s="3">
        <v>39056807.44485035</v>
      </c>
    </row>
    <row r="19" spans="2:5" ht="15">
      <c r="B19" s="1" t="s">
        <v>1</v>
      </c>
      <c r="C19" s="3">
        <v>105845.59159294586</v>
      </c>
      <c r="D19" s="3">
        <v>1048727.3393157246</v>
      </c>
      <c r="E19" s="3"/>
    </row>
    <row r="20" spans="2:5" ht="15">
      <c r="B20" s="1" t="s">
        <v>2</v>
      </c>
      <c r="C20" s="3">
        <v>321665.56770069315</v>
      </c>
      <c r="D20" s="3">
        <v>3124544.595588029</v>
      </c>
      <c r="E20" s="3"/>
    </row>
    <row r="21" spans="3:5" ht="15">
      <c r="C21" s="3"/>
      <c r="D21" s="3"/>
      <c r="E21" s="3"/>
    </row>
    <row r="22" spans="2:5" ht="15">
      <c r="B22" s="2" t="s">
        <v>17</v>
      </c>
      <c r="C22" s="3"/>
      <c r="D22" s="3"/>
      <c r="E22" s="3"/>
    </row>
    <row r="23" spans="2:6" ht="15">
      <c r="B23" s="1" t="s">
        <v>0</v>
      </c>
      <c r="C23" s="3">
        <f>251837.813072244+C24</f>
        <v>258384.12722619422</v>
      </c>
      <c r="D23" s="3">
        <f>+F23</f>
        <v>14347887.593175236</v>
      </c>
      <c r="E23" s="3"/>
      <c r="F23" s="3">
        <v>14347887.593175236</v>
      </c>
    </row>
    <row r="24" spans="2:5" ht="15">
      <c r="B24" s="1" t="s">
        <v>1</v>
      </c>
      <c r="C24" s="3">
        <v>6546.314153950234</v>
      </c>
      <c r="D24" s="3">
        <v>369276.63610981667</v>
      </c>
      <c r="E24" s="3"/>
    </row>
    <row r="25" spans="2:5" ht="15">
      <c r="B25" s="1" t="s">
        <v>2</v>
      </c>
      <c r="C25" s="3">
        <v>20670.73017809552</v>
      </c>
      <c r="D25" s="3">
        <v>1147831.0074540188</v>
      </c>
      <c r="E25" s="3"/>
    </row>
    <row r="26" spans="3:5" ht="15">
      <c r="C26" s="3"/>
      <c r="D26" s="3"/>
      <c r="E26" s="3"/>
    </row>
    <row r="27" spans="2:5" ht="15">
      <c r="B27" s="2" t="s">
        <v>18</v>
      </c>
      <c r="C27" s="3"/>
      <c r="D27" s="3"/>
      <c r="E27" s="3"/>
    </row>
    <row r="28" spans="2:6" ht="15">
      <c r="B28" s="1" t="s">
        <v>0</v>
      </c>
      <c r="C28" s="3">
        <f>7042931.83930945+C29</f>
        <v>7249780.813734435</v>
      </c>
      <c r="D28" s="3">
        <f>+F28</f>
        <v>27016189.263367396</v>
      </c>
      <c r="E28" s="3"/>
      <c r="F28" s="3">
        <v>27016189.263367396</v>
      </c>
    </row>
    <row r="29" spans="2:5" ht="15">
      <c r="B29" s="1" t="s">
        <v>1</v>
      </c>
      <c r="C29" s="3">
        <v>206848.97442498428</v>
      </c>
      <c r="D29" s="3">
        <v>797271.2643364499</v>
      </c>
      <c r="E29" s="3"/>
    </row>
    <row r="30" spans="2:5" ht="15">
      <c r="B30" s="1" t="s">
        <v>2</v>
      </c>
      <c r="C30" s="3">
        <v>579982.465098755</v>
      </c>
      <c r="D30" s="3">
        <v>2161295.1410693913</v>
      </c>
      <c r="E30" s="3"/>
    </row>
    <row r="31" spans="3:5" ht="15">
      <c r="C31" s="3"/>
      <c r="D31" s="3"/>
      <c r="E31" s="3"/>
    </row>
    <row r="32" spans="2:5" ht="15">
      <c r="B32" s="2" t="s">
        <v>19</v>
      </c>
      <c r="C32" s="3"/>
      <c r="D32" s="3"/>
      <c r="E32" s="3"/>
    </row>
    <row r="33" spans="2:5" ht="15">
      <c r="B33" s="1" t="s">
        <v>0</v>
      </c>
      <c r="C33" s="3"/>
      <c r="D33" s="3"/>
      <c r="E33" s="3"/>
    </row>
    <row r="34" spans="2:5" ht="15">
      <c r="B34" s="1" t="s">
        <v>1</v>
      </c>
      <c r="C34" s="3"/>
      <c r="D34" s="3"/>
      <c r="E34" s="3"/>
    </row>
    <row r="35" spans="2:5" ht="15">
      <c r="B35" s="1" t="s">
        <v>2</v>
      </c>
      <c r="C35" s="3"/>
      <c r="D35" s="3"/>
      <c r="E35" s="3"/>
    </row>
    <row r="36" spans="3:5" ht="15">
      <c r="C36" s="3"/>
      <c r="D36" s="3"/>
      <c r="E36" s="3"/>
    </row>
    <row r="37" spans="2:5" ht="15">
      <c r="B37" s="2" t="s">
        <v>20</v>
      </c>
      <c r="C37" s="3"/>
      <c r="D37" s="3"/>
      <c r="E37" s="3"/>
    </row>
    <row r="38" spans="2:5" ht="15">
      <c r="B38" s="1" t="s">
        <v>0</v>
      </c>
      <c r="C38" s="3"/>
      <c r="D38" s="3"/>
      <c r="E38" s="3"/>
    </row>
    <row r="39" spans="2:5" ht="15">
      <c r="B39" s="1" t="s">
        <v>1</v>
      </c>
      <c r="C39" s="3"/>
      <c r="D39" s="3"/>
      <c r="E39" s="3"/>
    </row>
    <row r="40" spans="2:5" ht="15">
      <c r="B40" s="1" t="s">
        <v>2</v>
      </c>
      <c r="C40" s="3"/>
      <c r="D40" s="3"/>
      <c r="E40" s="3"/>
    </row>
    <row r="41" spans="3:5" ht="15">
      <c r="C41" s="3"/>
      <c r="D41" s="3"/>
      <c r="E41" s="3"/>
    </row>
    <row r="42" spans="2:5" ht="15">
      <c r="B42" s="2" t="s">
        <v>21</v>
      </c>
      <c r="C42" s="3"/>
      <c r="D42" s="3"/>
      <c r="E42" s="3"/>
    </row>
    <row r="43" spans="2:6" ht="15">
      <c r="B43" s="1" t="s">
        <v>0</v>
      </c>
      <c r="C43" s="3">
        <f>1215566.23345761+C44</f>
        <v>1257902.3507560047</v>
      </c>
      <c r="D43" s="3">
        <f>+F43</f>
        <v>12998143.84067981</v>
      </c>
      <c r="E43" s="3"/>
      <c r="F43" s="3">
        <v>12998143.84067981</v>
      </c>
    </row>
    <row r="44" spans="2:5" ht="15">
      <c r="B44" s="1" t="s">
        <v>1</v>
      </c>
      <c r="C44" s="3">
        <v>42336.11729839478</v>
      </c>
      <c r="D44" s="3">
        <v>432202.7510836641</v>
      </c>
      <c r="E44" s="3"/>
    </row>
    <row r="45" spans="2:5" ht="15">
      <c r="B45" s="1" t="s">
        <v>2</v>
      </c>
      <c r="C45" s="3">
        <v>100632.18806048042</v>
      </c>
      <c r="D45" s="3">
        <v>1039851.5072543848</v>
      </c>
      <c r="E45" s="3"/>
    </row>
    <row r="46" spans="3:5" ht="15">
      <c r="C46" s="3"/>
      <c r="D46" s="3"/>
      <c r="E46" s="3"/>
    </row>
    <row r="47" spans="2:5" ht="15">
      <c r="B47" s="2" t="s">
        <v>22</v>
      </c>
      <c r="C47" s="3"/>
      <c r="D47" s="3"/>
      <c r="E47" s="3"/>
    </row>
    <row r="48" spans="2:6" ht="15">
      <c r="B48" s="1" t="s">
        <v>0</v>
      </c>
      <c r="C48" s="3">
        <f>622194.915593381+C49</f>
        <v>653486.6370587121</v>
      </c>
      <c r="D48" s="3">
        <f>+F48</f>
        <v>5515081.617127325</v>
      </c>
      <c r="E48" s="3"/>
      <c r="F48" s="3">
        <v>5515081.617127325</v>
      </c>
    </row>
    <row r="49" spans="2:5" ht="15">
      <c r="B49" s="1" t="s">
        <v>1</v>
      </c>
      <c r="C49" s="3">
        <v>31291.721465331022</v>
      </c>
      <c r="D49" s="3">
        <v>264832.40715410054</v>
      </c>
      <c r="E49" s="3"/>
    </row>
    <row r="50" spans="2:5" ht="15">
      <c r="B50" s="1" t="s">
        <v>2</v>
      </c>
      <c r="C50" s="3">
        <v>52278.93096469694</v>
      </c>
      <c r="D50" s="3">
        <v>441206.52937018604</v>
      </c>
      <c r="E50" s="3"/>
    </row>
    <row r="51" spans="3:5" ht="15">
      <c r="C51" s="3"/>
      <c r="D51" s="3"/>
      <c r="E51" s="3"/>
    </row>
    <row r="52" spans="2:5" ht="15">
      <c r="B52" s="2" t="s">
        <v>37</v>
      </c>
      <c r="C52" s="3"/>
      <c r="D52" s="3"/>
      <c r="E52" s="3"/>
    </row>
    <row r="53" spans="2:6" ht="15">
      <c r="B53" s="1" t="s">
        <v>0</v>
      </c>
      <c r="C53" s="3"/>
      <c r="D53" s="3">
        <f>+F53</f>
        <v>1986018.6318785495</v>
      </c>
      <c r="E53" s="3"/>
      <c r="F53" s="3">
        <v>1986018.6318785495</v>
      </c>
    </row>
    <row r="54" spans="2:5" ht="15">
      <c r="B54" s="1" t="s">
        <v>1</v>
      </c>
      <c r="C54" s="3"/>
      <c r="D54" s="3">
        <v>89201.49951236528</v>
      </c>
      <c r="E54" s="3"/>
    </row>
    <row r="55" spans="2:5" ht="15">
      <c r="B55" s="1" t="s">
        <v>2</v>
      </c>
      <c r="C55" s="3"/>
      <c r="D55" s="3">
        <v>158881.49055028395</v>
      </c>
      <c r="E55" s="3"/>
    </row>
    <row r="56" spans="3:5" ht="15">
      <c r="C56" s="3"/>
      <c r="D56" s="3"/>
      <c r="E56" s="3"/>
    </row>
    <row r="57" spans="2:5" ht="15">
      <c r="B57" s="2" t="s">
        <v>23</v>
      </c>
      <c r="C57" s="3"/>
      <c r="D57" s="3"/>
      <c r="E57" s="3"/>
    </row>
    <row r="58" spans="2:6" ht="15">
      <c r="B58" s="1" t="s">
        <v>0</v>
      </c>
      <c r="C58" s="3">
        <f>161241.830386813+C59</f>
        <v>166443.17975412955</v>
      </c>
      <c r="D58" s="3">
        <f>+F58</f>
        <v>2328435.5315358955</v>
      </c>
      <c r="E58" s="3"/>
      <c r="F58" s="3">
        <v>2328435.5315358955</v>
      </c>
    </row>
    <row r="59" spans="2:5" ht="15">
      <c r="B59" s="1" t="s">
        <v>1</v>
      </c>
      <c r="C59" s="3">
        <v>5201.3493673165585</v>
      </c>
      <c r="D59" s="3">
        <v>72825.39470356054</v>
      </c>
      <c r="E59" s="3"/>
    </row>
    <row r="60" spans="2:5" ht="15">
      <c r="B60" s="1" t="s">
        <v>2</v>
      </c>
      <c r="C60" s="3">
        <v>13315.45438033039</v>
      </c>
      <c r="D60" s="3">
        <v>186095.8602086182</v>
      </c>
      <c r="E60" s="3"/>
    </row>
    <row r="61" spans="3:5" ht="15">
      <c r="C61" s="3"/>
      <c r="D61" s="3"/>
      <c r="E61" s="3"/>
    </row>
    <row r="62" spans="2:5" ht="15">
      <c r="B62" s="2" t="s">
        <v>36</v>
      </c>
      <c r="C62" s="3"/>
      <c r="D62" s="3"/>
      <c r="E62" s="3"/>
    </row>
    <row r="63" spans="2:6" ht="15">
      <c r="B63" s="1" t="s">
        <v>0</v>
      </c>
      <c r="C63" s="3">
        <f>746192.538517072+C64</f>
        <v>765728.212071787</v>
      </c>
      <c r="D63" s="3">
        <f>+F63</f>
        <v>9158170.62286094</v>
      </c>
      <c r="E63" s="3"/>
      <c r="F63" s="3">
        <v>9158170.62286094</v>
      </c>
    </row>
    <row r="64" spans="2:5" ht="15">
      <c r="B64" s="1" t="s">
        <v>1</v>
      </c>
      <c r="C64" s="3">
        <v>19535.673554715024</v>
      </c>
      <c r="D64" s="3">
        <v>233737.26436087882</v>
      </c>
      <c r="E64" s="3"/>
    </row>
    <row r="65" spans="2:5" ht="15">
      <c r="B65" s="1" t="s">
        <v>2</v>
      </c>
      <c r="C65" s="3">
        <v>61947.93980094951</v>
      </c>
      <c r="D65" s="3">
        <v>736601.1303699363</v>
      </c>
      <c r="E65" s="3"/>
    </row>
    <row r="66" spans="3:5" ht="15">
      <c r="C66" s="3"/>
      <c r="D66" s="3"/>
      <c r="E66" s="3"/>
    </row>
    <row r="67" spans="2:5" ht="15">
      <c r="B67" s="2" t="s">
        <v>24</v>
      </c>
      <c r="C67" s="3"/>
      <c r="D67" s="3"/>
      <c r="E67" s="3"/>
    </row>
    <row r="68" spans="2:5" ht="15">
      <c r="B68" s="1" t="s">
        <v>0</v>
      </c>
      <c r="C68" s="3"/>
      <c r="D68" s="3"/>
      <c r="E68" s="3"/>
    </row>
    <row r="69" spans="2:5" ht="15">
      <c r="B69" s="1" t="s">
        <v>1</v>
      </c>
      <c r="C69" s="3"/>
      <c r="D69" s="3"/>
      <c r="E69" s="3"/>
    </row>
    <row r="70" spans="2:5" ht="15">
      <c r="B70" s="1" t="s">
        <v>2</v>
      </c>
      <c r="C70" s="3"/>
      <c r="D70" s="3"/>
      <c r="E70" s="3"/>
    </row>
    <row r="71" spans="3:5" ht="15">
      <c r="C71" s="3"/>
      <c r="D71" s="3"/>
      <c r="E71" s="3"/>
    </row>
    <row r="72" spans="2:5" ht="15">
      <c r="B72" s="2" t="s">
        <v>25</v>
      </c>
      <c r="C72" s="3"/>
      <c r="D72" s="3"/>
      <c r="E72" s="3"/>
    </row>
    <row r="73" spans="2:5" ht="15">
      <c r="B73" s="1" t="s">
        <v>0</v>
      </c>
      <c r="C73" s="3"/>
      <c r="D73" s="3"/>
      <c r="E73" s="3"/>
    </row>
    <row r="74" spans="2:5" ht="15">
      <c r="B74" s="1" t="s">
        <v>1</v>
      </c>
      <c r="C74" s="3"/>
      <c r="D74" s="3"/>
      <c r="E74" s="3"/>
    </row>
    <row r="75" spans="2:5" ht="15">
      <c r="B75" s="1" t="s">
        <v>2</v>
      </c>
      <c r="C75" s="3"/>
      <c r="D75" s="3"/>
      <c r="E75" s="3"/>
    </row>
    <row r="76" spans="3:5" ht="15">
      <c r="C76" s="3"/>
      <c r="D76" s="3"/>
      <c r="E76" s="3"/>
    </row>
    <row r="77" spans="2:5" ht="15">
      <c r="B77" s="2" t="s">
        <v>26</v>
      </c>
      <c r="C77" s="3"/>
      <c r="D77" s="3"/>
      <c r="E77" s="3"/>
    </row>
    <row r="78" spans="2:5" ht="15">
      <c r="B78" s="1" t="s">
        <v>0</v>
      </c>
      <c r="C78" s="3"/>
      <c r="D78" s="3"/>
      <c r="E78" s="3"/>
    </row>
    <row r="79" spans="2:5" ht="15">
      <c r="B79" s="1" t="s">
        <v>1</v>
      </c>
      <c r="C79" s="3"/>
      <c r="D79" s="3"/>
      <c r="E79" s="3"/>
    </row>
    <row r="80" spans="2:5" ht="15">
      <c r="B80" s="1" t="s">
        <v>2</v>
      </c>
      <c r="C80" s="3"/>
      <c r="D80" s="3"/>
      <c r="E80" s="3"/>
    </row>
    <row r="81" spans="3:5" ht="15">
      <c r="C81" s="3"/>
      <c r="D81" s="3"/>
      <c r="E81" s="3"/>
    </row>
    <row r="82" spans="2:5" ht="15">
      <c r="B82" s="2" t="s">
        <v>27</v>
      </c>
      <c r="C82" s="3"/>
      <c r="D82" s="3"/>
      <c r="E82" s="3"/>
    </row>
    <row r="83" spans="2:6" ht="15">
      <c r="B83" s="1" t="s">
        <v>0</v>
      </c>
      <c r="C83" s="3"/>
      <c r="D83" s="3">
        <f>1940468.857+494072.713</f>
        <v>2434541.5700000003</v>
      </c>
      <c r="E83" s="3"/>
      <c r="F83" s="3">
        <v>2434541.5699999994</v>
      </c>
    </row>
    <row r="84" spans="2:5" ht="15">
      <c r="B84" s="1" t="s">
        <v>1</v>
      </c>
      <c r="C84" s="3"/>
      <c r="D84" s="3">
        <v>494072.713</v>
      </c>
      <c r="E84" s="3"/>
    </row>
    <row r="85" spans="2:5" ht="15">
      <c r="B85" s="1" t="s">
        <v>2</v>
      </c>
      <c r="C85" s="3"/>
      <c r="D85" s="3">
        <v>194763.32559999998</v>
      </c>
      <c r="E85" s="3"/>
    </row>
    <row r="86" spans="3:5" ht="15">
      <c r="C86" s="3"/>
      <c r="D86" s="3"/>
      <c r="E86" s="3"/>
    </row>
    <row r="87" spans="2:5" ht="15">
      <c r="B87" s="2" t="s">
        <v>28</v>
      </c>
      <c r="C87" s="3"/>
      <c r="D87" s="3"/>
      <c r="E87" s="3"/>
    </row>
    <row r="88" spans="2:5" ht="15">
      <c r="B88" s="1" t="s">
        <v>0</v>
      </c>
      <c r="C88" s="3"/>
      <c r="D88" s="3"/>
      <c r="E88" s="3"/>
    </row>
    <row r="89" spans="2:5" ht="15">
      <c r="B89" s="1" t="s">
        <v>1</v>
      </c>
      <c r="C89" s="3"/>
      <c r="D89" s="3"/>
      <c r="E89" s="3"/>
    </row>
    <row r="90" spans="2:5" ht="15">
      <c r="B90" s="1" t="s">
        <v>2</v>
      </c>
      <c r="C90" s="3"/>
      <c r="D90" s="3"/>
      <c r="E90" s="3"/>
    </row>
    <row r="91" spans="3:5" ht="15">
      <c r="C91" s="3"/>
      <c r="D91" s="3"/>
      <c r="E91" s="3"/>
    </row>
    <row r="92" spans="2:5" ht="15">
      <c r="B92" s="2" t="s">
        <v>29</v>
      </c>
      <c r="C92" s="3"/>
      <c r="D92" s="3"/>
      <c r="E92" s="3"/>
    </row>
    <row r="93" spans="2:5" ht="15">
      <c r="B93" s="1" t="s">
        <v>0</v>
      </c>
      <c r="C93" s="3"/>
      <c r="D93" s="3"/>
      <c r="E93" s="3"/>
    </row>
    <row r="94" spans="2:5" ht="15">
      <c r="B94" s="1" t="s">
        <v>1</v>
      </c>
      <c r="C94" s="3"/>
      <c r="D94" s="3"/>
      <c r="E94" s="3"/>
    </row>
    <row r="95" spans="2:5" ht="15">
      <c r="B95" s="1" t="s">
        <v>2</v>
      </c>
      <c r="C95" s="3"/>
      <c r="D95" s="3"/>
      <c r="E95" s="3"/>
    </row>
    <row r="96" spans="3:5" ht="15">
      <c r="C96" s="3"/>
      <c r="D96" s="3"/>
      <c r="E96" s="3"/>
    </row>
    <row r="97" spans="2:5" ht="15">
      <c r="B97" s="2" t="s">
        <v>35</v>
      </c>
      <c r="C97" s="3"/>
      <c r="D97" s="3"/>
      <c r="E97" s="3"/>
    </row>
    <row r="98" spans="2:6" ht="15">
      <c r="B98" s="1" t="s">
        <v>0</v>
      </c>
      <c r="C98" s="3">
        <f>1972015.55834275+C99</f>
        <v>2100423.652477862</v>
      </c>
      <c r="D98" s="3">
        <f>+F98</f>
        <v>7753464.365292189</v>
      </c>
      <c r="E98" s="3"/>
      <c r="F98" s="3">
        <v>7753464.365292189</v>
      </c>
    </row>
    <row r="99" spans="2:5" ht="15">
      <c r="B99" s="1" t="s">
        <v>1</v>
      </c>
      <c r="C99" s="3">
        <v>128408.09413511211</v>
      </c>
      <c r="D99" s="3">
        <v>400117.0064116877</v>
      </c>
      <c r="E99" s="3"/>
    </row>
    <row r="100" spans="2:5" ht="15">
      <c r="B100" s="1" t="s">
        <v>2</v>
      </c>
      <c r="C100" s="3">
        <v>168033.89219822903</v>
      </c>
      <c r="D100" s="3">
        <v>620277.1492233751</v>
      </c>
      <c r="E100" s="3"/>
    </row>
    <row r="101" spans="3:5" ht="15">
      <c r="C101" s="3"/>
      <c r="D101" s="3"/>
      <c r="E101" s="3"/>
    </row>
    <row r="102" spans="2:5" ht="15">
      <c r="B102" s="2" t="s">
        <v>30</v>
      </c>
      <c r="C102" s="3"/>
      <c r="D102" s="3"/>
      <c r="E102" s="3"/>
    </row>
    <row r="103" spans="2:6" ht="15">
      <c r="B103" s="1" t="s">
        <v>0</v>
      </c>
      <c r="C103" s="3">
        <f>4371331.00504895+C104</f>
        <v>4504634.976473078</v>
      </c>
      <c r="D103" s="3">
        <f>+F103</f>
        <v>20776815.769061323</v>
      </c>
      <c r="E103" s="3"/>
      <c r="F103" s="3">
        <v>20776815.769061323</v>
      </c>
    </row>
    <row r="104" spans="2:5" ht="15">
      <c r="B104" s="1" t="s">
        <v>1</v>
      </c>
      <c r="C104" s="3">
        <v>133303.97142412828</v>
      </c>
      <c r="D104" s="3">
        <v>636017.2827086835</v>
      </c>
      <c r="E104" s="3"/>
    </row>
    <row r="105" spans="2:5" ht="15">
      <c r="B105" s="1" t="s">
        <v>2</v>
      </c>
      <c r="C105" s="3">
        <v>360370.7981178464</v>
      </c>
      <c r="D105" s="3">
        <v>1662145.2615249061</v>
      </c>
      <c r="E105" s="3"/>
    </row>
    <row r="106" spans="3:5" ht="15">
      <c r="C106" s="3"/>
      <c r="D106" s="3"/>
      <c r="E106" s="3"/>
    </row>
    <row r="107" spans="2:5" ht="15">
      <c r="B107" s="39" t="s">
        <v>34</v>
      </c>
      <c r="C107" s="3"/>
      <c r="D107" s="3"/>
      <c r="E107" s="3"/>
    </row>
    <row r="108" spans="2:6" ht="15">
      <c r="B108" s="1" t="s">
        <v>0</v>
      </c>
      <c r="C108" s="3">
        <f>3570088.92412558+C109</f>
        <v>3685733.009010446</v>
      </c>
      <c r="D108" s="3">
        <f>+F108</f>
        <v>4630259.128657421</v>
      </c>
      <c r="E108" s="3"/>
      <c r="F108" s="3">
        <v>4630259.128657421</v>
      </c>
    </row>
    <row r="109" spans="2:5" ht="15">
      <c r="B109" s="1" t="s">
        <v>1</v>
      </c>
      <c r="C109" s="3">
        <v>115644.0848848656</v>
      </c>
      <c r="D109" s="3">
        <v>145279.67120905052</v>
      </c>
      <c r="E109" s="3"/>
    </row>
    <row r="110" spans="2:5" ht="15">
      <c r="B110" s="1" t="s">
        <v>2</v>
      </c>
      <c r="C110" s="3">
        <v>294922.497089163</v>
      </c>
      <c r="D110" s="3">
        <v>370500.95084347075</v>
      </c>
      <c r="E110" s="3"/>
    </row>
    <row r="111" spans="2:5" ht="15.75" thickBot="1">
      <c r="B111" s="1"/>
      <c r="C111" s="3"/>
      <c r="D111" s="3"/>
      <c r="E111" s="3"/>
    </row>
    <row r="112" spans="3:5" ht="15">
      <c r="C112" s="40">
        <f aca="true" t="shared" si="0" ref="C112:D114">+C3+C8+C13+C18+C23+C28+C33+C38+C43+C48+C53+C58+C63+C68+C73+C78+C83+C88+C93+C98+C103+C108</f>
        <v>43493625.7770552</v>
      </c>
      <c r="D112" s="41">
        <f t="shared" si="0"/>
        <v>220961870.60910618</v>
      </c>
      <c r="E112" s="42"/>
    </row>
    <row r="113" spans="3:5" ht="15">
      <c r="C113" s="43">
        <f t="shared" si="0"/>
        <v>1364651.2387865041</v>
      </c>
      <c r="D113" s="44">
        <f t="shared" si="0"/>
        <v>7207767.564110285</v>
      </c>
      <c r="E113" s="45"/>
    </row>
    <row r="114" spans="3:5" ht="15">
      <c r="C114" s="43">
        <f t="shared" si="0"/>
        <v>3480243.6013679476</v>
      </c>
      <c r="D114" s="44">
        <f t="shared" si="0"/>
        <v>17680798.36750618</v>
      </c>
      <c r="E114" s="45"/>
    </row>
    <row r="115" spans="3:5" ht="15">
      <c r="C115" s="43">
        <f aca="true" t="shared" si="1" ref="C115:D117">+C112/2</f>
        <v>21746812.8885276</v>
      </c>
      <c r="D115" s="44">
        <f t="shared" si="1"/>
        <v>110480935.30455309</v>
      </c>
      <c r="E115" s="45"/>
    </row>
    <row r="116" spans="3:5" ht="15">
      <c r="C116" s="43">
        <f t="shared" si="1"/>
        <v>682325.6193932521</v>
      </c>
      <c r="D116" s="44">
        <f t="shared" si="1"/>
        <v>3603883.7820551423</v>
      </c>
      <c r="E116" s="45"/>
    </row>
    <row r="117" spans="2:5" ht="15.75" thickBot="1">
      <c r="B117" t="s">
        <v>45</v>
      </c>
      <c r="C117" s="46">
        <f t="shared" si="1"/>
        <v>1740121.8006839738</v>
      </c>
      <c r="D117" s="47">
        <f t="shared" si="1"/>
        <v>8840399.18375309</v>
      </c>
      <c r="E117" s="48"/>
    </row>
    <row r="118" spans="2:5" ht="15">
      <c r="B118" s="2" t="s">
        <v>10</v>
      </c>
      <c r="C118" s="3">
        <v>0</v>
      </c>
      <c r="D118" s="3">
        <v>0</v>
      </c>
      <c r="E118" s="3"/>
    </row>
    <row r="119" spans="2:5" ht="15">
      <c r="B119" s="2"/>
      <c r="C119" s="3"/>
      <c r="D119" s="3"/>
      <c r="E119" s="3"/>
    </row>
    <row r="120" spans="2:5" s="92" customFormat="1" ht="15">
      <c r="B120" s="2"/>
      <c r="C120" s="3"/>
      <c r="D120" s="3"/>
      <c r="E120" s="3"/>
    </row>
    <row r="121" spans="2:5" s="92" customFormat="1" ht="15">
      <c r="B121" s="2"/>
      <c r="C121" s="3"/>
      <c r="D121" s="3"/>
      <c r="E121" s="3"/>
    </row>
    <row r="122" spans="2:5" ht="13.5" customHeight="1">
      <c r="B122" s="2"/>
      <c r="C122" s="3"/>
      <c r="D122" s="3"/>
      <c r="E122" s="3"/>
    </row>
    <row r="123" spans="2:5" ht="15">
      <c r="B123" s="2"/>
      <c r="C123" s="3"/>
      <c r="D123" s="3"/>
      <c r="E123" s="3"/>
    </row>
    <row r="124" spans="2:5" ht="15">
      <c r="B124" s="2"/>
      <c r="C124" s="3"/>
      <c r="D124" s="3"/>
      <c r="E124" s="3"/>
    </row>
    <row r="125" spans="1:5" ht="15.75">
      <c r="A125" s="61" t="s">
        <v>46</v>
      </c>
      <c r="B125" s="80"/>
      <c r="C125" s="84">
        <v>28999447.383639436</v>
      </c>
      <c r="D125" s="87">
        <v>87751163.654425</v>
      </c>
      <c r="E125" s="3"/>
    </row>
    <row r="126" spans="1:5" ht="15.75">
      <c r="A126" s="63" t="s">
        <v>46</v>
      </c>
      <c r="B126" s="81" t="s">
        <v>38</v>
      </c>
      <c r="C126" s="83">
        <v>0</v>
      </c>
      <c r="D126" s="86">
        <v>0</v>
      </c>
      <c r="E126" s="3"/>
    </row>
    <row r="127" spans="1:5" ht="31.5">
      <c r="A127" s="63" t="s">
        <v>46</v>
      </c>
      <c r="B127" s="81" t="s">
        <v>39</v>
      </c>
      <c r="C127" s="83">
        <v>0</v>
      </c>
      <c r="D127" s="86">
        <v>0</v>
      </c>
      <c r="E127" s="3"/>
    </row>
    <row r="128" spans="1:5" ht="15.75">
      <c r="A128" s="63" t="s">
        <v>46</v>
      </c>
      <c r="B128" s="81" t="s">
        <v>40</v>
      </c>
      <c r="C128" s="83">
        <v>0</v>
      </c>
      <c r="D128" s="86">
        <v>0</v>
      </c>
      <c r="E128" s="3"/>
    </row>
    <row r="129" spans="1:5" ht="15.75">
      <c r="A129" s="63" t="s">
        <v>46</v>
      </c>
      <c r="B129" s="81" t="s">
        <v>41</v>
      </c>
      <c r="C129" s="82">
        <v>2193540.447253665</v>
      </c>
      <c r="D129" s="85">
        <v>6172084.587946154</v>
      </c>
      <c r="E129" s="3"/>
    </row>
    <row r="130" spans="1:5" ht="15.75">
      <c r="A130" s="63" t="s">
        <v>46</v>
      </c>
      <c r="B130" s="81" t="s">
        <v>42</v>
      </c>
      <c r="C130" s="82">
        <v>11182527.01615048</v>
      </c>
      <c r="D130" s="85">
        <v>37601080.58570169</v>
      </c>
      <c r="E130" s="3"/>
    </row>
    <row r="131" spans="1:5" ht="15.75">
      <c r="A131" s="63" t="s">
        <v>46</v>
      </c>
      <c r="B131" s="81" t="s">
        <v>43</v>
      </c>
      <c r="C131" s="82">
        <v>11370597.420457775</v>
      </c>
      <c r="D131" s="85">
        <v>32682763.073090278</v>
      </c>
      <c r="E131" s="3"/>
    </row>
    <row r="132" spans="1:5" ht="15.75">
      <c r="A132" s="63" t="s">
        <v>46</v>
      </c>
      <c r="B132" s="81" t="s">
        <v>44</v>
      </c>
      <c r="C132" s="82">
        <v>4252782.4997775145</v>
      </c>
      <c r="D132" s="85">
        <v>11295235.407686872</v>
      </c>
      <c r="E132" s="3"/>
    </row>
    <row r="133" spans="1:5" ht="15.75">
      <c r="A133" s="62" t="s">
        <v>47</v>
      </c>
      <c r="B133" s="79"/>
      <c r="C133" s="82">
        <v>9253446.236154502</v>
      </c>
      <c r="D133" s="85">
        <v>21469477.00750414</v>
      </c>
      <c r="E133" s="3"/>
    </row>
    <row r="134" spans="1:5" ht="15.75">
      <c r="A134" s="62" t="s">
        <v>48</v>
      </c>
      <c r="B134" s="79"/>
      <c r="C134" s="83">
        <v>288354.49</v>
      </c>
      <c r="D134" s="86">
        <v>760516.4587779162</v>
      </c>
      <c r="E134" s="3"/>
    </row>
    <row r="135" spans="1:5" ht="15.75">
      <c r="A135" s="62" t="s">
        <v>49</v>
      </c>
      <c r="B135" s="79"/>
      <c r="C135" s="82">
        <v>3757853.3776604636</v>
      </c>
      <c r="D135" s="85">
        <v>2897017.0812612693</v>
      </c>
      <c r="E135" s="3"/>
    </row>
    <row r="136" spans="1:5" ht="31.5">
      <c r="A136" s="62" t="s">
        <v>50</v>
      </c>
      <c r="B136" s="79"/>
      <c r="C136" s="82">
        <v>151447.84067949263</v>
      </c>
      <c r="D136" s="85">
        <v>2138809.4646002227</v>
      </c>
      <c r="E136" s="3"/>
    </row>
    <row r="137" spans="1:5" ht="15.75">
      <c r="A137" s="88" t="s">
        <v>51</v>
      </c>
      <c r="C137" s="89">
        <f>+C125+C133+C134+C135+C136</f>
        <v>42450549.32813389</v>
      </c>
      <c r="D137" s="89">
        <f>+D125+D133+D134+D135+D136</f>
        <v>115016983.66656853</v>
      </c>
      <c r="E137" s="3"/>
    </row>
    <row r="138" spans="1:5" ht="30" customHeight="1">
      <c r="A138" s="88" t="s">
        <v>52</v>
      </c>
      <c r="C138" s="90">
        <v>66999178.26</v>
      </c>
      <c r="D138" s="91">
        <v>45456774.04799999</v>
      </c>
      <c r="E138" s="3"/>
    </row>
    <row r="139" spans="1:4" ht="30" customHeight="1">
      <c r="A139" s="66" t="s">
        <v>54</v>
      </c>
      <c r="B139" s="64"/>
      <c r="C139" s="60">
        <f>+C112+C137+C138</f>
        <v>152943353.36518908</v>
      </c>
      <c r="D139" s="59">
        <f>+D112+D137+D138</f>
        <v>381435628.3236747</v>
      </c>
    </row>
    <row r="140" ht="30" customHeight="1">
      <c r="E140" s="3"/>
    </row>
    <row r="141" spans="1:4" ht="30" customHeight="1">
      <c r="A141" s="99" t="s">
        <v>53</v>
      </c>
      <c r="C141" s="100">
        <v>637687.8228166155</v>
      </c>
      <c r="D141" s="101">
        <v>5718139.690151291</v>
      </c>
    </row>
    <row r="142" spans="1:4" ht="30" customHeight="1">
      <c r="A142" s="102" t="s">
        <v>51</v>
      </c>
      <c r="C142" s="105">
        <f>+C141+C137</f>
        <v>43088237.15095051</v>
      </c>
      <c r="D142" s="104">
        <f>+D141+D137</f>
        <v>120735123.35671982</v>
      </c>
    </row>
    <row r="143" spans="1:4" ht="30" customHeight="1">
      <c r="A143" s="103" t="s">
        <v>32</v>
      </c>
      <c r="C143" s="105">
        <f>+C139+C141</f>
        <v>153581041.1880057</v>
      </c>
      <c r="D143" s="104">
        <f>+D139+D141</f>
        <v>387153768.01382595</v>
      </c>
    </row>
    <row r="144" ht="30" customHeight="1"/>
    <row r="145" ht="30" customHeight="1"/>
    <row r="146" ht="30" customHeight="1"/>
  </sheetData>
  <sheetProtection/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7">
      <selection activeCell="F31" sqref="F31"/>
    </sheetView>
  </sheetViews>
  <sheetFormatPr defaultColWidth="9.140625" defaultRowHeight="15"/>
  <cols>
    <col min="1" max="1" width="68.140625" style="31" customWidth="1"/>
    <col min="2" max="2" width="19.7109375" style="31" bestFit="1" customWidth="1"/>
    <col min="3" max="4" width="12.140625" style="31" bestFit="1" customWidth="1"/>
    <col min="5" max="5" width="6.140625" style="31" bestFit="1" customWidth="1"/>
    <col min="6" max="6" width="15.00390625" style="31" bestFit="1" customWidth="1"/>
    <col min="7" max="7" width="12.140625" style="31" bestFit="1" customWidth="1"/>
    <col min="8" max="8" width="15.00390625" style="31" bestFit="1" customWidth="1"/>
    <col min="9" max="9" width="11.140625" style="31" bestFit="1" customWidth="1"/>
    <col min="10" max="10" width="15.00390625" style="32" bestFit="1" customWidth="1"/>
    <col min="11" max="11" width="14.00390625" style="32" bestFit="1" customWidth="1"/>
    <col min="12" max="12" width="11.7109375" style="32" bestFit="1" customWidth="1"/>
    <col min="13" max="16384" width="9.140625" style="31" customWidth="1"/>
  </cols>
  <sheetData>
    <row r="2" spans="1:2" ht="15">
      <c r="A2" s="74"/>
      <c r="B2" s="53">
        <v>2012</v>
      </c>
    </row>
    <row r="3" spans="1:4" ht="15.75" thickBot="1">
      <c r="A3" s="74"/>
      <c r="B3" s="77" t="s">
        <v>4</v>
      </c>
      <c r="C3" s="76" t="s">
        <v>5</v>
      </c>
      <c r="D3" s="76" t="s">
        <v>2</v>
      </c>
    </row>
    <row r="4" spans="1:4" ht="15.75" thickBot="1">
      <c r="A4" s="75" t="s">
        <v>8</v>
      </c>
      <c r="B4" s="57"/>
      <c r="C4" s="57"/>
      <c r="D4" s="98"/>
    </row>
    <row r="5" spans="1:9" ht="15">
      <c r="A5" s="78" t="str">
        <f>'Raw Data'!B2</f>
        <v>01 Underground Infrastructure</v>
      </c>
      <c r="B5" s="70">
        <f>'Raw Data'!C3</f>
        <v>12743887.751724936</v>
      </c>
      <c r="C5" s="70">
        <f>'Raw Data'!C4</f>
        <v>417529.30972203694</v>
      </c>
      <c r="D5" s="68">
        <f>'Raw Data'!C5</f>
        <v>1019511.0201379926</v>
      </c>
      <c r="E5" s="30"/>
      <c r="I5" s="30"/>
    </row>
    <row r="6" spans="1:9" ht="15">
      <c r="A6" s="67" t="str">
        <f>'Raw Data'!B7</f>
        <v>02 Paper Insulated Lead Covered Cable - Piece Outs and Leakers</v>
      </c>
      <c r="B6" s="21">
        <f>'Raw Data'!C8</f>
        <v>35882.22308099528</v>
      </c>
      <c r="C6" s="21">
        <f>'Raw Data'!C9</f>
        <v>897.0555770248834</v>
      </c>
      <c r="D6" s="65">
        <f>'Raw Data'!C10</f>
        <v>2870.5778464796267</v>
      </c>
      <c r="E6" s="30"/>
      <c r="I6" s="30"/>
    </row>
    <row r="7" spans="1:9" ht="15">
      <c r="A7" s="67" t="str">
        <f>'Raw Data'!B12</f>
        <v>03 Handwell Replacement</v>
      </c>
      <c r="B7" s="21">
        <f>'Raw Data'!C13</f>
        <v>6050519.247427949</v>
      </c>
      <c r="C7" s="21">
        <f>'Raw Data'!C14</f>
        <v>151262.98118569874</v>
      </c>
      <c r="D7" s="65">
        <f>'Raw Data'!C15</f>
        <v>484041.53979423596</v>
      </c>
      <c r="E7" s="30"/>
      <c r="I7" s="30"/>
    </row>
    <row r="8" spans="1:9" ht="15">
      <c r="A8" s="67" t="str">
        <f>'Raw Data'!B17</f>
        <v>04 Overhead Infrastructure</v>
      </c>
      <c r="B8" s="21">
        <f>'Raw Data'!C18</f>
        <v>4020819.5962586654</v>
      </c>
      <c r="C8" s="21">
        <f>'Raw Data'!C19</f>
        <v>105845.59159294586</v>
      </c>
      <c r="D8" s="65">
        <f>'Raw Data'!C20</f>
        <v>321665.56770069315</v>
      </c>
      <c r="E8" s="30"/>
      <c r="I8" s="30"/>
    </row>
    <row r="9" spans="1:9" ht="15">
      <c r="A9" s="67" t="str">
        <f>'Raw Data'!B22</f>
        <v>05 Box Construction</v>
      </c>
      <c r="B9" s="21">
        <f>'Raw Data'!C23</f>
        <v>258384.12722619422</v>
      </c>
      <c r="C9" s="21">
        <f>'Raw Data'!C24</f>
        <v>6546.314153950234</v>
      </c>
      <c r="D9" s="65">
        <f>'Raw Data'!C25</f>
        <v>20670.73017809552</v>
      </c>
      <c r="E9" s="30"/>
      <c r="I9" s="30"/>
    </row>
    <row r="10" spans="1:9" ht="15">
      <c r="A10" s="67" t="str">
        <f>'Raw Data'!B27</f>
        <v>06 Rear Lot Construction</v>
      </c>
      <c r="B10" s="21">
        <f>'Raw Data'!C28</f>
        <v>7249780.813734435</v>
      </c>
      <c r="C10" s="21">
        <f>'Raw Data'!C29</f>
        <v>206848.97442498428</v>
      </c>
      <c r="D10" s="65">
        <f>'Raw Data'!C30</f>
        <v>579982.465098755</v>
      </c>
      <c r="E10" s="30"/>
      <c r="I10" s="30"/>
    </row>
    <row r="11" spans="1:9" ht="15">
      <c r="A11" s="67" t="str">
        <f>'Raw Data'!B32</f>
        <v>07 Polymer SMD - 20 Fuses</v>
      </c>
      <c r="B11" s="21">
        <f>'Raw Data'!C33</f>
        <v>0</v>
      </c>
      <c r="C11" s="21">
        <f>'Raw Data'!C34</f>
        <v>0</v>
      </c>
      <c r="D11" s="65">
        <f>'Raw Data'!C35</f>
        <v>0</v>
      </c>
      <c r="E11" s="30"/>
      <c r="I11" s="30"/>
    </row>
    <row r="12" spans="1:9" ht="15">
      <c r="A12" s="67" t="str">
        <f>'Raw Data'!B37</f>
        <v>08 Scadamate R1 Switches</v>
      </c>
      <c r="B12" s="21">
        <f>'Raw Data'!C38</f>
        <v>0</v>
      </c>
      <c r="C12" s="21">
        <f>'Raw Data'!C39</f>
        <v>0</v>
      </c>
      <c r="D12" s="65">
        <f>'Raw Data'!C40</f>
        <v>0</v>
      </c>
      <c r="E12" s="30"/>
      <c r="I12" s="30"/>
    </row>
    <row r="13" spans="1:9" ht="15">
      <c r="A13" s="67" t="str">
        <f>'Raw Data'!B42</f>
        <v>09 Network Vault &amp; Roofs</v>
      </c>
      <c r="B13" s="21">
        <f>'Raw Data'!C43</f>
        <v>1257902.3507560047</v>
      </c>
      <c r="C13" s="21">
        <f>'Raw Data'!C44</f>
        <v>42336.11729839478</v>
      </c>
      <c r="D13" s="65">
        <f>'Raw Data'!C45</f>
        <v>100632.18806048042</v>
      </c>
      <c r="E13" s="30"/>
      <c r="I13" s="30"/>
    </row>
    <row r="14" spans="1:9" ht="15">
      <c r="A14" s="67" t="str">
        <f>'Raw Data'!B47</f>
        <v>10 Fibertop Network Units</v>
      </c>
      <c r="B14" s="21">
        <f>'Raw Data'!C48</f>
        <v>653486.6370587121</v>
      </c>
      <c r="C14" s="21">
        <f>'Raw Data'!C49</f>
        <v>31291.721465331022</v>
      </c>
      <c r="D14" s="65">
        <f>'Raw Data'!C50</f>
        <v>52278.93096469694</v>
      </c>
      <c r="E14" s="30"/>
      <c r="I14" s="30"/>
    </row>
    <row r="15" spans="1:9" ht="15">
      <c r="A15" s="67" t="str">
        <f>'Raw Data'!B52</f>
        <v>11 Automatic Transfer Switches (ATS) &amp; Reverse Power Breakers (RPB)</v>
      </c>
      <c r="B15" s="21">
        <f>'Raw Data'!C53</f>
        <v>0</v>
      </c>
      <c r="C15" s="21">
        <f>'Raw Data'!C54</f>
        <v>0</v>
      </c>
      <c r="D15" s="65">
        <f>'Raw Data'!C55</f>
        <v>0</v>
      </c>
      <c r="E15" s="30"/>
      <c r="I15" s="30"/>
    </row>
    <row r="16" spans="1:9" ht="15">
      <c r="A16" s="67" t="str">
        <f>'Raw Data'!B57</f>
        <v>12 Stations Power Transformers</v>
      </c>
      <c r="B16" s="21">
        <f>'Raw Data'!C58</f>
        <v>166443.17975412955</v>
      </c>
      <c r="C16" s="21">
        <f>'Raw Data'!C59</f>
        <v>5201.3493673165585</v>
      </c>
      <c r="D16" s="65">
        <f>'Raw Data'!C60</f>
        <v>13315.45438033039</v>
      </c>
      <c r="E16" s="30"/>
      <c r="I16" s="30"/>
    </row>
    <row r="17" spans="1:9" ht="15">
      <c r="A17" s="67" t="str">
        <f>'Raw Data'!B62</f>
        <v>13.1 &amp; 13.2 Stations Switchgear -Municipal and Transformer Stations</v>
      </c>
      <c r="B17" s="21">
        <f>'Raw Data'!C63</f>
        <v>765728.212071787</v>
      </c>
      <c r="C17" s="21">
        <f>'Raw Data'!C64</f>
        <v>19535.673554715024</v>
      </c>
      <c r="D17" s="65">
        <f>'Raw Data'!C65</f>
        <v>61947.93980094951</v>
      </c>
      <c r="E17" s="30"/>
      <c r="I17" s="30"/>
    </row>
    <row r="18" spans="1:9" ht="15">
      <c r="A18" s="67" t="str">
        <f>'Raw Data'!B67</f>
        <v>14 Stations Circuit Breakers</v>
      </c>
      <c r="B18" s="21">
        <f>'Raw Data'!C68</f>
        <v>0</v>
      </c>
      <c r="C18" s="21">
        <f>'Raw Data'!C69</f>
        <v>0</v>
      </c>
      <c r="D18" s="65">
        <f>'Raw Data'!C70</f>
        <v>0</v>
      </c>
      <c r="E18" s="30"/>
      <c r="I18" s="30"/>
    </row>
    <row r="19" spans="1:9" ht="15">
      <c r="A19" s="67" t="str">
        <f>'Raw Data'!B72</f>
        <v>15 Stations Control &amp; Communication Systems</v>
      </c>
      <c r="B19" s="21">
        <f>'Raw Data'!C73</f>
        <v>0</v>
      </c>
      <c r="C19" s="21">
        <f>'Raw Data'!C74</f>
        <v>0</v>
      </c>
      <c r="D19" s="65">
        <f>'Raw Data'!C75</f>
        <v>0</v>
      </c>
      <c r="E19" s="30"/>
      <c r="I19" s="30"/>
    </row>
    <row r="20" spans="1:9" ht="15">
      <c r="A20" s="67" t="str">
        <f>'Raw Data'!B77</f>
        <v>16 Downtown Station Load Transfers</v>
      </c>
      <c r="B20" s="21">
        <f>'Raw Data'!C78</f>
        <v>0</v>
      </c>
      <c r="C20" s="21">
        <f>'Raw Data'!C79</f>
        <v>0</v>
      </c>
      <c r="D20" s="65">
        <f>'Raw Data'!C80</f>
        <v>0</v>
      </c>
      <c r="E20" s="30"/>
      <c r="I20" s="30"/>
    </row>
    <row r="21" spans="1:9" ht="15">
      <c r="A21" s="67" t="str">
        <f>'Raw Data'!B82</f>
        <v>17 Bremner Transformer Station</v>
      </c>
      <c r="B21" s="21">
        <f>'Raw Data'!C83</f>
        <v>0</v>
      </c>
      <c r="C21" s="21">
        <f>'Raw Data'!C84</f>
        <v>0</v>
      </c>
      <c r="D21" s="65">
        <f>'Raw Data'!C85</f>
        <v>0</v>
      </c>
      <c r="E21" s="30"/>
      <c r="I21" s="30"/>
    </row>
    <row r="22" spans="1:9" ht="15">
      <c r="A22" s="55" t="str">
        <f>'Raw Data'!B87</f>
        <v>18 Hydro One Capital Contributions</v>
      </c>
      <c r="B22" s="52">
        <f>'Raw Data'!C88</f>
        <v>0</v>
      </c>
      <c r="C22" s="52">
        <f>'Raw Data'!C89</f>
        <v>0</v>
      </c>
      <c r="D22" s="51">
        <f>'Raw Data'!C90</f>
        <v>0</v>
      </c>
      <c r="E22" s="30"/>
      <c r="I22" s="30"/>
    </row>
    <row r="23" spans="1:9" ht="15">
      <c r="A23" s="67" t="str">
        <f>'Raw Data'!B92</f>
        <v>19 Feeder Automation</v>
      </c>
      <c r="B23" s="52">
        <f>'Raw Data'!C93</f>
        <v>0</v>
      </c>
      <c r="C23" s="52">
        <f>'Raw Data'!C94</f>
        <v>0</v>
      </c>
      <c r="D23" s="51">
        <f>'Raw Data'!C95</f>
        <v>0</v>
      </c>
      <c r="E23" s="30"/>
      <c r="I23" s="30"/>
    </row>
    <row r="24" spans="1:9" ht="15">
      <c r="A24" s="67" t="str">
        <f>'Raw Data'!B97</f>
        <v>20 Metering</v>
      </c>
      <c r="B24" s="21">
        <f>'Raw Data'!C98</f>
        <v>2100423.652477862</v>
      </c>
      <c r="C24" s="21">
        <f>'Raw Data'!C99</f>
        <v>128408.09413511211</v>
      </c>
      <c r="D24" s="65">
        <f>'Raw Data'!C100</f>
        <v>168033.89219822903</v>
      </c>
      <c r="E24" s="30"/>
      <c r="I24" s="30"/>
    </row>
    <row r="25" spans="1:9" ht="15">
      <c r="A25" s="67" t="str">
        <f>'Raw Data'!B102</f>
        <v>21 Externally-Initiated Plant Relocations and Expansions</v>
      </c>
      <c r="B25" s="21">
        <f>'Raw Data'!C103</f>
        <v>4504634.976473078</v>
      </c>
      <c r="C25" s="21">
        <f>'Raw Data'!C104</f>
        <v>133303.97142412828</v>
      </c>
      <c r="D25" s="65">
        <f>'Raw Data'!C105</f>
        <v>360370.7981178464</v>
      </c>
      <c r="E25" s="30"/>
      <c r="I25" s="30"/>
    </row>
    <row r="26" spans="1:9" ht="15">
      <c r="A26" s="67" t="s">
        <v>55</v>
      </c>
      <c r="B26" s="21">
        <f>+'Raw Data'!C137+'Raw Data'!C141</f>
        <v>43088237.15095051</v>
      </c>
      <c r="C26" s="21">
        <v>0</v>
      </c>
      <c r="D26" s="65">
        <v>0</v>
      </c>
      <c r="I26" s="30"/>
    </row>
    <row r="27" spans="1:9" ht="15">
      <c r="A27" s="67" t="s">
        <v>52</v>
      </c>
      <c r="B27" s="21">
        <f>+'Raw Data'!C138</f>
        <v>66999178.26</v>
      </c>
      <c r="C27" s="21">
        <v>0</v>
      </c>
      <c r="D27" s="65">
        <v>0</v>
      </c>
      <c r="F27" s="31" t="s">
        <v>8</v>
      </c>
      <c r="I27" s="30"/>
    </row>
    <row r="28" spans="1:9" ht="15.75" thickBot="1">
      <c r="A28" s="50" t="str">
        <f>'Raw Data'!B107</f>
        <v>XX ICM Understatement of Capitalized Labour</v>
      </c>
      <c r="B28" s="71">
        <f>'Raw Data'!C108</f>
        <v>3685733.009010446</v>
      </c>
      <c r="C28" s="71">
        <f>'Raw Data'!C109</f>
        <v>115644.0848848656</v>
      </c>
      <c r="D28" s="49">
        <f>'Raw Data'!C110</f>
        <v>294922.497089163</v>
      </c>
      <c r="I28" s="30"/>
    </row>
    <row r="29" spans="3:9" ht="15.75" thickBot="1">
      <c r="C29" s="30"/>
      <c r="D29" s="30"/>
      <c r="I29" s="30"/>
    </row>
    <row r="30" spans="1:9" ht="15.75" thickBot="1">
      <c r="A30" s="75" t="s">
        <v>3</v>
      </c>
      <c r="B30" s="72">
        <f>SUM(B5:B28)</f>
        <v>153581041.1880057</v>
      </c>
      <c r="C30" s="72">
        <f>SUM(C5:C28)</f>
        <v>1364651.2387865041</v>
      </c>
      <c r="D30" s="69">
        <f>SUM(D5:D28)</f>
        <v>3480243.6013679476</v>
      </c>
      <c r="E30" s="30"/>
      <c r="I30" s="30"/>
    </row>
    <row r="31" ht="15.75" thickBot="1">
      <c r="C31" s="30"/>
    </row>
    <row r="32" spans="1:2" ht="16.5" thickBot="1">
      <c r="A32" s="56" t="s">
        <v>6</v>
      </c>
      <c r="B32" s="73">
        <v>172989465.3191559</v>
      </c>
    </row>
    <row r="34" spans="2:4" ht="15.75" thickBot="1">
      <c r="B34" s="77" t="s">
        <v>4</v>
      </c>
      <c r="C34" s="76" t="s">
        <v>5</v>
      </c>
      <c r="D34" s="76" t="s">
        <v>2</v>
      </c>
    </row>
    <row r="35" spans="1:4" ht="15">
      <c r="A35" s="115" t="s">
        <v>9</v>
      </c>
      <c r="B35" s="116">
        <f>+C350</f>
        <v>0</v>
      </c>
      <c r="C35" s="116">
        <v>0</v>
      </c>
      <c r="D35" s="117">
        <v>0</v>
      </c>
    </row>
    <row r="36" spans="1:4" ht="15.75" thickBot="1">
      <c r="A36" s="50" t="s">
        <v>11</v>
      </c>
      <c r="B36" s="54">
        <f>SUM(B5:B28)</f>
        <v>153581041.1880057</v>
      </c>
      <c r="C36" s="54">
        <f>SUM(C5:C28)</f>
        <v>1364651.2387865041</v>
      </c>
      <c r="D36" s="58">
        <f>SUM(D5:D28)</f>
        <v>3480243.6013679476</v>
      </c>
    </row>
    <row r="37" spans="1:4" ht="15.75" thickBot="1">
      <c r="A37" s="50" t="s">
        <v>7</v>
      </c>
      <c r="B37" s="54">
        <f>+B35+B36</f>
        <v>153581041.1880057</v>
      </c>
      <c r="C37" s="54">
        <f>+C35+C36</f>
        <v>1364651.2387865041</v>
      </c>
      <c r="D37" s="58">
        <f>+D36+D35</f>
        <v>3480243.6013679476</v>
      </c>
    </row>
    <row r="40" spans="1:5" ht="15">
      <c r="A40" s="31" t="s">
        <v>8</v>
      </c>
      <c r="B40" s="31" t="s">
        <v>8</v>
      </c>
      <c r="C40" s="31" t="s">
        <v>8</v>
      </c>
      <c r="D40" s="31" t="s">
        <v>8</v>
      </c>
      <c r="E40" s="31" t="s">
        <v>8</v>
      </c>
    </row>
  </sheetData>
  <sheetProtection/>
  <printOptions horizontalCentered="1"/>
  <pageMargins left="0.24" right="0.19" top="1.51" bottom="0.7480314960629921" header="0.31496062992125984" footer="0.31496062992125984"/>
  <pageSetup horizontalDpi="600" verticalDpi="600" orientation="portrait" scale="80" r:id="rId1"/>
  <headerFooter>
    <oddHeader>&amp;RToronto Hydro-Electric System Limited
EB-2012-0064
DRAFT RATE ORDER
Appendix C
Schedule 1
Filed:  2013 Apr 12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tabSelected="1" view="pageBreakPreview" zoomScale="60" zoomScaleNormal="115" zoomScalePageLayoutView="0" workbookViewId="0" topLeftCell="A1">
      <selection activeCell="J28" sqref="J28"/>
    </sheetView>
  </sheetViews>
  <sheetFormatPr defaultColWidth="9.140625" defaultRowHeight="15"/>
  <cols>
    <col min="1" max="1" width="66.57421875" style="31" customWidth="1"/>
    <col min="2" max="2" width="19.7109375" style="94" bestFit="1" customWidth="1"/>
    <col min="3" max="3" width="14.00390625" style="94" bestFit="1" customWidth="1"/>
    <col min="4" max="4" width="15.28125" style="94" bestFit="1" customWidth="1"/>
    <col min="5" max="5" width="6.140625" style="31" bestFit="1" customWidth="1"/>
    <col min="6" max="6" width="15.00390625" style="31" bestFit="1" customWidth="1"/>
    <col min="7" max="7" width="12.140625" style="31" bestFit="1" customWidth="1"/>
    <col min="8" max="8" width="15.00390625" style="31" bestFit="1" customWidth="1"/>
    <col min="9" max="9" width="11.140625" style="31" bestFit="1" customWidth="1"/>
    <col min="10" max="10" width="15.00390625" style="32" bestFit="1" customWidth="1"/>
    <col min="11" max="11" width="14.00390625" style="32" bestFit="1" customWidth="1"/>
    <col min="12" max="12" width="11.7109375" style="32" bestFit="1" customWidth="1"/>
    <col min="13" max="16384" width="9.140625" style="31" customWidth="1"/>
  </cols>
  <sheetData>
    <row r="2" spans="1:2" ht="15">
      <c r="A2" s="74" t="s">
        <v>8</v>
      </c>
      <c r="B2" s="53">
        <v>2013</v>
      </c>
    </row>
    <row r="3" spans="1:4" ht="15.75" thickBot="1">
      <c r="A3" s="74"/>
      <c r="B3" s="95" t="s">
        <v>4</v>
      </c>
      <c r="C3" s="95" t="s">
        <v>5</v>
      </c>
      <c r="D3" s="95" t="s">
        <v>2</v>
      </c>
    </row>
    <row r="4" spans="1:4" ht="15.75" thickBot="1">
      <c r="A4" s="75" t="s">
        <v>8</v>
      </c>
      <c r="B4" s="109"/>
      <c r="C4" s="109"/>
      <c r="D4" s="110"/>
    </row>
    <row r="5" spans="1:9" ht="15">
      <c r="A5" s="78" t="str">
        <f>'Raw Data'!B2</f>
        <v>01 Underground Infrastructure</v>
      </c>
      <c r="B5" s="41">
        <f>'Raw Data'!D3</f>
        <v>51882315.25308349</v>
      </c>
      <c r="C5" s="41">
        <f>'Raw Data'!D4</f>
        <v>1689702.2872356158</v>
      </c>
      <c r="D5" s="42">
        <f>'Raw Data'!D5</f>
        <v>4150585.22024668</v>
      </c>
      <c r="E5" s="30"/>
      <c r="I5" s="30"/>
    </row>
    <row r="6" spans="1:9" ht="15">
      <c r="A6" s="67" t="str">
        <f>'Raw Data'!B7</f>
        <v>02 Paper Insulated Lead Covered Cable - Piece Outs and Leakers</v>
      </c>
      <c r="B6" s="44">
        <f>'Raw Data'!D8</f>
        <v>3343115.1453457624</v>
      </c>
      <c r="C6" s="44">
        <f>'Raw Data'!D9</f>
        <v>91138.42616392495</v>
      </c>
      <c r="D6" s="45">
        <f>'Raw Data'!D10</f>
        <v>267449.211627661</v>
      </c>
      <c r="E6" s="30"/>
      <c r="I6" s="30"/>
    </row>
    <row r="7" spans="1:9" ht="15">
      <c r="A7" s="67" t="str">
        <f>'Raw Data'!B12</f>
        <v>03 Handwell Replacement</v>
      </c>
      <c r="B7" s="44">
        <f>'Raw Data'!D13</f>
        <v>17734624.83219049</v>
      </c>
      <c r="C7" s="44">
        <f>'Raw Data'!D14</f>
        <v>443365.6208047623</v>
      </c>
      <c r="D7" s="45">
        <f>'Raw Data'!D15</f>
        <v>1418769.9865752393</v>
      </c>
      <c r="E7" s="30"/>
      <c r="I7" s="30"/>
    </row>
    <row r="8" spans="1:9" ht="15">
      <c r="A8" s="67" t="str">
        <f>'Raw Data'!B17</f>
        <v>04 Overhead Infrastructure</v>
      </c>
      <c r="B8" s="44">
        <f>'Raw Data'!D18</f>
        <v>39056807.44485035</v>
      </c>
      <c r="C8" s="44">
        <f>'Raw Data'!D19</f>
        <v>1048727.3393157246</v>
      </c>
      <c r="D8" s="45">
        <f>'Raw Data'!D20</f>
        <v>3124544.595588029</v>
      </c>
      <c r="E8" s="30"/>
      <c r="I8" s="30"/>
    </row>
    <row r="9" spans="1:9" ht="15">
      <c r="A9" s="67" t="str">
        <f>'Raw Data'!B22</f>
        <v>05 Box Construction</v>
      </c>
      <c r="B9" s="44">
        <f>'Raw Data'!D23</f>
        <v>14347887.593175236</v>
      </c>
      <c r="C9" s="44">
        <f>'Raw Data'!D24</f>
        <v>369276.63610981667</v>
      </c>
      <c r="D9" s="45">
        <f>'Raw Data'!D25</f>
        <v>1147831.0074540188</v>
      </c>
      <c r="E9" s="30"/>
      <c r="I9" s="30"/>
    </row>
    <row r="10" spans="1:9" ht="15">
      <c r="A10" s="67" t="str">
        <f>'Raw Data'!B27</f>
        <v>06 Rear Lot Construction</v>
      </c>
      <c r="B10" s="44">
        <f>'Raw Data'!D28</f>
        <v>27016189.263367396</v>
      </c>
      <c r="C10" s="44">
        <f>'Raw Data'!D29</f>
        <v>797271.2643364499</v>
      </c>
      <c r="D10" s="45">
        <f>'Raw Data'!D30</f>
        <v>2161295.1410693913</v>
      </c>
      <c r="E10" s="30"/>
      <c r="I10" s="30"/>
    </row>
    <row r="11" spans="1:9" ht="15">
      <c r="A11" s="67" t="str">
        <f>'Raw Data'!B32</f>
        <v>07 Polymer SMD - 20 Fuses</v>
      </c>
      <c r="B11" s="44">
        <f>'Raw Data'!D33</f>
        <v>0</v>
      </c>
      <c r="C11" s="44">
        <f>'Raw Data'!D34</f>
        <v>0</v>
      </c>
      <c r="D11" s="45">
        <f>'Raw Data'!D35</f>
        <v>0</v>
      </c>
      <c r="E11" s="30"/>
      <c r="I11" s="30"/>
    </row>
    <row r="12" spans="1:9" ht="15">
      <c r="A12" s="67" t="str">
        <f>'Raw Data'!B37</f>
        <v>08 Scadamate R1 Switches</v>
      </c>
      <c r="B12" s="44">
        <f>'Raw Data'!D38</f>
        <v>0</v>
      </c>
      <c r="C12" s="44">
        <f>'Raw Data'!D39</f>
        <v>0</v>
      </c>
      <c r="D12" s="45">
        <f>'Raw Data'!D40</f>
        <v>0</v>
      </c>
      <c r="E12" s="30"/>
      <c r="I12" s="30"/>
    </row>
    <row r="13" spans="1:9" ht="15">
      <c r="A13" s="67" t="str">
        <f>'Raw Data'!B42</f>
        <v>09 Network Vault &amp; Roofs</v>
      </c>
      <c r="B13" s="44">
        <f>'Raw Data'!D43</f>
        <v>12998143.84067981</v>
      </c>
      <c r="C13" s="44">
        <f>'Raw Data'!D44</f>
        <v>432202.7510836641</v>
      </c>
      <c r="D13" s="45">
        <f>'Raw Data'!D45</f>
        <v>1039851.5072543848</v>
      </c>
      <c r="E13" s="30"/>
      <c r="I13" s="30"/>
    </row>
    <row r="14" spans="1:9" ht="15">
      <c r="A14" s="67" t="str">
        <f>'Raw Data'!B47</f>
        <v>10 Fibertop Network Units</v>
      </c>
      <c r="B14" s="44">
        <f>'Raw Data'!D48</f>
        <v>5515081.617127325</v>
      </c>
      <c r="C14" s="44">
        <f>'Raw Data'!D49</f>
        <v>264832.40715410054</v>
      </c>
      <c r="D14" s="45">
        <f>'Raw Data'!D50</f>
        <v>441206.52937018604</v>
      </c>
      <c r="E14" s="30"/>
      <c r="I14" s="30"/>
    </row>
    <row r="15" spans="1:9" ht="15">
      <c r="A15" s="67" t="str">
        <f>'Raw Data'!B52</f>
        <v>11 Automatic Transfer Switches (ATS) &amp; Reverse Power Breakers (RPB)</v>
      </c>
      <c r="B15" s="44">
        <f>'Raw Data'!D53</f>
        <v>1986018.6318785495</v>
      </c>
      <c r="C15" s="44">
        <f>'Raw Data'!D54</f>
        <v>89201.49951236528</v>
      </c>
      <c r="D15" s="45">
        <f>'Raw Data'!D55</f>
        <v>158881.49055028395</v>
      </c>
      <c r="E15" s="30"/>
      <c r="I15" s="30"/>
    </row>
    <row r="16" spans="1:9" ht="15">
      <c r="A16" s="67" t="str">
        <f>'Raw Data'!B57</f>
        <v>12 Stations Power Transformers</v>
      </c>
      <c r="B16" s="44">
        <f>'Raw Data'!D58</f>
        <v>2328435.5315358955</v>
      </c>
      <c r="C16" s="44">
        <f>'Raw Data'!D59</f>
        <v>72825.39470356054</v>
      </c>
      <c r="D16" s="45">
        <f>'Raw Data'!D60</f>
        <v>186095.8602086182</v>
      </c>
      <c r="E16" s="30"/>
      <c r="I16" s="30"/>
    </row>
    <row r="17" spans="1:9" ht="15">
      <c r="A17" s="67" t="str">
        <f>'Raw Data'!B62</f>
        <v>13.1 &amp; 13.2 Stations Switchgear -Municipal and Transformer Stations</v>
      </c>
      <c r="B17" s="44">
        <f>'Raw Data'!D63</f>
        <v>9158170.62286094</v>
      </c>
      <c r="C17" s="44">
        <f>'Raw Data'!D64</f>
        <v>233737.26436087882</v>
      </c>
      <c r="D17" s="45">
        <f>'Raw Data'!D65</f>
        <v>736601.1303699363</v>
      </c>
      <c r="E17" s="30"/>
      <c r="I17" s="30"/>
    </row>
    <row r="18" spans="1:9" ht="15">
      <c r="A18" s="67" t="str">
        <f>'Raw Data'!B67</f>
        <v>14 Stations Circuit Breakers</v>
      </c>
      <c r="B18" s="44">
        <f>'Raw Data'!D68</f>
        <v>0</v>
      </c>
      <c r="C18" s="44">
        <f>'Raw Data'!D69</f>
        <v>0</v>
      </c>
      <c r="D18" s="45">
        <f>'Raw Data'!D70</f>
        <v>0</v>
      </c>
      <c r="E18" s="30"/>
      <c r="I18" s="30"/>
    </row>
    <row r="19" spans="1:9" ht="15">
      <c r="A19" s="67" t="str">
        <f>'Raw Data'!B72</f>
        <v>15 Stations Control &amp; Communication Systems</v>
      </c>
      <c r="B19" s="44">
        <f>'Raw Data'!D73</f>
        <v>0</v>
      </c>
      <c r="C19" s="44">
        <f>'Raw Data'!D74</f>
        <v>0</v>
      </c>
      <c r="D19" s="45">
        <f>'Raw Data'!D75</f>
        <v>0</v>
      </c>
      <c r="E19" s="30"/>
      <c r="I19" s="30"/>
    </row>
    <row r="20" spans="1:9" ht="15">
      <c r="A20" s="67" t="str">
        <f>'Raw Data'!B77</f>
        <v>16 Downtown Station Load Transfers</v>
      </c>
      <c r="B20" s="44">
        <f>'Raw Data'!D78</f>
        <v>0</v>
      </c>
      <c r="C20" s="44">
        <f>'Raw Data'!D79</f>
        <v>0</v>
      </c>
      <c r="D20" s="45">
        <f>'Raw Data'!D80</f>
        <v>0</v>
      </c>
      <c r="E20" s="30"/>
      <c r="I20" s="30"/>
    </row>
    <row r="21" spans="1:9" ht="15">
      <c r="A21" s="67" t="str">
        <f>'Raw Data'!B87</f>
        <v>18 Hydro One Capital Contributions</v>
      </c>
      <c r="B21" s="44">
        <f>'Raw Data'!D88</f>
        <v>0</v>
      </c>
      <c r="C21" s="44">
        <f>'Raw Data'!D89</f>
        <v>0</v>
      </c>
      <c r="D21" s="45">
        <f>'Raw Data'!D90</f>
        <v>0</v>
      </c>
      <c r="E21" s="30"/>
      <c r="I21" s="30"/>
    </row>
    <row r="22" spans="1:9" ht="15">
      <c r="A22" s="67" t="str">
        <f>'Raw Data'!B92</f>
        <v>19 Feeder Automation</v>
      </c>
      <c r="B22" s="44">
        <f>'Raw Data'!D93</f>
        <v>0</v>
      </c>
      <c r="C22" s="44">
        <f>'Raw Data'!D94</f>
        <v>0</v>
      </c>
      <c r="D22" s="45">
        <f>'Raw Data'!D95</f>
        <v>0</v>
      </c>
      <c r="E22" s="30"/>
      <c r="I22" s="30"/>
    </row>
    <row r="23" spans="1:9" ht="15">
      <c r="A23" s="67" t="str">
        <f>'Raw Data'!B97</f>
        <v>20 Metering</v>
      </c>
      <c r="B23" s="44">
        <f>'Raw Data'!D98</f>
        <v>7753464.365292189</v>
      </c>
      <c r="C23" s="44">
        <f>'Raw Data'!D99</f>
        <v>400117.0064116877</v>
      </c>
      <c r="D23" s="45">
        <f>'Raw Data'!D100</f>
        <v>620277.1492233751</v>
      </c>
      <c r="E23" s="30"/>
      <c r="I23" s="30"/>
    </row>
    <row r="24" spans="1:9" ht="16.5" customHeight="1">
      <c r="A24" s="67" t="str">
        <f>'Raw Data'!B102</f>
        <v>21 Externally-Initiated Plant Relocations and Expansions</v>
      </c>
      <c r="B24" s="44">
        <f>'Raw Data'!D103</f>
        <v>20776815.769061323</v>
      </c>
      <c r="C24" s="44">
        <f>'Raw Data'!D104</f>
        <v>636017.2827086835</v>
      </c>
      <c r="D24" s="45">
        <f>'Raw Data'!D105</f>
        <v>1662145.2615249061</v>
      </c>
      <c r="E24" s="30"/>
      <c r="I24" s="30"/>
    </row>
    <row r="25" spans="1:9" ht="16.5" customHeight="1" thickBot="1">
      <c r="A25" s="50" t="str">
        <f>'Raw Data'!B107</f>
        <v>XX ICM Understatement of Capitalized Labour</v>
      </c>
      <c r="B25" s="47">
        <f>+'Raw Data'!D108</f>
        <v>4630259.128657421</v>
      </c>
      <c r="C25" s="47">
        <f>+'Raw Data'!D109</f>
        <v>145279.67120905052</v>
      </c>
      <c r="D25" s="48">
        <f>+'Raw Data'!D110</f>
        <v>370500.95084347075</v>
      </c>
      <c r="E25" s="30"/>
      <c r="I25" s="30"/>
    </row>
    <row r="26" spans="1:9" ht="16.5" customHeight="1" thickBot="1">
      <c r="A26" s="111"/>
      <c r="B26" s="47"/>
      <c r="C26" s="47"/>
      <c r="D26" s="47"/>
      <c r="E26" s="30"/>
      <c r="I26" s="30"/>
    </row>
    <row r="27" spans="1:9" ht="16.5" customHeight="1" thickBot="1">
      <c r="A27" s="36" t="s">
        <v>64</v>
      </c>
      <c r="B27" s="120">
        <f>+'Raw Data'!D83</f>
        <v>2434541.5700000003</v>
      </c>
      <c r="C27" s="120">
        <f>+'Raw Data'!D84</f>
        <v>494072.713</v>
      </c>
      <c r="D27" s="121">
        <f>+'Raw Data'!D85</f>
        <v>194763.32559999998</v>
      </c>
      <c r="E27" s="30"/>
      <c r="I27" s="30"/>
    </row>
    <row r="28" spans="1:9" ht="16.5" customHeight="1" thickBot="1">
      <c r="A28" s="111"/>
      <c r="B28" s="47"/>
      <c r="C28" s="47"/>
      <c r="D28" s="47"/>
      <c r="E28" s="30"/>
      <c r="I28" s="30"/>
    </row>
    <row r="29" spans="1:9" ht="16.5" customHeight="1" thickBot="1">
      <c r="A29" s="75" t="s">
        <v>58</v>
      </c>
      <c r="B29" s="57"/>
      <c r="C29" s="57"/>
      <c r="D29" s="98"/>
      <c r="E29" s="30"/>
      <c r="I29" s="30"/>
    </row>
    <row r="30" spans="1:9" ht="16.5" customHeight="1">
      <c r="A30" s="78" t="s">
        <v>56</v>
      </c>
      <c r="B30" s="41">
        <f>+'Raw Data'!D137</f>
        <v>115016983.66656853</v>
      </c>
      <c r="C30" s="41">
        <v>0</v>
      </c>
      <c r="D30" s="42">
        <v>0</v>
      </c>
      <c r="E30" s="30"/>
      <c r="I30" s="30"/>
    </row>
    <row r="31" spans="1:9" ht="15">
      <c r="A31" s="67" t="s">
        <v>52</v>
      </c>
      <c r="B31" s="44">
        <f>+'Raw Data'!D138</f>
        <v>45456774.04799999</v>
      </c>
      <c r="C31" s="44">
        <v>0</v>
      </c>
      <c r="D31" s="45">
        <v>0</v>
      </c>
      <c r="E31" s="30"/>
      <c r="I31" s="30"/>
    </row>
    <row r="32" spans="1:9" ht="15.75" thickBot="1">
      <c r="A32" s="50" t="s">
        <v>57</v>
      </c>
      <c r="B32" s="47">
        <f>+'Raw Data'!D141</f>
        <v>5718139.690151291</v>
      </c>
      <c r="C32" s="47"/>
      <c r="D32" s="48"/>
      <c r="E32" s="30"/>
      <c r="F32" s="31" t="s">
        <v>8</v>
      </c>
      <c r="I32" s="30"/>
    </row>
    <row r="33" spans="1:9" ht="15.75" thickBot="1">
      <c r="A33" s="108"/>
      <c r="B33" s="57"/>
      <c r="C33" s="57"/>
      <c r="D33" s="57"/>
      <c r="E33" s="30"/>
      <c r="I33" s="30"/>
    </row>
    <row r="34" spans="1:9" ht="16.5" thickBot="1">
      <c r="A34" s="112" t="s">
        <v>3</v>
      </c>
      <c r="B34" s="113">
        <f>SUM(B5:B32)</f>
        <v>387153768.01382595</v>
      </c>
      <c r="C34" s="113">
        <f>SUM(C5:C32)</f>
        <v>7207767.564110285</v>
      </c>
      <c r="D34" s="114">
        <f>SUM(D5:D32)</f>
        <v>17680798.36750618</v>
      </c>
      <c r="E34" s="30"/>
      <c r="I34" s="30"/>
    </row>
    <row r="35" spans="5:9" ht="15.75" thickBot="1">
      <c r="E35" s="30"/>
      <c r="I35" s="30"/>
    </row>
    <row r="36" spans="1:9" ht="16.5" thickBot="1">
      <c r="A36" s="56" t="s">
        <v>59</v>
      </c>
      <c r="B36" s="96">
        <v>163833176.8444471</v>
      </c>
      <c r="I36" s="30"/>
    </row>
    <row r="37" ht="15">
      <c r="I37" s="30"/>
    </row>
    <row r="38" spans="2:9" ht="15.75" thickBot="1">
      <c r="B38" s="95" t="s">
        <v>4</v>
      </c>
      <c r="C38" s="95" t="s">
        <v>5</v>
      </c>
      <c r="D38" s="95" t="s">
        <v>2</v>
      </c>
      <c r="E38" s="30" t="s">
        <v>8</v>
      </c>
      <c r="F38" s="31" t="s">
        <v>8</v>
      </c>
      <c r="I38" s="30"/>
    </row>
    <row r="39" spans="1:4" ht="15">
      <c r="A39" s="115" t="s">
        <v>62</v>
      </c>
      <c r="B39" s="118">
        <f>SUM(B5:B25)+B27</f>
        <v>220961870.60910618</v>
      </c>
      <c r="C39" s="118">
        <f>SUM(C5:C25)+C27</f>
        <v>7207767.564110285</v>
      </c>
      <c r="D39" s="119">
        <f>SUM(D5:D25)+D27</f>
        <v>17680798.36750618</v>
      </c>
    </row>
    <row r="40" spans="1:4" ht="15.75" thickBot="1">
      <c r="A40" s="122" t="s">
        <v>63</v>
      </c>
      <c r="B40" s="123">
        <f>SUM(B5:B25)</f>
        <v>218527329.0391062</v>
      </c>
      <c r="C40" s="123">
        <f>SUM(C5:C25)</f>
        <v>6713694.851110285</v>
      </c>
      <c r="D40" s="124">
        <f>SUM(D5:D25)</f>
        <v>17486035.04190618</v>
      </c>
    </row>
    <row r="41" spans="1:4" ht="15.75" thickBot="1">
      <c r="A41" s="50" t="s">
        <v>60</v>
      </c>
      <c r="B41" s="97">
        <f>SUM(B30:B32)</f>
        <v>166191897.40471983</v>
      </c>
      <c r="C41" s="97">
        <f>SUM(C30:C32)</f>
        <v>0</v>
      </c>
      <c r="D41" s="93">
        <f>SUM(D30:D32)</f>
        <v>0</v>
      </c>
    </row>
    <row r="42" spans="1:4" ht="15.75" thickBot="1">
      <c r="A42" s="75" t="s">
        <v>61</v>
      </c>
      <c r="B42" s="125">
        <f>+B39+B41</f>
        <v>387153768.013826</v>
      </c>
      <c r="C42" s="125">
        <f>+C39+C41</f>
        <v>7207767.564110285</v>
      </c>
      <c r="D42" s="126">
        <f>+D39+D41</f>
        <v>17680798.36750618</v>
      </c>
    </row>
    <row r="43" spans="1:4" ht="15">
      <c r="A43" s="128"/>
      <c r="B43" s="129"/>
      <c r="C43" s="129"/>
      <c r="D43" s="129"/>
    </row>
    <row r="45" ht="15">
      <c r="A45" s="74" t="s">
        <v>67</v>
      </c>
    </row>
    <row r="46" spans="1:12" s="106" customFormat="1" ht="30.75" customHeight="1">
      <c r="A46" s="130" t="s">
        <v>65</v>
      </c>
      <c r="B46" s="130"/>
      <c r="C46" s="130"/>
      <c r="D46" s="130"/>
      <c r="E46" s="130"/>
      <c r="J46" s="107"/>
      <c r="K46" s="107"/>
      <c r="L46" s="107"/>
    </row>
    <row r="47" spans="1:12" s="106" customFormat="1" ht="30.75" customHeight="1">
      <c r="A47" s="131" t="s">
        <v>66</v>
      </c>
      <c r="B47" s="131"/>
      <c r="C47" s="131"/>
      <c r="D47" s="131"/>
      <c r="E47" s="127"/>
      <c r="J47" s="107"/>
      <c r="K47" s="107"/>
      <c r="L47" s="107"/>
    </row>
    <row r="55" ht="15">
      <c r="E55" s="31" t="s">
        <v>8</v>
      </c>
    </row>
  </sheetData>
  <sheetProtection password="CF54" sheet="1" objects="1" scenarios="1"/>
  <mergeCells count="2">
    <mergeCell ref="A46:E46"/>
    <mergeCell ref="A47:D47"/>
  </mergeCells>
  <printOptions horizontalCentered="1"/>
  <pageMargins left="0.39" right="0.2755905511811024" top="1.57" bottom="0.39" header="0.31496062992125984" footer="0.2"/>
  <pageSetup fitToHeight="1" fitToWidth="1" horizontalDpi="600" verticalDpi="600" orientation="portrait" scale="86" r:id="rId1"/>
  <headerFooter>
    <oddHeader>&amp;RToronto Hydro-Electric System Limited
EB-2012-0064
DRAFT RATE ORDER
Appendix C
Schedule 2
Filed:  2013 Apr 12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42"/>
  <sheetViews>
    <sheetView zoomScalePageLayoutView="0" workbookViewId="0" topLeftCell="A8">
      <selection activeCell="F31" sqref="F31:G31"/>
    </sheetView>
  </sheetViews>
  <sheetFormatPr defaultColWidth="9.140625" defaultRowHeight="15"/>
  <cols>
    <col min="1" max="1" width="57.140625" style="0" customWidth="1"/>
    <col min="2" max="2" width="19.7109375" style="0" bestFit="1" customWidth="1"/>
    <col min="3" max="4" width="12.140625" style="0" bestFit="1" customWidth="1"/>
    <col min="5" max="5" width="6.140625" style="0" bestFit="1" customWidth="1"/>
    <col min="6" max="6" width="15.00390625" style="0" bestFit="1" customWidth="1"/>
    <col min="7" max="7" width="12.140625" style="0" bestFit="1" customWidth="1"/>
    <col min="8" max="8" width="15.00390625" style="0" bestFit="1" customWidth="1"/>
    <col min="9" max="9" width="11.140625" style="0" bestFit="1" customWidth="1"/>
    <col min="10" max="10" width="15.00390625" style="4" bestFit="1" customWidth="1"/>
    <col min="11" max="11" width="14.00390625" style="4" bestFit="1" customWidth="1"/>
    <col min="12" max="12" width="11.7109375" style="4" bestFit="1" customWidth="1"/>
  </cols>
  <sheetData>
    <row r="2" spans="1:2" ht="15">
      <c r="A2" s="2" t="s">
        <v>31</v>
      </c>
      <c r="B2" s="5">
        <v>2012</v>
      </c>
    </row>
    <row r="3" spans="1:4" ht="15.75" thickBot="1">
      <c r="A3" s="2"/>
      <c r="B3" s="15" t="s">
        <v>4</v>
      </c>
      <c r="C3" s="16" t="s">
        <v>5</v>
      </c>
      <c r="D3" s="16" t="s">
        <v>2</v>
      </c>
    </row>
    <row r="4" spans="1:9" ht="15">
      <c r="A4" s="23" t="str">
        <f>'Raw Data'!B2</f>
        <v>01 Underground Infrastructure</v>
      </c>
      <c r="B4" s="24">
        <f>'Raw Data'!C3/2</f>
        <v>6371943.875862468</v>
      </c>
      <c r="C4" s="24">
        <f>'Raw Data'!C4/2</f>
        <v>208764.65486101847</v>
      </c>
      <c r="D4" s="25">
        <f>'Raw Data'!C5/2</f>
        <v>509755.5100689963</v>
      </c>
      <c r="E4" s="3"/>
      <c r="I4" s="3"/>
    </row>
    <row r="5" spans="1:9" ht="15">
      <c r="A5" s="26" t="str">
        <f>'Raw Data'!B7</f>
        <v>02 Paper Insulated Lead Covered Cable - Piece Outs and Leakers</v>
      </c>
      <c r="B5" s="22">
        <f>'Raw Data'!C8/2</f>
        <v>17941.11154049764</v>
      </c>
      <c r="C5" s="22">
        <f>'Raw Data'!C9/2</f>
        <v>448.5277885124417</v>
      </c>
      <c r="D5" s="27">
        <f>'Raw Data'!C10/2</f>
        <v>1435.2889232398134</v>
      </c>
      <c r="E5" s="3"/>
      <c r="I5" s="3"/>
    </row>
    <row r="6" spans="1:9" ht="15">
      <c r="A6" s="26" t="str">
        <f>'Raw Data'!B12</f>
        <v>03 Handwell Replacement</v>
      </c>
      <c r="B6" s="22">
        <f>'Raw Data'!C13/2</f>
        <v>3025259.6237139744</v>
      </c>
      <c r="C6" s="22">
        <f>'Raw Data'!C14/2</f>
        <v>75631.49059284937</v>
      </c>
      <c r="D6" s="27">
        <f>'Raw Data'!C15/2</f>
        <v>242020.76989711798</v>
      </c>
      <c r="E6" s="3"/>
      <c r="I6" s="3"/>
    </row>
    <row r="7" spans="1:9" ht="15">
      <c r="A7" s="26" t="str">
        <f>'Raw Data'!B17</f>
        <v>04 Overhead Infrastructure</v>
      </c>
      <c r="B7" s="22">
        <f>'Raw Data'!C18/2</f>
        <v>2010409.7981293327</v>
      </c>
      <c r="C7" s="22">
        <f>'Raw Data'!C19/2</f>
        <v>52922.79579647293</v>
      </c>
      <c r="D7" s="27">
        <f>'Raw Data'!C20/2</f>
        <v>160832.78385034658</v>
      </c>
      <c r="E7" s="3"/>
      <c r="I7" s="3"/>
    </row>
    <row r="8" spans="1:9" ht="15">
      <c r="A8" s="26" t="str">
        <f>'Raw Data'!B22</f>
        <v>05 Box Construction</v>
      </c>
      <c r="B8" s="22">
        <f>'Raw Data'!C23/2</f>
        <v>129192.06361309711</v>
      </c>
      <c r="C8" s="22">
        <f>'Raw Data'!C24/2</f>
        <v>3273.157076975117</v>
      </c>
      <c r="D8" s="27">
        <f>'Raw Data'!C25/2</f>
        <v>10335.36508904776</v>
      </c>
      <c r="E8" s="3"/>
      <c r="I8" s="3"/>
    </row>
    <row r="9" spans="1:9" ht="15">
      <c r="A9" s="26" t="str">
        <f>'Raw Data'!B27</f>
        <v>06 Rear Lot Construction</v>
      </c>
      <c r="B9" s="22">
        <f>'Raw Data'!C28/2</f>
        <v>3624890.4068672173</v>
      </c>
      <c r="C9" s="22">
        <f>'Raw Data'!C29/2</f>
        <v>103424.48721249214</v>
      </c>
      <c r="D9" s="27">
        <f>'Raw Data'!C30/2</f>
        <v>289991.2325493775</v>
      </c>
      <c r="E9" s="3"/>
      <c r="I9" s="3"/>
    </row>
    <row r="10" spans="1:9" ht="15">
      <c r="A10" s="26" t="str">
        <f>'Raw Data'!B32</f>
        <v>07 Polymer SMD - 20 Fuses</v>
      </c>
      <c r="B10" s="22">
        <f>'Raw Data'!C33/2</f>
        <v>0</v>
      </c>
      <c r="C10" s="22">
        <f>'Raw Data'!C34/2</f>
        <v>0</v>
      </c>
      <c r="D10" s="27">
        <f>'Raw Data'!C35/2</f>
        <v>0</v>
      </c>
      <c r="E10" s="3"/>
      <c r="I10" s="3"/>
    </row>
    <row r="11" spans="1:9" ht="15">
      <c r="A11" s="26" t="str">
        <f>'Raw Data'!B37</f>
        <v>08 Scadamate R1 Switches</v>
      </c>
      <c r="B11" s="22">
        <f>'Raw Data'!C38/2</f>
        <v>0</v>
      </c>
      <c r="C11" s="22">
        <f>'Raw Data'!C39/2</f>
        <v>0</v>
      </c>
      <c r="D11" s="27">
        <f>'Raw Data'!C40/2</f>
        <v>0</v>
      </c>
      <c r="E11" s="3"/>
      <c r="I11" s="3"/>
    </row>
    <row r="12" spans="1:9" ht="15">
      <c r="A12" s="26" t="str">
        <f>'Raw Data'!B42</f>
        <v>09 Network Vault &amp; Roofs</v>
      </c>
      <c r="B12" s="22">
        <f>'Raw Data'!C43/2</f>
        <v>628951.1753780023</v>
      </c>
      <c r="C12" s="22">
        <f>'Raw Data'!C44/2</f>
        <v>21168.05864919739</v>
      </c>
      <c r="D12" s="27">
        <f>'Raw Data'!C45/2</f>
        <v>50316.09403024021</v>
      </c>
      <c r="E12" s="3"/>
      <c r="I12" s="3"/>
    </row>
    <row r="13" spans="1:9" ht="15">
      <c r="A13" s="26" t="str">
        <f>'Raw Data'!B47</f>
        <v>10 Fibertop Network Units</v>
      </c>
      <c r="B13" s="22">
        <f>'Raw Data'!C48/2</f>
        <v>326743.31852935604</v>
      </c>
      <c r="C13" s="22">
        <f>'Raw Data'!C49/2</f>
        <v>15645.860732665511</v>
      </c>
      <c r="D13" s="27">
        <f>'Raw Data'!C50/2</f>
        <v>26139.46548234847</v>
      </c>
      <c r="E13" s="3"/>
      <c r="I13" s="3"/>
    </row>
    <row r="14" spans="1:9" ht="15">
      <c r="A14" s="26" t="str">
        <f>'Raw Data'!B52</f>
        <v>11 Automatic Transfer Switches (ATS) &amp; Reverse Power Breakers (RPB)</v>
      </c>
      <c r="B14" s="22">
        <f>'Raw Data'!C53/2</f>
        <v>0</v>
      </c>
      <c r="C14" s="22">
        <f>'Raw Data'!C54/2</f>
        <v>0</v>
      </c>
      <c r="D14" s="27">
        <f>'Raw Data'!C55/2</f>
        <v>0</v>
      </c>
      <c r="E14" s="3"/>
      <c r="I14" s="3"/>
    </row>
    <row r="15" spans="1:9" ht="15">
      <c r="A15" s="26" t="str">
        <f>'Raw Data'!B57</f>
        <v>12 Stations Power Transformers</v>
      </c>
      <c r="B15" s="22">
        <f>'Raw Data'!C58/2</f>
        <v>83221.58987706478</v>
      </c>
      <c r="C15" s="22">
        <f>'Raw Data'!C59/2</f>
        <v>2600.6746836582793</v>
      </c>
      <c r="D15" s="27">
        <f>'Raw Data'!C60/2</f>
        <v>6657.727190165195</v>
      </c>
      <c r="E15" s="3"/>
      <c r="I15" s="3"/>
    </row>
    <row r="16" spans="1:9" ht="15">
      <c r="A16" s="26" t="str">
        <f>'Raw Data'!B62</f>
        <v>13.1 &amp; 13.2 Stations Switchgear -Municipal and Transformer Stations</v>
      </c>
      <c r="B16" s="22">
        <f>'Raw Data'!C63/2</f>
        <v>382864.1060358935</v>
      </c>
      <c r="C16" s="22">
        <f>'Raw Data'!C64/2</f>
        <v>9767.836777357512</v>
      </c>
      <c r="D16" s="27">
        <f>'Raw Data'!C65/2</f>
        <v>30973.969900474756</v>
      </c>
      <c r="E16" s="3"/>
      <c r="I16" s="3"/>
    </row>
    <row r="17" spans="1:9" ht="15">
      <c r="A17" s="26" t="str">
        <f>'Raw Data'!B67</f>
        <v>14 Stations Circuit Breakers</v>
      </c>
      <c r="B17" s="22">
        <f>'Raw Data'!C68/2</f>
        <v>0</v>
      </c>
      <c r="C17" s="22">
        <f>'Raw Data'!C69/2</f>
        <v>0</v>
      </c>
      <c r="D17" s="27">
        <f>'Raw Data'!C70/2</f>
        <v>0</v>
      </c>
      <c r="E17" s="3"/>
      <c r="I17" s="3"/>
    </row>
    <row r="18" spans="1:9" ht="15">
      <c r="A18" s="26" t="str">
        <f>'Raw Data'!B72</f>
        <v>15 Stations Control &amp; Communication Systems</v>
      </c>
      <c r="B18" s="22">
        <f>'Raw Data'!C73/2</f>
        <v>0</v>
      </c>
      <c r="C18" s="22">
        <f>'Raw Data'!C74/2</f>
        <v>0</v>
      </c>
      <c r="D18" s="27">
        <f>'Raw Data'!C75/2</f>
        <v>0</v>
      </c>
      <c r="E18" s="3"/>
      <c r="I18" s="3"/>
    </row>
    <row r="19" spans="1:9" ht="15">
      <c r="A19" s="26" t="str">
        <f>'Raw Data'!B77</f>
        <v>16 Downtown Station Load Transfers</v>
      </c>
      <c r="B19" s="22">
        <f>'Raw Data'!C78/2</f>
        <v>0</v>
      </c>
      <c r="C19" s="22">
        <f>'Raw Data'!C79/2</f>
        <v>0</v>
      </c>
      <c r="D19" s="27">
        <f>'Raw Data'!C80/2</f>
        <v>0</v>
      </c>
      <c r="E19" s="3"/>
      <c r="I19" s="3"/>
    </row>
    <row r="20" spans="1:9" ht="15">
      <c r="A20" s="26" t="str">
        <f>'Raw Data'!B82</f>
        <v>17 Bremner Transformer Station</v>
      </c>
      <c r="B20" s="22">
        <f>'Raw Data'!C83/2</f>
        <v>0</v>
      </c>
      <c r="C20" s="22">
        <f>'Raw Data'!C84/2</f>
        <v>0</v>
      </c>
      <c r="D20" s="27">
        <f>'Raw Data'!C85/2</f>
        <v>0</v>
      </c>
      <c r="E20" s="3"/>
      <c r="I20" s="3"/>
    </row>
    <row r="21" spans="1:9" ht="15">
      <c r="A21" s="26" t="str">
        <f>'Raw Data'!B87</f>
        <v>18 Hydro One Capital Contributions</v>
      </c>
      <c r="B21" s="22">
        <f>'Raw Data'!C88/2</f>
        <v>0</v>
      </c>
      <c r="C21" s="22">
        <f>'Raw Data'!C89/2</f>
        <v>0</v>
      </c>
      <c r="D21" s="27">
        <f>'Raw Data'!C90/2</f>
        <v>0</v>
      </c>
      <c r="E21" s="3"/>
      <c r="I21" s="3"/>
    </row>
    <row r="22" spans="1:9" ht="15">
      <c r="A22" s="26" t="str">
        <f>'Raw Data'!B92</f>
        <v>19 Feeder Automation</v>
      </c>
      <c r="B22" s="22">
        <f>'Raw Data'!C93/2</f>
        <v>0</v>
      </c>
      <c r="C22" s="22">
        <f>'Raw Data'!C94/2</f>
        <v>0</v>
      </c>
      <c r="D22" s="27">
        <f>'Raw Data'!C95/2</f>
        <v>0</v>
      </c>
      <c r="E22" s="3"/>
      <c r="I22" s="3"/>
    </row>
    <row r="23" spans="1:9" ht="15">
      <c r="A23" s="26" t="str">
        <f>'Raw Data'!B97</f>
        <v>20 Metering</v>
      </c>
      <c r="B23" s="22">
        <f>'Raw Data'!C98/2</f>
        <v>1050211.826238931</v>
      </c>
      <c r="C23" s="22">
        <f>'Raw Data'!C99/2</f>
        <v>64204.04706755606</v>
      </c>
      <c r="D23" s="27">
        <f>'Raw Data'!C100/2</f>
        <v>84016.94609911452</v>
      </c>
      <c r="E23" s="3"/>
      <c r="I23" s="3"/>
    </row>
    <row r="24" spans="1:9" ht="15.75" thickBot="1">
      <c r="A24" s="35" t="str">
        <f>'Raw Data'!B102</f>
        <v>21 Externally-Initiated Plant Relocations and Expansions</v>
      </c>
      <c r="B24" s="28">
        <f>'Raw Data'!C103/2</f>
        <v>2252317.488236539</v>
      </c>
      <c r="C24" s="28">
        <f>'Raw Data'!C104/2</f>
        <v>66651.98571206414</v>
      </c>
      <c r="D24" s="29">
        <f>'Raw Data'!C105/2</f>
        <v>180185.3990589232</v>
      </c>
      <c r="E24" s="3"/>
      <c r="I24" s="3"/>
    </row>
    <row r="25" spans="1:9" ht="15.75" thickBot="1">
      <c r="A25" s="3"/>
      <c r="B25" s="3"/>
      <c r="C25" s="3"/>
      <c r="D25" s="3"/>
      <c r="E25" s="3"/>
      <c r="I25" s="3"/>
    </row>
    <row r="26" spans="1:9" ht="15.75" thickBot="1">
      <c r="A26" s="36" t="s">
        <v>12</v>
      </c>
      <c r="B26" s="37" t="e">
        <f>'Raw Data'!#REF!</f>
        <v>#REF!</v>
      </c>
      <c r="C26" s="37">
        <v>0</v>
      </c>
      <c r="D26" s="38">
        <v>0</v>
      </c>
      <c r="I26" s="3"/>
    </row>
    <row r="27" spans="3:9" ht="15.75" thickBot="1">
      <c r="C27" s="3"/>
      <c r="D27" s="3"/>
      <c r="F27" t="s">
        <v>8</v>
      </c>
      <c r="I27" s="3"/>
    </row>
    <row r="28" spans="1:9" ht="15.75" thickBot="1">
      <c r="A28" s="17" t="s">
        <v>3</v>
      </c>
      <c r="B28" s="18" t="e">
        <f>SUM(B4:B26)</f>
        <v>#REF!</v>
      </c>
      <c r="C28" s="18">
        <f>SUM(C4:C26)</f>
        <v>624503.5769508192</v>
      </c>
      <c r="D28" s="19">
        <f>SUM(D4:D26)</f>
        <v>1592660.5521393924</v>
      </c>
      <c r="E28" s="3"/>
      <c r="I28" s="3"/>
    </row>
    <row r="29" ht="15.75" thickBot="1">
      <c r="C29" s="3"/>
    </row>
    <row r="30" spans="1:2" ht="16.5" thickBot="1">
      <c r="A30" s="6" t="s">
        <v>6</v>
      </c>
      <c r="B30" s="7">
        <v>145226309</v>
      </c>
    </row>
    <row r="32" spans="2:3" ht="15">
      <c r="B32" s="3"/>
      <c r="C32" s="3"/>
    </row>
    <row r="33" ht="15">
      <c r="B33" s="8"/>
    </row>
    <row r="34" ht="15">
      <c r="B34" s="34"/>
    </row>
    <row r="36" spans="2:4" ht="15.75" thickBot="1">
      <c r="B36" s="15" t="s">
        <v>4</v>
      </c>
      <c r="C36" s="16" t="s">
        <v>5</v>
      </c>
      <c r="D36" s="16" t="s">
        <v>2</v>
      </c>
    </row>
    <row r="37" spans="1:4" ht="15">
      <c r="A37" s="20" t="s">
        <v>9</v>
      </c>
      <c r="B37" s="13">
        <f>SUM(B4:B24)</f>
        <v>19903946.384022374</v>
      </c>
      <c r="C37" s="13">
        <f>SUM(C4:C24)</f>
        <v>624503.5769508192</v>
      </c>
      <c r="D37" s="14">
        <f>SUM(D4:D24)</f>
        <v>1592660.5521393924</v>
      </c>
    </row>
    <row r="38" spans="1:4" ht="15.75" thickBot="1">
      <c r="A38" s="10" t="s">
        <v>11</v>
      </c>
      <c r="B38" s="11" t="e">
        <f>+B26</f>
        <v>#REF!</v>
      </c>
      <c r="C38" s="11">
        <f>+C26</f>
        <v>0</v>
      </c>
      <c r="D38" s="12">
        <f>+D26</f>
        <v>0</v>
      </c>
    </row>
    <row r="39" spans="1:4" ht="15.75" thickBot="1">
      <c r="A39" s="10" t="s">
        <v>7</v>
      </c>
      <c r="B39" s="11" t="e">
        <f>+B37+B38</f>
        <v>#REF!</v>
      </c>
      <c r="C39" s="11">
        <f>+C37+C38</f>
        <v>624503.5769508192</v>
      </c>
      <c r="D39" s="12">
        <f>+D38+D37</f>
        <v>1592660.5521393924</v>
      </c>
    </row>
    <row r="41" ht="15">
      <c r="A41" t="s">
        <v>33</v>
      </c>
    </row>
    <row r="42" spans="1:5" ht="15">
      <c r="A42" t="s">
        <v>8</v>
      </c>
      <c r="B42" t="s">
        <v>8</v>
      </c>
      <c r="C42" t="s">
        <v>8</v>
      </c>
      <c r="D42" t="s">
        <v>8</v>
      </c>
      <c r="E42" t="s">
        <v>8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L49"/>
  <sheetViews>
    <sheetView zoomScalePageLayoutView="0" workbookViewId="0" topLeftCell="A11">
      <selection activeCell="B38" sqref="B38"/>
    </sheetView>
  </sheetViews>
  <sheetFormatPr defaultColWidth="9.140625" defaultRowHeight="15"/>
  <cols>
    <col min="1" max="1" width="52.57421875" style="0" customWidth="1"/>
    <col min="2" max="2" width="19.7109375" style="0" bestFit="1" customWidth="1"/>
    <col min="3" max="4" width="12.140625" style="0" bestFit="1" customWidth="1"/>
    <col min="5" max="5" width="6.140625" style="0" bestFit="1" customWidth="1"/>
    <col min="6" max="6" width="15.00390625" style="0" bestFit="1" customWidth="1"/>
    <col min="7" max="7" width="12.140625" style="0" bestFit="1" customWidth="1"/>
    <col min="8" max="8" width="15.00390625" style="0" bestFit="1" customWidth="1"/>
    <col min="9" max="9" width="11.140625" style="0" bestFit="1" customWidth="1"/>
    <col min="10" max="10" width="15.00390625" style="4" bestFit="1" customWidth="1"/>
    <col min="11" max="11" width="14.00390625" style="4" bestFit="1" customWidth="1"/>
    <col min="12" max="12" width="11.7109375" style="4" bestFit="1" customWidth="1"/>
  </cols>
  <sheetData>
    <row r="2" spans="1:2" ht="15">
      <c r="A2" s="2" t="s">
        <v>31</v>
      </c>
      <c r="B2" s="5">
        <v>2013</v>
      </c>
    </row>
    <row r="3" spans="1:4" ht="15.75" thickBot="1">
      <c r="A3" s="2"/>
      <c r="B3" s="15" t="s">
        <v>4</v>
      </c>
      <c r="C3" s="16" t="s">
        <v>5</v>
      </c>
      <c r="D3" s="16" t="s">
        <v>2</v>
      </c>
    </row>
    <row r="4" spans="1:9" ht="15">
      <c r="A4" s="23" t="str">
        <f>'Raw Data'!B2</f>
        <v>01 Underground Infrastructure</v>
      </c>
      <c r="B4" s="24">
        <f>'Raw Data'!D3/2</f>
        <v>25941157.626541745</v>
      </c>
      <c r="C4" s="24">
        <f>'Raw Data'!D4/2</f>
        <v>844851.1436178079</v>
      </c>
      <c r="D4" s="25">
        <f>'Raw Data'!D5/2</f>
        <v>2075292.61012334</v>
      </c>
      <c r="E4" s="3"/>
      <c r="I4" s="3"/>
    </row>
    <row r="5" spans="1:9" ht="15">
      <c r="A5" s="26" t="str">
        <f>'Raw Data'!B7</f>
        <v>02 Paper Insulated Lead Covered Cable - Piece Outs and Leakers</v>
      </c>
      <c r="B5" s="22">
        <f>'Raw Data'!D8/2</f>
        <v>1671557.5726728812</v>
      </c>
      <c r="C5" s="22">
        <f>'Raw Data'!D9/2</f>
        <v>45569.21308196247</v>
      </c>
      <c r="D5" s="27">
        <f>'Raw Data'!D10/2</f>
        <v>133724.6058138305</v>
      </c>
      <c r="E5" s="3"/>
      <c r="I5" s="3"/>
    </row>
    <row r="6" spans="1:9" ht="15">
      <c r="A6" s="26" t="str">
        <f>'Raw Data'!B12</f>
        <v>03 Handwell Replacement</v>
      </c>
      <c r="B6" s="22">
        <f>'Raw Data'!D13/2</f>
        <v>8867312.416095246</v>
      </c>
      <c r="C6" s="22">
        <f>'Raw Data'!D14/2</f>
        <v>221682.81040238115</v>
      </c>
      <c r="D6" s="27">
        <f>'Raw Data'!D15/2</f>
        <v>709384.9932876197</v>
      </c>
      <c r="E6" s="3"/>
      <c r="I6" s="3"/>
    </row>
    <row r="7" spans="1:9" ht="15">
      <c r="A7" s="26" t="str">
        <f>'Raw Data'!B17</f>
        <v>04 Overhead Infrastructure</v>
      </c>
      <c r="B7" s="22">
        <f>'Raw Data'!D18/2</f>
        <v>19528403.722425174</v>
      </c>
      <c r="C7" s="22">
        <f>'Raw Data'!D19/2</f>
        <v>524363.6696578623</v>
      </c>
      <c r="D7" s="27">
        <f>'Raw Data'!D20/2</f>
        <v>1562272.2977940144</v>
      </c>
      <c r="E7" s="3"/>
      <c r="I7" s="3"/>
    </row>
    <row r="8" spans="1:9" ht="15">
      <c r="A8" s="26" t="str">
        <f>'Raw Data'!B22</f>
        <v>05 Box Construction</v>
      </c>
      <c r="B8" s="22">
        <f>'Raw Data'!D23/2</f>
        <v>7173943.796587618</v>
      </c>
      <c r="C8" s="22">
        <f>'Raw Data'!D24/2</f>
        <v>184638.31805490833</v>
      </c>
      <c r="D8" s="27">
        <f>'Raw Data'!D25/2</f>
        <v>573915.5037270094</v>
      </c>
      <c r="E8" s="3"/>
      <c r="I8" s="3"/>
    </row>
    <row r="9" spans="1:9" ht="15">
      <c r="A9" s="26" t="str">
        <f>'Raw Data'!B27</f>
        <v>06 Rear Lot Construction</v>
      </c>
      <c r="B9" s="22">
        <f>'Raw Data'!D28/2</f>
        <v>13508094.631683698</v>
      </c>
      <c r="C9" s="22">
        <f>'Raw Data'!D29/2</f>
        <v>398635.63216822495</v>
      </c>
      <c r="D9" s="27">
        <f>'Raw Data'!D30/2</f>
        <v>1080647.5705346956</v>
      </c>
      <c r="E9" s="3"/>
      <c r="I9" s="3"/>
    </row>
    <row r="10" spans="1:9" ht="15">
      <c r="A10" s="26" t="str">
        <f>'Raw Data'!B32</f>
        <v>07 Polymer SMD - 20 Fuses</v>
      </c>
      <c r="B10" s="22">
        <f>'Raw Data'!D33/2</f>
        <v>0</v>
      </c>
      <c r="C10" s="22">
        <f>'Raw Data'!D34/2</f>
        <v>0</v>
      </c>
      <c r="D10" s="27">
        <f>'Raw Data'!D35/2</f>
        <v>0</v>
      </c>
      <c r="E10" s="3"/>
      <c r="I10" s="3"/>
    </row>
    <row r="11" spans="1:9" ht="15">
      <c r="A11" s="26" t="str">
        <f>'Raw Data'!B37</f>
        <v>08 Scadamate R1 Switches</v>
      </c>
      <c r="B11" s="22">
        <f>'Raw Data'!D38/2</f>
        <v>0</v>
      </c>
      <c r="C11" s="22">
        <f>'Raw Data'!D39/2</f>
        <v>0</v>
      </c>
      <c r="D11" s="27">
        <f>'Raw Data'!D40/2</f>
        <v>0</v>
      </c>
      <c r="E11" s="3"/>
      <c r="I11" s="3"/>
    </row>
    <row r="12" spans="1:9" ht="15">
      <c r="A12" s="26" t="str">
        <f>'Raw Data'!B42</f>
        <v>09 Network Vault &amp; Roofs</v>
      </c>
      <c r="B12" s="22">
        <f>'Raw Data'!D43/2</f>
        <v>6499071.920339905</v>
      </c>
      <c r="C12" s="22">
        <f>'Raw Data'!D44/2</f>
        <v>216101.37554183204</v>
      </c>
      <c r="D12" s="27">
        <f>'Raw Data'!D45/2</f>
        <v>519925.7536271924</v>
      </c>
      <c r="E12" s="3"/>
      <c r="I12" s="3"/>
    </row>
    <row r="13" spans="1:9" ht="15">
      <c r="A13" s="26" t="str">
        <f>'Raw Data'!B47</f>
        <v>10 Fibertop Network Units</v>
      </c>
      <c r="B13" s="22">
        <f>'Raw Data'!D48/2</f>
        <v>2757540.8085636627</v>
      </c>
      <c r="C13" s="22">
        <f>'Raw Data'!D49/2</f>
        <v>132416.20357705027</v>
      </c>
      <c r="D13" s="27">
        <f>'Raw Data'!D50/2</f>
        <v>220603.26468509302</v>
      </c>
      <c r="E13" s="3"/>
      <c r="I13" s="3"/>
    </row>
    <row r="14" spans="1:9" ht="15">
      <c r="A14" s="26" t="str">
        <f>'Raw Data'!B52</f>
        <v>11 Automatic Transfer Switches (ATS) &amp; Reverse Power Breakers (RPB)</v>
      </c>
      <c r="B14" s="22">
        <f>'Raw Data'!D53/2</f>
        <v>993009.3159392747</v>
      </c>
      <c r="C14" s="22">
        <f>'Raw Data'!D54/2</f>
        <v>44600.74975618264</v>
      </c>
      <c r="D14" s="27">
        <f>'Raw Data'!D55/2</f>
        <v>79440.74527514198</v>
      </c>
      <c r="E14" s="3"/>
      <c r="I14" s="3"/>
    </row>
    <row r="15" spans="1:9" ht="15">
      <c r="A15" s="26" t="str">
        <f>'Raw Data'!B57</f>
        <v>12 Stations Power Transformers</v>
      </c>
      <c r="B15" s="22">
        <f>'Raw Data'!D58/2</f>
        <v>1164217.7657679478</v>
      </c>
      <c r="C15" s="22">
        <f>'Raw Data'!D59/2</f>
        <v>36412.69735178027</v>
      </c>
      <c r="D15" s="27">
        <f>'Raw Data'!D60/2</f>
        <v>93047.9301043091</v>
      </c>
      <c r="E15" s="3"/>
      <c r="I15" s="3"/>
    </row>
    <row r="16" spans="1:9" ht="15">
      <c r="A16" s="26" t="str">
        <f>'Raw Data'!B62</f>
        <v>13.1 &amp; 13.2 Stations Switchgear -Municipal and Transformer Stations</v>
      </c>
      <c r="B16" s="22">
        <f>'Raw Data'!D63/2</f>
        <v>4579085.31143047</v>
      </c>
      <c r="C16" s="22">
        <f>'Raw Data'!D64/2</f>
        <v>116868.63218043941</v>
      </c>
      <c r="D16" s="27">
        <f>'Raw Data'!D65/2</f>
        <v>368300.5651849682</v>
      </c>
      <c r="E16" s="3"/>
      <c r="I16" s="3"/>
    </row>
    <row r="17" spans="1:9" ht="15">
      <c r="A17" s="26" t="str">
        <f>'Raw Data'!B67</f>
        <v>14 Stations Circuit Breakers</v>
      </c>
      <c r="B17" s="22">
        <f>'Raw Data'!D68/2</f>
        <v>0</v>
      </c>
      <c r="C17" s="22">
        <f>'Raw Data'!D69/2</f>
        <v>0</v>
      </c>
      <c r="D17" s="27">
        <f>'Raw Data'!D70/2</f>
        <v>0</v>
      </c>
      <c r="E17" s="3"/>
      <c r="I17" s="3"/>
    </row>
    <row r="18" spans="1:9" ht="15">
      <c r="A18" s="26" t="str">
        <f>'Raw Data'!B72</f>
        <v>15 Stations Control &amp; Communication Systems</v>
      </c>
      <c r="B18" s="22">
        <f>'Raw Data'!D73/2</f>
        <v>0</v>
      </c>
      <c r="C18" s="22">
        <f>'Raw Data'!D74/2</f>
        <v>0</v>
      </c>
      <c r="D18" s="27">
        <f>'Raw Data'!D75/2</f>
        <v>0</v>
      </c>
      <c r="E18" s="3"/>
      <c r="I18" s="3"/>
    </row>
    <row r="19" spans="1:9" ht="15">
      <c r="A19" s="26" t="str">
        <f>'Raw Data'!B77</f>
        <v>16 Downtown Station Load Transfers</v>
      </c>
      <c r="B19" s="22">
        <f>'Raw Data'!D78/2</f>
        <v>0</v>
      </c>
      <c r="C19" s="22">
        <f>'Raw Data'!D79/2</f>
        <v>0</v>
      </c>
      <c r="D19" s="27">
        <f>'Raw Data'!D80/2</f>
        <v>0</v>
      </c>
      <c r="E19" s="3"/>
      <c r="I19" s="3"/>
    </row>
    <row r="20" spans="1:9" ht="15">
      <c r="A20" s="26" t="str">
        <f>'Raw Data'!B82</f>
        <v>17 Bremner Transformer Station</v>
      </c>
      <c r="B20" s="22">
        <f>'Raw Data'!D83/2</f>
        <v>1217270.7850000001</v>
      </c>
      <c r="C20" s="22">
        <f>'Raw Data'!D84/2</f>
        <v>247036.3565</v>
      </c>
      <c r="D20" s="27">
        <f>'Raw Data'!D85/2</f>
        <v>97381.66279999999</v>
      </c>
      <c r="E20" s="3"/>
      <c r="I20" s="3"/>
    </row>
    <row r="21" spans="1:9" ht="15">
      <c r="A21" s="26" t="str">
        <f>'Raw Data'!B87</f>
        <v>18 Hydro One Capital Contributions</v>
      </c>
      <c r="B21" s="22">
        <f>'Raw Data'!D88/2</f>
        <v>0</v>
      </c>
      <c r="C21" s="22">
        <f>'Raw Data'!D89/2</f>
        <v>0</v>
      </c>
      <c r="D21" s="27">
        <f>'Raw Data'!D90/2</f>
        <v>0</v>
      </c>
      <c r="E21" s="3"/>
      <c r="I21" s="3"/>
    </row>
    <row r="22" spans="1:9" ht="15">
      <c r="A22" s="26" t="str">
        <f>'Raw Data'!B92</f>
        <v>19 Feeder Automation</v>
      </c>
      <c r="B22" s="22">
        <f>'Raw Data'!D93/2</f>
        <v>0</v>
      </c>
      <c r="C22" s="22">
        <f>'Raw Data'!D94/2</f>
        <v>0</v>
      </c>
      <c r="D22" s="27">
        <f>'Raw Data'!D95/2</f>
        <v>0</v>
      </c>
      <c r="E22" s="3"/>
      <c r="I22" s="3"/>
    </row>
    <row r="23" spans="1:9" ht="15">
      <c r="A23" s="26" t="str">
        <f>'Raw Data'!B97</f>
        <v>20 Metering</v>
      </c>
      <c r="B23" s="22">
        <f>'Raw Data'!D98/2</f>
        <v>3876732.1826460944</v>
      </c>
      <c r="C23" s="22">
        <f>'Raw Data'!D99/2</f>
        <v>200058.50320584385</v>
      </c>
      <c r="D23" s="27">
        <f>'Raw Data'!D100/2</f>
        <v>310138.57461168757</v>
      </c>
      <c r="E23" s="3"/>
      <c r="I23" s="3"/>
    </row>
    <row r="24" spans="1:9" ht="15.75" thickBot="1">
      <c r="A24" s="35" t="str">
        <f>'Raw Data'!B102</f>
        <v>21 Externally-Initiated Plant Relocations and Expansions</v>
      </c>
      <c r="B24" s="28">
        <f>'Raw Data'!D103/2</f>
        <v>10388407.884530662</v>
      </c>
      <c r="C24" s="28">
        <f>'Raw Data'!D104/2</f>
        <v>318008.64135434176</v>
      </c>
      <c r="D24" s="29">
        <f>'Raw Data'!D105/2</f>
        <v>831072.6307624531</v>
      </c>
      <c r="E24" s="3"/>
      <c r="I24" s="3"/>
    </row>
    <row r="25" spans="1:9" ht="15.75" thickBot="1">
      <c r="A25" s="3"/>
      <c r="B25" s="3"/>
      <c r="C25" s="3"/>
      <c r="D25" s="3"/>
      <c r="E25" s="3"/>
      <c r="I25" s="3"/>
    </row>
    <row r="26" spans="1:9" ht="15.75" thickBot="1">
      <c r="A26" s="36" t="s">
        <v>12</v>
      </c>
      <c r="B26" s="37" t="e">
        <f>+'Raw Data'!#REF!</f>
        <v>#REF!</v>
      </c>
      <c r="C26" s="37">
        <v>0</v>
      </c>
      <c r="D26" s="38">
        <v>0</v>
      </c>
      <c r="E26" s="3"/>
      <c r="I26" s="3"/>
    </row>
    <row r="27" spans="1:12" s="31" customFormat="1" ht="15">
      <c r="A27"/>
      <c r="B27"/>
      <c r="C27" s="3"/>
      <c r="D27" s="3"/>
      <c r="E27" s="30"/>
      <c r="I27" s="30"/>
      <c r="J27" s="32"/>
      <c r="K27" s="32"/>
      <c r="L27" s="32"/>
    </row>
    <row r="28" spans="3:9" ht="15.75" thickBot="1">
      <c r="C28" s="3"/>
      <c r="D28" s="3"/>
      <c r="I28" s="3"/>
    </row>
    <row r="29" spans="1:12" s="31" customFormat="1" ht="15.75" thickBot="1">
      <c r="A29" s="17" t="s">
        <v>3</v>
      </c>
      <c r="B29" s="18" t="e">
        <f>SUM(B4:B26)</f>
        <v>#REF!</v>
      </c>
      <c r="C29" s="18">
        <f>SUM(C4:C26)</f>
        <v>3531243.946450617</v>
      </c>
      <c r="D29" s="19">
        <f>SUM(D4:D26)</f>
        <v>8655148.708331354</v>
      </c>
      <c r="I29" s="30"/>
      <c r="J29" s="32"/>
      <c r="K29" s="32"/>
      <c r="L29" s="32"/>
    </row>
    <row r="30" spans="3:9" ht="15.75" thickBot="1">
      <c r="C30" s="3"/>
      <c r="I30" s="3"/>
    </row>
    <row r="31" spans="1:9" ht="16.5" thickBot="1">
      <c r="A31" s="6" t="s">
        <v>6</v>
      </c>
      <c r="B31" s="7">
        <v>145226309</v>
      </c>
      <c r="I31" s="3"/>
    </row>
    <row r="32" spans="7:9" ht="15">
      <c r="G32" s="3"/>
      <c r="H32" s="3"/>
      <c r="I32" s="3"/>
    </row>
    <row r="33" spans="2:9" ht="15">
      <c r="B33" s="3"/>
      <c r="C33" s="3"/>
      <c r="I33" s="3"/>
    </row>
    <row r="34" spans="2:9" ht="15">
      <c r="B34" s="8"/>
      <c r="I34" s="3"/>
    </row>
    <row r="35" spans="2:9" ht="15">
      <c r="B35" s="9"/>
      <c r="E35" s="3"/>
      <c r="I35" s="3"/>
    </row>
    <row r="37" spans="2:4" ht="15.75" thickBot="1">
      <c r="B37" s="15" t="s">
        <v>4</v>
      </c>
      <c r="C37" s="16" t="s">
        <v>5</v>
      </c>
      <c r="D37" s="16" t="s">
        <v>2</v>
      </c>
    </row>
    <row r="38" spans="1:4" ht="15">
      <c r="A38" s="20" t="s">
        <v>9</v>
      </c>
      <c r="B38" s="13">
        <f>SUM(B4:B23)</f>
        <v>97777397.85569371</v>
      </c>
      <c r="C38" s="13">
        <f>SUM(C4:C24)</f>
        <v>3531243.946450617</v>
      </c>
      <c r="D38" s="14">
        <f>SUM(D4:D24)</f>
        <v>8655148.708331354</v>
      </c>
    </row>
    <row r="39" spans="1:4" ht="15.75" thickBot="1">
      <c r="A39" s="10" t="s">
        <v>11</v>
      </c>
      <c r="B39" s="11" t="e">
        <f>+B26</f>
        <v>#REF!</v>
      </c>
      <c r="C39" s="11">
        <f>+C26</f>
        <v>0</v>
      </c>
      <c r="D39" s="12">
        <f>+D26</f>
        <v>0</v>
      </c>
    </row>
    <row r="40" spans="1:4" ht="15.75" thickBot="1">
      <c r="A40" s="10" t="s">
        <v>7</v>
      </c>
      <c r="B40" s="11" t="e">
        <f>SUM(B38:B39)</f>
        <v>#REF!</v>
      </c>
      <c r="C40" s="11">
        <f>SUM(C38:C39)</f>
        <v>3531243.946450617</v>
      </c>
      <c r="D40" s="12">
        <f>SUM(D38:D39)</f>
        <v>8655148.708331354</v>
      </c>
    </row>
    <row r="43" spans="1:4" ht="15">
      <c r="A43" t="s">
        <v>8</v>
      </c>
      <c r="B43" t="s">
        <v>8</v>
      </c>
      <c r="C43" t="s">
        <v>8</v>
      </c>
      <c r="D43" t="s">
        <v>8</v>
      </c>
    </row>
    <row r="49" ht="15">
      <c r="E49" t="s">
        <v>8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</dc:creator>
  <cp:keywords/>
  <dc:description/>
  <cp:lastModifiedBy>acrespo</cp:lastModifiedBy>
  <cp:lastPrinted>2013-04-11T21:21:24Z</cp:lastPrinted>
  <dcterms:created xsi:type="dcterms:W3CDTF">2012-04-19T14:15:46Z</dcterms:created>
  <dcterms:modified xsi:type="dcterms:W3CDTF">2013-04-12T16:52:37Z</dcterms:modified>
  <cp:category/>
  <cp:version/>
  <cp:contentType/>
  <cp:contentStatus/>
</cp:coreProperties>
</file>