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020" windowHeight="9090" firstSheet="6" activeTab="7"/>
  </bookViews>
  <sheets>
    <sheet name="Cover" sheetId="10" r:id="rId1"/>
    <sheet name="Rates" sheetId="1" r:id="rId2"/>
    <sheet name="Residential R1 Impact" sheetId="4" r:id="rId3"/>
    <sheet name="Residential R1 Impact Non-RPP" sheetId="13" r:id="rId4"/>
    <sheet name="Residential R1 Impact (2)" sheetId="19" r:id="rId5"/>
    <sheet name="Res R1 Impact Non-RPP (2)" sheetId="20" r:id="rId6"/>
    <sheet name="Residential R2 Impact" sheetId="6" r:id="rId7"/>
    <sheet name="Residential R2 Impact Interval" sheetId="21" r:id="rId8"/>
    <sheet name="Seasonal Impact" sheetId="8" r:id="rId9"/>
    <sheet name="Seasonal Impact Non-RPP" sheetId="17" r:id="rId10"/>
    <sheet name="Street Light Impact" sheetId="9" r:id="rId11"/>
    <sheet name="Street Light Impact Non-RPP" sheetId="18" r:id="rId12"/>
    <sheet name="Summary" sheetId="11" r:id="rId13"/>
  </sheets>
  <definedNames>
    <definedName name="_xlnm.Print_Area" localSheetId="8">'Seasonal Impact'!$A$1:$K$63</definedName>
    <definedName name="_xlnm.Print_Area" localSheetId="9">'Seasonal Impact Non-RPP'!$A$1:$K$63</definedName>
    <definedName name="_xlnm.Print_Area" localSheetId="10">'Street Light Impact'!$A$1:$K$50</definedName>
    <definedName name="_xlnm.Print_Area" localSheetId="11">'Street Light Impact Non-RPP'!$A$1:$K$50</definedName>
  </definedNames>
  <calcPr calcId="144525"/>
</workbook>
</file>

<file path=xl/calcChain.xml><?xml version="1.0" encoding="utf-8"?>
<calcChain xmlns="http://schemas.openxmlformats.org/spreadsheetml/2006/main">
  <c r="E45" i="17" l="1"/>
  <c r="E44" i="17"/>
  <c r="B45" i="17"/>
  <c r="B44" i="17"/>
  <c r="E45" i="8"/>
  <c r="E44" i="8"/>
  <c r="B45" i="8"/>
  <c r="B44" i="8"/>
  <c r="E31" i="18"/>
  <c r="B31" i="18"/>
  <c r="B7" i="18"/>
  <c r="C7" i="18"/>
  <c r="C31" i="18" s="1"/>
  <c r="D7" i="18"/>
  <c r="F31" i="18" s="1"/>
  <c r="G31" i="18" s="1"/>
  <c r="A7" i="18"/>
  <c r="A31" i="18" s="1"/>
  <c r="E31" i="9"/>
  <c r="B31" i="9"/>
  <c r="B7" i="9"/>
  <c r="C7" i="9"/>
  <c r="C31" i="9" s="1"/>
  <c r="D31" i="9" s="1"/>
  <c r="D7" i="9"/>
  <c r="F31" i="9" s="1"/>
  <c r="A7" i="9"/>
  <c r="A31" i="9" s="1"/>
  <c r="E35" i="17"/>
  <c r="B35" i="17"/>
  <c r="E38" i="17"/>
  <c r="B38" i="17"/>
  <c r="B9" i="17"/>
  <c r="C9" i="17"/>
  <c r="C38" i="17" s="1"/>
  <c r="D9" i="17"/>
  <c r="F38" i="17" s="1"/>
  <c r="A9" i="17"/>
  <c r="A38" i="17" s="1"/>
  <c r="E35" i="8"/>
  <c r="B35" i="8"/>
  <c r="E38" i="8"/>
  <c r="B38" i="8"/>
  <c r="B9" i="8"/>
  <c r="C9" i="8"/>
  <c r="C38" i="8" s="1"/>
  <c r="D9" i="8"/>
  <c r="F38" i="8" s="1"/>
  <c r="G38" i="8" s="1"/>
  <c r="A9" i="8"/>
  <c r="A38" i="8" s="1"/>
  <c r="F52" i="21"/>
  <c r="C52" i="21"/>
  <c r="F50" i="21"/>
  <c r="E50" i="21"/>
  <c r="C50" i="21"/>
  <c r="B50" i="21"/>
  <c r="E48" i="21"/>
  <c r="B48" i="21"/>
  <c r="B47" i="21"/>
  <c r="B46" i="21"/>
  <c r="B43" i="21"/>
  <c r="B42" i="21"/>
  <c r="E40" i="21"/>
  <c r="B40" i="21"/>
  <c r="E39" i="21"/>
  <c r="B39" i="21"/>
  <c r="E38" i="21"/>
  <c r="B38" i="21"/>
  <c r="E37" i="21"/>
  <c r="B37" i="21"/>
  <c r="E36" i="21"/>
  <c r="B36" i="21"/>
  <c r="E35" i="21"/>
  <c r="B35" i="21"/>
  <c r="E34" i="21"/>
  <c r="B34" i="21"/>
  <c r="E33" i="21"/>
  <c r="B33" i="21"/>
  <c r="B32" i="21"/>
  <c r="E32" i="21" s="1"/>
  <c r="E31" i="21"/>
  <c r="F29" i="21"/>
  <c r="C29" i="21"/>
  <c r="B29" i="21"/>
  <c r="F28" i="21"/>
  <c r="C28" i="21"/>
  <c r="B28" i="21"/>
  <c r="E24" i="21"/>
  <c r="H23" i="21"/>
  <c r="E29" i="21" s="1"/>
  <c r="D20" i="21"/>
  <c r="F48" i="21" s="1"/>
  <c r="C20" i="21"/>
  <c r="C48" i="21" s="1"/>
  <c r="D48" i="21" s="1"/>
  <c r="B20" i="21"/>
  <c r="A20" i="21"/>
  <c r="A48" i="21" s="1"/>
  <c r="D19" i="21"/>
  <c r="F47" i="21" s="1"/>
  <c r="C19" i="21"/>
  <c r="C47" i="21" s="1"/>
  <c r="B19" i="21"/>
  <c r="A19" i="21"/>
  <c r="A47" i="21" s="1"/>
  <c r="D18" i="21"/>
  <c r="F46" i="21" s="1"/>
  <c r="C18" i="21"/>
  <c r="C46" i="21" s="1"/>
  <c r="B18" i="21"/>
  <c r="A18" i="21"/>
  <c r="A46" i="21" s="1"/>
  <c r="D17" i="21"/>
  <c r="F43" i="21" s="1"/>
  <c r="C17" i="21"/>
  <c r="C43" i="21" s="1"/>
  <c r="B17" i="21"/>
  <c r="A17" i="21"/>
  <c r="D16" i="21"/>
  <c r="F42" i="21" s="1"/>
  <c r="C16" i="21"/>
  <c r="C42" i="21" s="1"/>
  <c r="B16" i="21"/>
  <c r="A16" i="21"/>
  <c r="D15" i="21"/>
  <c r="C15" i="21"/>
  <c r="B15" i="21"/>
  <c r="A15" i="21"/>
  <c r="A43" i="21" s="1"/>
  <c r="D14" i="21"/>
  <c r="C14" i="21"/>
  <c r="B14" i="21"/>
  <c r="A14" i="21"/>
  <c r="A42" i="21" s="1"/>
  <c r="D13" i="21"/>
  <c r="F40" i="21" s="1"/>
  <c r="C13" i="21"/>
  <c r="C40" i="21" s="1"/>
  <c r="B13" i="21"/>
  <c r="A13" i="21"/>
  <c r="A40" i="21" s="1"/>
  <c r="D12" i="21"/>
  <c r="F39" i="21" s="1"/>
  <c r="G39" i="21" s="1"/>
  <c r="C12" i="21"/>
  <c r="C39" i="21" s="1"/>
  <c r="D39" i="21" s="1"/>
  <c r="B12" i="21"/>
  <c r="A12" i="21"/>
  <c r="A39" i="21" s="1"/>
  <c r="D11" i="21"/>
  <c r="F38" i="21" s="1"/>
  <c r="C11" i="21"/>
  <c r="C38" i="21" s="1"/>
  <c r="B11" i="21"/>
  <c r="A11" i="21"/>
  <c r="A38" i="21" s="1"/>
  <c r="D10" i="21"/>
  <c r="F37" i="21" s="1"/>
  <c r="G37" i="21" s="1"/>
  <c r="C10" i="21"/>
  <c r="C37" i="21" s="1"/>
  <c r="D37" i="21" s="1"/>
  <c r="B10" i="21"/>
  <c r="A10" i="21"/>
  <c r="A37" i="21" s="1"/>
  <c r="D9" i="21"/>
  <c r="F36" i="21" s="1"/>
  <c r="C9" i="21"/>
  <c r="C36" i="21" s="1"/>
  <c r="B9" i="21"/>
  <c r="A9" i="21"/>
  <c r="A36" i="21" s="1"/>
  <c r="D8" i="21"/>
  <c r="F35" i="21" s="1"/>
  <c r="G35" i="21" s="1"/>
  <c r="C8" i="21"/>
  <c r="C35" i="21" s="1"/>
  <c r="D35" i="21" s="1"/>
  <c r="B8" i="21"/>
  <c r="A8" i="21"/>
  <c r="A35" i="21" s="1"/>
  <c r="D7" i="21"/>
  <c r="F34" i="21" s="1"/>
  <c r="C7" i="21"/>
  <c r="C34" i="21" s="1"/>
  <c r="B7" i="21"/>
  <c r="A7" i="21"/>
  <c r="A34" i="21" s="1"/>
  <c r="D6" i="21"/>
  <c r="F33" i="21" s="1"/>
  <c r="G33" i="21" s="1"/>
  <c r="C6" i="21"/>
  <c r="C33" i="21" s="1"/>
  <c r="D33" i="21" s="1"/>
  <c r="B6" i="21"/>
  <c r="A6" i="21"/>
  <c r="A33" i="21" s="1"/>
  <c r="D5" i="21"/>
  <c r="F32" i="21" s="1"/>
  <c r="C5" i="21"/>
  <c r="C32" i="21" s="1"/>
  <c r="B5" i="21"/>
  <c r="A5" i="21"/>
  <c r="A32" i="21" s="1"/>
  <c r="D4" i="21"/>
  <c r="F31" i="21" s="1"/>
  <c r="G31" i="21" s="1"/>
  <c r="C4" i="21"/>
  <c r="C31" i="21" s="1"/>
  <c r="D31" i="21" s="1"/>
  <c r="B4" i="21"/>
  <c r="A4" i="21"/>
  <c r="A31" i="21" s="1"/>
  <c r="D3" i="21"/>
  <c r="C3" i="21"/>
  <c r="B3" i="21"/>
  <c r="A3" i="21"/>
  <c r="A26" i="21" s="1"/>
  <c r="E35" i="6"/>
  <c r="B35" i="6"/>
  <c r="D12" i="6"/>
  <c r="B8" i="6"/>
  <c r="C8" i="6"/>
  <c r="C35" i="6" s="1"/>
  <c r="D8" i="6"/>
  <c r="F35" i="6" s="1"/>
  <c r="A8" i="6"/>
  <c r="A35" i="6" s="1"/>
  <c r="F52" i="20"/>
  <c r="C52" i="20"/>
  <c r="F50" i="20"/>
  <c r="E50" i="20"/>
  <c r="C50" i="20"/>
  <c r="B50" i="20"/>
  <c r="E48" i="20"/>
  <c r="B48" i="20"/>
  <c r="F32" i="20"/>
  <c r="E32" i="20"/>
  <c r="C32" i="20"/>
  <c r="B32" i="20"/>
  <c r="B47" i="20"/>
  <c r="B46" i="20"/>
  <c r="B43" i="20"/>
  <c r="B42" i="20"/>
  <c r="E40" i="20"/>
  <c r="B40" i="20"/>
  <c r="E39" i="20"/>
  <c r="B39" i="20"/>
  <c r="E38" i="20"/>
  <c r="B38" i="20"/>
  <c r="E37" i="20"/>
  <c r="B37" i="20"/>
  <c r="E36" i="20"/>
  <c r="B36" i="20"/>
  <c r="E35" i="20"/>
  <c r="B35" i="20"/>
  <c r="E34" i="20"/>
  <c r="B34" i="20"/>
  <c r="E33" i="20"/>
  <c r="B33" i="20"/>
  <c r="B31" i="20"/>
  <c r="E31" i="20" s="1"/>
  <c r="E30" i="20"/>
  <c r="F28" i="20"/>
  <c r="C28" i="20"/>
  <c r="B28" i="20"/>
  <c r="F27" i="20"/>
  <c r="C27" i="20"/>
  <c r="B27" i="20"/>
  <c r="E23" i="20"/>
  <c r="H22" i="20"/>
  <c r="E27" i="20" s="1"/>
  <c r="G27" i="20" s="1"/>
  <c r="D19" i="20"/>
  <c r="F48" i="20" s="1"/>
  <c r="C19" i="20"/>
  <c r="C48" i="20" s="1"/>
  <c r="B19" i="20"/>
  <c r="A19" i="20"/>
  <c r="A48" i="20" s="1"/>
  <c r="D6" i="20"/>
  <c r="C6" i="20"/>
  <c r="B6" i="20"/>
  <c r="A6" i="20"/>
  <c r="A32" i="20" s="1"/>
  <c r="D18" i="20"/>
  <c r="F47" i="20" s="1"/>
  <c r="C18" i="20"/>
  <c r="C47" i="20" s="1"/>
  <c r="B18" i="20"/>
  <c r="A18" i="20"/>
  <c r="A47" i="20" s="1"/>
  <c r="D17" i="20"/>
  <c r="F46" i="20" s="1"/>
  <c r="C17" i="20"/>
  <c r="C46" i="20" s="1"/>
  <c r="B17" i="20"/>
  <c r="A17" i="20"/>
  <c r="A46" i="20" s="1"/>
  <c r="D16" i="20"/>
  <c r="F43" i="20" s="1"/>
  <c r="C16" i="20"/>
  <c r="C43" i="20" s="1"/>
  <c r="B16" i="20"/>
  <c r="A16" i="20"/>
  <c r="A43" i="20" s="1"/>
  <c r="D15" i="20"/>
  <c r="F42" i="20" s="1"/>
  <c r="C15" i="20"/>
  <c r="C42" i="20" s="1"/>
  <c r="B15" i="20"/>
  <c r="A15" i="20"/>
  <c r="A42" i="20" s="1"/>
  <c r="D14" i="20"/>
  <c r="F40" i="20" s="1"/>
  <c r="C14" i="20"/>
  <c r="C40" i="20" s="1"/>
  <c r="B14" i="20"/>
  <c r="A14" i="20"/>
  <c r="A40" i="20" s="1"/>
  <c r="D13" i="20"/>
  <c r="F39" i="20" s="1"/>
  <c r="C13" i="20"/>
  <c r="C39" i="20" s="1"/>
  <c r="B13" i="20"/>
  <c r="A13" i="20"/>
  <c r="A39" i="20" s="1"/>
  <c r="D12" i="20"/>
  <c r="F38" i="20" s="1"/>
  <c r="C12" i="20"/>
  <c r="C38" i="20" s="1"/>
  <c r="B12" i="20"/>
  <c r="A12" i="20"/>
  <c r="A38" i="20" s="1"/>
  <c r="D11" i="20"/>
  <c r="F37" i="20" s="1"/>
  <c r="C11" i="20"/>
  <c r="C37" i="20" s="1"/>
  <c r="B11" i="20"/>
  <c r="A11" i="20"/>
  <c r="A37" i="20" s="1"/>
  <c r="D10" i="20"/>
  <c r="F36" i="20" s="1"/>
  <c r="C10" i="20"/>
  <c r="C36" i="20" s="1"/>
  <c r="B10" i="20"/>
  <c r="A10" i="20"/>
  <c r="A36" i="20" s="1"/>
  <c r="D9" i="20"/>
  <c r="F35" i="20" s="1"/>
  <c r="C9" i="20"/>
  <c r="C35" i="20" s="1"/>
  <c r="B9" i="20"/>
  <c r="A9" i="20"/>
  <c r="A35" i="20" s="1"/>
  <c r="D8" i="20"/>
  <c r="F34" i="20" s="1"/>
  <c r="C8" i="20"/>
  <c r="C34" i="20" s="1"/>
  <c r="B8" i="20"/>
  <c r="A8" i="20"/>
  <c r="A34" i="20" s="1"/>
  <c r="D7" i="20"/>
  <c r="F33" i="20" s="1"/>
  <c r="C7" i="20"/>
  <c r="C33" i="20" s="1"/>
  <c r="B7" i="20"/>
  <c r="A7" i="20"/>
  <c r="A33" i="20" s="1"/>
  <c r="D5" i="20"/>
  <c r="F31" i="20" s="1"/>
  <c r="C5" i="20"/>
  <c r="C31" i="20" s="1"/>
  <c r="D31" i="20" s="1"/>
  <c r="B5" i="20"/>
  <c r="A5" i="20"/>
  <c r="A31" i="20" s="1"/>
  <c r="D4" i="20"/>
  <c r="F30" i="20" s="1"/>
  <c r="C4" i="20"/>
  <c r="C30" i="20" s="1"/>
  <c r="D30" i="20" s="1"/>
  <c r="B4" i="20"/>
  <c r="A4" i="20"/>
  <c r="A30" i="20" s="1"/>
  <c r="D3" i="20"/>
  <c r="C3" i="20"/>
  <c r="B3" i="20"/>
  <c r="A3" i="20"/>
  <c r="A25" i="20" s="1"/>
  <c r="F52" i="19"/>
  <c r="C52" i="19"/>
  <c r="F50" i="19"/>
  <c r="E50" i="19"/>
  <c r="C50" i="19"/>
  <c r="B50" i="19"/>
  <c r="E48" i="19"/>
  <c r="B48" i="19"/>
  <c r="F32" i="19"/>
  <c r="E32" i="19"/>
  <c r="C32" i="19"/>
  <c r="B32" i="19"/>
  <c r="B47" i="19"/>
  <c r="B46" i="19"/>
  <c r="B43" i="19"/>
  <c r="B42" i="19"/>
  <c r="E40" i="19"/>
  <c r="B40" i="19"/>
  <c r="F39" i="19"/>
  <c r="E39" i="19"/>
  <c r="B39" i="19"/>
  <c r="E38" i="19"/>
  <c r="B38" i="19"/>
  <c r="E37" i="19"/>
  <c r="B37" i="19"/>
  <c r="E36" i="19"/>
  <c r="B36" i="19"/>
  <c r="E35" i="19"/>
  <c r="B35" i="19"/>
  <c r="E34" i="19"/>
  <c r="B34" i="19"/>
  <c r="E33" i="19"/>
  <c r="B33" i="19"/>
  <c r="B31" i="19"/>
  <c r="E31" i="19" s="1"/>
  <c r="E30" i="19"/>
  <c r="F28" i="19"/>
  <c r="C28" i="19"/>
  <c r="B28" i="19"/>
  <c r="F27" i="19"/>
  <c r="C27" i="19"/>
  <c r="B27" i="19"/>
  <c r="E23" i="19"/>
  <c r="H22" i="19"/>
  <c r="E42" i="19" s="1"/>
  <c r="D19" i="19"/>
  <c r="F48" i="19" s="1"/>
  <c r="C19" i="19"/>
  <c r="C48" i="19" s="1"/>
  <c r="B19" i="19"/>
  <c r="A19" i="19"/>
  <c r="A48" i="19" s="1"/>
  <c r="D6" i="19"/>
  <c r="C6" i="19"/>
  <c r="B6" i="19"/>
  <c r="A6" i="19"/>
  <c r="A32" i="19" s="1"/>
  <c r="D18" i="19"/>
  <c r="F47" i="19" s="1"/>
  <c r="C18" i="19"/>
  <c r="C47" i="19" s="1"/>
  <c r="B18" i="19"/>
  <c r="A18" i="19"/>
  <c r="A47" i="19" s="1"/>
  <c r="D17" i="19"/>
  <c r="F46" i="19" s="1"/>
  <c r="C17" i="19"/>
  <c r="C46" i="19" s="1"/>
  <c r="B17" i="19"/>
  <c r="A17" i="19"/>
  <c r="A46" i="19" s="1"/>
  <c r="D16" i="19"/>
  <c r="F43" i="19" s="1"/>
  <c r="C16" i="19"/>
  <c r="C43" i="19" s="1"/>
  <c r="B16" i="19"/>
  <c r="A16" i="19"/>
  <c r="A43" i="19" s="1"/>
  <c r="D15" i="19"/>
  <c r="F42" i="19" s="1"/>
  <c r="C15" i="19"/>
  <c r="C42" i="19" s="1"/>
  <c r="B15" i="19"/>
  <c r="A15" i="19"/>
  <c r="A42" i="19" s="1"/>
  <c r="D14" i="19"/>
  <c r="F40" i="19" s="1"/>
  <c r="C14" i="19"/>
  <c r="C40" i="19" s="1"/>
  <c r="B14" i="19"/>
  <c r="A14" i="19"/>
  <c r="A40" i="19" s="1"/>
  <c r="C13" i="19"/>
  <c r="C39" i="19" s="1"/>
  <c r="B13" i="19"/>
  <c r="A13" i="19"/>
  <c r="A39" i="19" s="1"/>
  <c r="D12" i="19"/>
  <c r="F38" i="19" s="1"/>
  <c r="C12" i="19"/>
  <c r="C38" i="19" s="1"/>
  <c r="B12" i="19"/>
  <c r="A12" i="19"/>
  <c r="A38" i="19" s="1"/>
  <c r="D11" i="19"/>
  <c r="F37" i="19" s="1"/>
  <c r="C11" i="19"/>
  <c r="C37" i="19" s="1"/>
  <c r="B11" i="19"/>
  <c r="A11" i="19"/>
  <c r="A37" i="19" s="1"/>
  <c r="D10" i="19"/>
  <c r="F36" i="19" s="1"/>
  <c r="C10" i="19"/>
  <c r="C36" i="19" s="1"/>
  <c r="B10" i="19"/>
  <c r="A10" i="19"/>
  <c r="A36" i="19" s="1"/>
  <c r="D9" i="19"/>
  <c r="F35" i="19" s="1"/>
  <c r="C9" i="19"/>
  <c r="C35" i="19" s="1"/>
  <c r="B9" i="19"/>
  <c r="A9" i="19"/>
  <c r="A35" i="19" s="1"/>
  <c r="D8" i="19"/>
  <c r="F34" i="19" s="1"/>
  <c r="C8" i="19"/>
  <c r="C34" i="19" s="1"/>
  <c r="B8" i="19"/>
  <c r="A8" i="19"/>
  <c r="A34" i="19" s="1"/>
  <c r="D7" i="19"/>
  <c r="F33" i="19" s="1"/>
  <c r="C7" i="19"/>
  <c r="C33" i="19" s="1"/>
  <c r="B7" i="19"/>
  <c r="A7" i="19"/>
  <c r="A33" i="19" s="1"/>
  <c r="D5" i="19"/>
  <c r="F31" i="19" s="1"/>
  <c r="C5" i="19"/>
  <c r="C31" i="19" s="1"/>
  <c r="B5" i="19"/>
  <c r="A5" i="19"/>
  <c r="A31" i="19" s="1"/>
  <c r="D4" i="19"/>
  <c r="F30" i="19" s="1"/>
  <c r="G30" i="19" s="1"/>
  <c r="C4" i="19"/>
  <c r="C30" i="19" s="1"/>
  <c r="D30" i="19" s="1"/>
  <c r="B4" i="19"/>
  <c r="A4" i="19"/>
  <c r="A30" i="19" s="1"/>
  <c r="D3" i="19"/>
  <c r="C3" i="19"/>
  <c r="B3" i="19"/>
  <c r="A3" i="19"/>
  <c r="A25" i="19" s="1"/>
  <c r="E35" i="4"/>
  <c r="B35" i="4"/>
  <c r="E32" i="13"/>
  <c r="B32" i="13"/>
  <c r="E35" i="13"/>
  <c r="B35" i="13"/>
  <c r="C9" i="13"/>
  <c r="C35" i="13" s="1"/>
  <c r="D9" i="13"/>
  <c r="F35" i="13" s="1"/>
  <c r="B9" i="13"/>
  <c r="A9" i="13"/>
  <c r="A35" i="13" s="1"/>
  <c r="E32" i="4"/>
  <c r="B32" i="4"/>
  <c r="B9" i="4"/>
  <c r="C9" i="4"/>
  <c r="C35" i="4" s="1"/>
  <c r="D35" i="4" s="1"/>
  <c r="D9" i="4"/>
  <c r="F35" i="4" s="1"/>
  <c r="A9" i="4"/>
  <c r="A35" i="4" s="1"/>
  <c r="D35" i="6" l="1"/>
  <c r="D38" i="17"/>
  <c r="D38" i="8"/>
  <c r="H38" i="8" s="1"/>
  <c r="I38" i="8" s="1"/>
  <c r="D34" i="20"/>
  <c r="D36" i="20"/>
  <c r="D38" i="20"/>
  <c r="D40" i="20"/>
  <c r="D33" i="19"/>
  <c r="D34" i="19"/>
  <c r="D36" i="19"/>
  <c r="D38" i="19"/>
  <c r="G35" i="4"/>
  <c r="H35" i="4" s="1"/>
  <c r="I35" i="4" s="1"/>
  <c r="D40" i="19"/>
  <c r="G30" i="20"/>
  <c r="H30" i="20" s="1"/>
  <c r="I30" i="20" s="1"/>
  <c r="G40" i="20"/>
  <c r="G35" i="6"/>
  <c r="H35" i="6" s="1"/>
  <c r="I35" i="6" s="1"/>
  <c r="G33" i="19"/>
  <c r="H33" i="19" s="1"/>
  <c r="I33" i="19" s="1"/>
  <c r="G35" i="19"/>
  <c r="G37" i="19"/>
  <c r="G39" i="19"/>
  <c r="D31" i="18"/>
  <c r="H31" i="18" s="1"/>
  <c r="I31" i="18" s="1"/>
  <c r="G31" i="9"/>
  <c r="H31" i="9" s="1"/>
  <c r="I31" i="9" s="1"/>
  <c r="D29" i="21"/>
  <c r="D35" i="19"/>
  <c r="H35" i="19" s="1"/>
  <c r="I35" i="19" s="1"/>
  <c r="D50" i="21"/>
  <c r="G42" i="19"/>
  <c r="G32" i="21"/>
  <c r="D28" i="21"/>
  <c r="G50" i="21"/>
  <c r="H50" i="21" s="1"/>
  <c r="I50" i="21" s="1"/>
  <c r="G40" i="21"/>
  <c r="G29" i="21"/>
  <c r="H29" i="21" s="1"/>
  <c r="I29" i="21" s="1"/>
  <c r="G38" i="17"/>
  <c r="D43" i="21"/>
  <c r="D46" i="21"/>
  <c r="G34" i="21"/>
  <c r="D47" i="21"/>
  <c r="D43" i="19"/>
  <c r="D39" i="19"/>
  <c r="D50" i="19"/>
  <c r="G50" i="20"/>
  <c r="G36" i="21"/>
  <c r="D38" i="21"/>
  <c r="G38" i="21"/>
  <c r="D42" i="21"/>
  <c r="H35" i="21"/>
  <c r="I35" i="21" s="1"/>
  <c r="D36" i="21"/>
  <c r="G48" i="21"/>
  <c r="H33" i="21"/>
  <c r="I33" i="21" s="1"/>
  <c r="H39" i="21"/>
  <c r="I39" i="21" s="1"/>
  <c r="D40" i="21"/>
  <c r="H31" i="21"/>
  <c r="I31" i="21" s="1"/>
  <c r="H37" i="21"/>
  <c r="I37" i="21" s="1"/>
  <c r="D34" i="21"/>
  <c r="E43" i="21"/>
  <c r="G43" i="21" s="1"/>
  <c r="E46" i="21"/>
  <c r="G46" i="21" s="1"/>
  <c r="E28" i="21"/>
  <c r="G28" i="21" s="1"/>
  <c r="D32" i="21"/>
  <c r="E42" i="21"/>
  <c r="G42" i="21" s="1"/>
  <c r="E47" i="21"/>
  <c r="G47" i="21" s="1"/>
  <c r="D32" i="20"/>
  <c r="D37" i="19"/>
  <c r="G32" i="19"/>
  <c r="D47" i="20"/>
  <c r="D48" i="20"/>
  <c r="G32" i="20"/>
  <c r="G36" i="20"/>
  <c r="D35" i="13"/>
  <c r="E27" i="19"/>
  <c r="G27" i="19" s="1"/>
  <c r="G34" i="19"/>
  <c r="G38" i="19"/>
  <c r="D47" i="19"/>
  <c r="D27" i="20"/>
  <c r="H27" i="20" s="1"/>
  <c r="I27" i="20" s="1"/>
  <c r="D28" i="20"/>
  <c r="G35" i="20"/>
  <c r="G39" i="20"/>
  <c r="D50" i="20"/>
  <c r="G35" i="13"/>
  <c r="D46" i="19"/>
  <c r="G40" i="19"/>
  <c r="H40" i="19" s="1"/>
  <c r="I40" i="19" s="1"/>
  <c r="G31" i="20"/>
  <c r="H31" i="20" s="1"/>
  <c r="I31" i="20" s="1"/>
  <c r="G33" i="20"/>
  <c r="G34" i="20"/>
  <c r="G38" i="20"/>
  <c r="D27" i="19"/>
  <c r="H27" i="19" s="1"/>
  <c r="I27" i="19" s="1"/>
  <c r="D28" i="19"/>
  <c r="G36" i="19"/>
  <c r="D32" i="19"/>
  <c r="G50" i="19"/>
  <c r="G37" i="20"/>
  <c r="D43" i="20"/>
  <c r="H40" i="20"/>
  <c r="I40" i="20" s="1"/>
  <c r="D33" i="20"/>
  <c r="D35" i="20"/>
  <c r="D39" i="20"/>
  <c r="D46" i="20"/>
  <c r="G48" i="20"/>
  <c r="E28" i="20"/>
  <c r="G28" i="20" s="1"/>
  <c r="E47" i="20"/>
  <c r="G47" i="20" s="1"/>
  <c r="E42" i="20"/>
  <c r="G42" i="20" s="1"/>
  <c r="E46" i="20"/>
  <c r="G46" i="20" s="1"/>
  <c r="E43" i="20"/>
  <c r="G43" i="20" s="1"/>
  <c r="D37" i="20"/>
  <c r="D42" i="20"/>
  <c r="H30" i="19"/>
  <c r="I30" i="19" s="1"/>
  <c r="G31" i="19"/>
  <c r="D48" i="19"/>
  <c r="E28" i="19"/>
  <c r="G28" i="19" s="1"/>
  <c r="E47" i="19"/>
  <c r="G47" i="19" s="1"/>
  <c r="E46" i="19"/>
  <c r="G46" i="19" s="1"/>
  <c r="E43" i="19"/>
  <c r="G43" i="19" s="1"/>
  <c r="D31" i="19"/>
  <c r="D42" i="19"/>
  <c r="G48" i="19"/>
  <c r="H38" i="19" l="1"/>
  <c r="I38" i="19" s="1"/>
  <c r="H50" i="20"/>
  <c r="I50" i="20" s="1"/>
  <c r="H38" i="20"/>
  <c r="I38" i="20" s="1"/>
  <c r="H37" i="19"/>
  <c r="I37" i="19" s="1"/>
  <c r="H38" i="17"/>
  <c r="I38" i="17" s="1"/>
  <c r="H36" i="20"/>
  <c r="I36" i="20" s="1"/>
  <c r="H34" i="20"/>
  <c r="I34" i="20" s="1"/>
  <c r="H34" i="19"/>
  <c r="I34" i="19" s="1"/>
  <c r="H39" i="19"/>
  <c r="I39" i="19" s="1"/>
  <c r="H36" i="19"/>
  <c r="I36" i="19" s="1"/>
  <c r="H38" i="21"/>
  <c r="I38" i="21" s="1"/>
  <c r="H34" i="21"/>
  <c r="I34" i="21" s="1"/>
  <c r="H36" i="21"/>
  <c r="I36" i="21" s="1"/>
  <c r="D49" i="21"/>
  <c r="D30" i="21"/>
  <c r="H50" i="19"/>
  <c r="I50" i="19" s="1"/>
  <c r="H32" i="19"/>
  <c r="I32" i="19" s="1"/>
  <c r="H33" i="20"/>
  <c r="I33" i="20" s="1"/>
  <c r="H37" i="20"/>
  <c r="I37" i="20" s="1"/>
  <c r="D44" i="19"/>
  <c r="H32" i="20"/>
  <c r="I32" i="20" s="1"/>
  <c r="H40" i="21"/>
  <c r="I40" i="21" s="1"/>
  <c r="D44" i="21"/>
  <c r="G41" i="21"/>
  <c r="D41" i="19"/>
  <c r="H35" i="20"/>
  <c r="I35" i="20" s="1"/>
  <c r="H32" i="21"/>
  <c r="I32" i="21" s="1"/>
  <c r="D49" i="19"/>
  <c r="D44" i="20"/>
  <c r="H39" i="20"/>
  <c r="I39" i="20" s="1"/>
  <c r="D29" i="19"/>
  <c r="D29" i="20"/>
  <c r="G49" i="21"/>
  <c r="H46" i="21"/>
  <c r="I46" i="21" s="1"/>
  <c r="H48" i="21"/>
  <c r="I48" i="21" s="1"/>
  <c r="G30" i="21"/>
  <c r="H28" i="21"/>
  <c r="I28" i="21" s="1"/>
  <c r="D41" i="21"/>
  <c r="G44" i="21"/>
  <c r="G45" i="21" s="1"/>
  <c r="H42" i="21"/>
  <c r="I42" i="21" s="1"/>
  <c r="H43" i="21"/>
  <c r="I43" i="21" s="1"/>
  <c r="H47" i="21"/>
  <c r="I47" i="21" s="1"/>
  <c r="D49" i="20"/>
  <c r="H35" i="13"/>
  <c r="I35" i="13" s="1"/>
  <c r="G41" i="20"/>
  <c r="H43" i="20"/>
  <c r="I43" i="20" s="1"/>
  <c r="H28" i="20"/>
  <c r="I28" i="20" s="1"/>
  <c r="G29" i="20"/>
  <c r="D41" i="20"/>
  <c r="H46" i="20"/>
  <c r="I46" i="20" s="1"/>
  <c r="G49" i="20"/>
  <c r="H48" i="20"/>
  <c r="I48" i="20" s="1"/>
  <c r="G44" i="20"/>
  <c r="H42" i="20"/>
  <c r="I42" i="20" s="1"/>
  <c r="H47" i="20"/>
  <c r="I47" i="20" s="1"/>
  <c r="H42" i="19"/>
  <c r="I42" i="19" s="1"/>
  <c r="H28" i="19"/>
  <c r="I28" i="19" s="1"/>
  <c r="G29" i="19"/>
  <c r="H43" i="19"/>
  <c r="I43" i="19" s="1"/>
  <c r="G44" i="19"/>
  <c r="H46" i="19"/>
  <c r="I46" i="19" s="1"/>
  <c r="G49" i="19"/>
  <c r="H31" i="19"/>
  <c r="I31" i="19" s="1"/>
  <c r="H48" i="19"/>
  <c r="I48" i="19" s="1"/>
  <c r="H47" i="19"/>
  <c r="I47" i="19" s="1"/>
  <c r="G41" i="19"/>
  <c r="F48" i="18"/>
  <c r="C48" i="18"/>
  <c r="F46" i="18"/>
  <c r="E46" i="18"/>
  <c r="C46" i="18"/>
  <c r="B46" i="18"/>
  <c r="E44" i="18"/>
  <c r="B44" i="18"/>
  <c r="B43" i="18"/>
  <c r="B42" i="18"/>
  <c r="B39" i="18"/>
  <c r="B38" i="18"/>
  <c r="E36" i="18"/>
  <c r="B36" i="18"/>
  <c r="E35" i="18"/>
  <c r="B35" i="18"/>
  <c r="E34" i="18"/>
  <c r="B34" i="18"/>
  <c r="E33" i="18"/>
  <c r="B33" i="18"/>
  <c r="E32" i="18"/>
  <c r="B32" i="18"/>
  <c r="E30" i="18"/>
  <c r="B30" i="18"/>
  <c r="E29" i="18"/>
  <c r="B29" i="18"/>
  <c r="E28" i="18"/>
  <c r="F26" i="18"/>
  <c r="C26" i="18"/>
  <c r="B26" i="18"/>
  <c r="F25" i="18"/>
  <c r="C25" i="18"/>
  <c r="B25" i="18"/>
  <c r="E21" i="18"/>
  <c r="H20" i="18"/>
  <c r="E39" i="18" s="1"/>
  <c r="D17" i="18"/>
  <c r="F44" i="18" s="1"/>
  <c r="C17" i="18"/>
  <c r="C44" i="18" s="1"/>
  <c r="B17" i="18"/>
  <c r="A17" i="18"/>
  <c r="A44" i="18" s="1"/>
  <c r="D16" i="18"/>
  <c r="F43" i="18" s="1"/>
  <c r="C16" i="18"/>
  <c r="C43" i="18" s="1"/>
  <c r="B16" i="18"/>
  <c r="A16" i="18"/>
  <c r="A43" i="18" s="1"/>
  <c r="D15" i="18"/>
  <c r="F42" i="18" s="1"/>
  <c r="C15" i="18"/>
  <c r="C42" i="18" s="1"/>
  <c r="B15" i="18"/>
  <c r="A15" i="18"/>
  <c r="A42" i="18" s="1"/>
  <c r="D14" i="18"/>
  <c r="F39" i="18" s="1"/>
  <c r="C14" i="18"/>
  <c r="C39" i="18" s="1"/>
  <c r="B14" i="18"/>
  <c r="A14" i="18"/>
  <c r="A39" i="18" s="1"/>
  <c r="D13" i="18"/>
  <c r="F38" i="18" s="1"/>
  <c r="C13" i="18"/>
  <c r="C38" i="18" s="1"/>
  <c r="B13" i="18"/>
  <c r="A13" i="18"/>
  <c r="A38" i="18" s="1"/>
  <c r="D12" i="18"/>
  <c r="F36" i="18" s="1"/>
  <c r="C12" i="18"/>
  <c r="C36" i="18" s="1"/>
  <c r="B12" i="18"/>
  <c r="A12" i="18"/>
  <c r="A36" i="18" s="1"/>
  <c r="D11" i="18"/>
  <c r="F35" i="18" s="1"/>
  <c r="C11" i="18"/>
  <c r="C35" i="18" s="1"/>
  <c r="B11" i="18"/>
  <c r="A11" i="18"/>
  <c r="A35" i="18" s="1"/>
  <c r="D10" i="18"/>
  <c r="F34" i="18" s="1"/>
  <c r="C10" i="18"/>
  <c r="C34" i="18" s="1"/>
  <c r="B10" i="18"/>
  <c r="A10" i="18"/>
  <c r="A34" i="18" s="1"/>
  <c r="D9" i="18"/>
  <c r="F33" i="18" s="1"/>
  <c r="C9" i="18"/>
  <c r="C33" i="18" s="1"/>
  <c r="B9" i="18"/>
  <c r="A9" i="18"/>
  <c r="A33" i="18" s="1"/>
  <c r="D8" i="18"/>
  <c r="F32" i="18" s="1"/>
  <c r="C8" i="18"/>
  <c r="C32" i="18" s="1"/>
  <c r="B8" i="18"/>
  <c r="A8" i="18"/>
  <c r="A32" i="18" s="1"/>
  <c r="D6" i="18"/>
  <c r="F30" i="18" s="1"/>
  <c r="C6" i="18"/>
  <c r="C30" i="18" s="1"/>
  <c r="B6" i="18"/>
  <c r="A6" i="18"/>
  <c r="A30" i="18" s="1"/>
  <c r="D5" i="18"/>
  <c r="F29" i="18" s="1"/>
  <c r="C5" i="18"/>
  <c r="C29" i="18" s="1"/>
  <c r="B5" i="18"/>
  <c r="A5" i="18"/>
  <c r="A29" i="18" s="1"/>
  <c r="D4" i="18"/>
  <c r="F28" i="18" s="1"/>
  <c r="C4" i="18"/>
  <c r="C28" i="18" s="1"/>
  <c r="D28" i="18" s="1"/>
  <c r="B4" i="18"/>
  <c r="A4" i="18"/>
  <c r="A28" i="18" s="1"/>
  <c r="D3" i="18"/>
  <c r="C3" i="18"/>
  <c r="B3" i="18"/>
  <c r="A3" i="18"/>
  <c r="A23" i="18" s="1"/>
  <c r="F58" i="17"/>
  <c r="C58" i="17"/>
  <c r="F56" i="17"/>
  <c r="E56" i="17"/>
  <c r="C56" i="17"/>
  <c r="B56" i="17"/>
  <c r="E54" i="17"/>
  <c r="B54" i="17"/>
  <c r="F35" i="17"/>
  <c r="C35" i="17"/>
  <c r="B53" i="17"/>
  <c r="B52" i="17"/>
  <c r="B49" i="17"/>
  <c r="B48" i="17"/>
  <c r="E46" i="17"/>
  <c r="B46" i="17"/>
  <c r="E43" i="17"/>
  <c r="B43" i="17"/>
  <c r="E42" i="17"/>
  <c r="B42" i="17"/>
  <c r="E41" i="17"/>
  <c r="B41" i="17"/>
  <c r="E40" i="17"/>
  <c r="B40" i="17"/>
  <c r="E39" i="17"/>
  <c r="B39" i="17"/>
  <c r="E37" i="17"/>
  <c r="B37" i="17"/>
  <c r="E36" i="17"/>
  <c r="B36" i="17"/>
  <c r="B34" i="17"/>
  <c r="E34" i="17" s="1"/>
  <c r="E33" i="17"/>
  <c r="F31" i="17"/>
  <c r="C31" i="17"/>
  <c r="B31" i="17"/>
  <c r="F30" i="17"/>
  <c r="C30" i="17"/>
  <c r="B30" i="17"/>
  <c r="E26" i="17"/>
  <c r="H25" i="17"/>
  <c r="D22" i="17"/>
  <c r="F54" i="17" s="1"/>
  <c r="C22" i="17"/>
  <c r="C54" i="17" s="1"/>
  <c r="B22" i="17"/>
  <c r="A22" i="17"/>
  <c r="A54" i="17" s="1"/>
  <c r="D6" i="17"/>
  <c r="C6" i="17"/>
  <c r="B6" i="17"/>
  <c r="A6" i="17"/>
  <c r="A35" i="17" s="1"/>
  <c r="D21" i="17"/>
  <c r="F53" i="17" s="1"/>
  <c r="C21" i="17"/>
  <c r="C53" i="17" s="1"/>
  <c r="B21" i="17"/>
  <c r="A21" i="17"/>
  <c r="A53" i="17" s="1"/>
  <c r="D20" i="17"/>
  <c r="F52" i="17" s="1"/>
  <c r="C20" i="17"/>
  <c r="C52" i="17" s="1"/>
  <c r="B20" i="17"/>
  <c r="A20" i="17"/>
  <c r="A52" i="17" s="1"/>
  <c r="D19" i="17"/>
  <c r="F49" i="17" s="1"/>
  <c r="C19" i="17"/>
  <c r="C49" i="17" s="1"/>
  <c r="B19" i="17"/>
  <c r="A19" i="17"/>
  <c r="A49" i="17" s="1"/>
  <c r="D18" i="17"/>
  <c r="F48" i="17" s="1"/>
  <c r="C18" i="17"/>
  <c r="C48" i="17" s="1"/>
  <c r="B18" i="17"/>
  <c r="A18" i="17"/>
  <c r="A48" i="17" s="1"/>
  <c r="D17" i="17"/>
  <c r="F46" i="17" s="1"/>
  <c r="C17" i="17"/>
  <c r="C46" i="17" s="1"/>
  <c r="B17" i="17"/>
  <c r="A17" i="17"/>
  <c r="A46" i="17" s="1"/>
  <c r="D16" i="17"/>
  <c r="F45" i="17" s="1"/>
  <c r="C16" i="17"/>
  <c r="C45" i="17" s="1"/>
  <c r="B16" i="17"/>
  <c r="A16" i="17"/>
  <c r="A45" i="17" s="1"/>
  <c r="D15" i="17"/>
  <c r="F44" i="17" s="1"/>
  <c r="C15" i="17"/>
  <c r="C44" i="17" s="1"/>
  <c r="B15" i="17"/>
  <c r="A15" i="17"/>
  <c r="A44" i="17" s="1"/>
  <c r="D14" i="17"/>
  <c r="F43" i="17" s="1"/>
  <c r="C14" i="17"/>
  <c r="C43" i="17" s="1"/>
  <c r="B14" i="17"/>
  <c r="A14" i="17"/>
  <c r="A43" i="17" s="1"/>
  <c r="D13" i="17"/>
  <c r="F42" i="17" s="1"/>
  <c r="C13" i="17"/>
  <c r="C42" i="17" s="1"/>
  <c r="B13" i="17"/>
  <c r="A13" i="17"/>
  <c r="A42" i="17" s="1"/>
  <c r="D12" i="17"/>
  <c r="F41" i="17" s="1"/>
  <c r="C12" i="17"/>
  <c r="C41" i="17" s="1"/>
  <c r="B12" i="17"/>
  <c r="A12" i="17"/>
  <c r="A41" i="17" s="1"/>
  <c r="D11" i="17"/>
  <c r="F40" i="17" s="1"/>
  <c r="C11" i="17"/>
  <c r="C40" i="17" s="1"/>
  <c r="B11" i="17"/>
  <c r="A11" i="17"/>
  <c r="A40" i="17" s="1"/>
  <c r="D10" i="17"/>
  <c r="F39" i="17" s="1"/>
  <c r="C10" i="17"/>
  <c r="C39" i="17" s="1"/>
  <c r="B10" i="17"/>
  <c r="A10" i="17"/>
  <c r="A39" i="17" s="1"/>
  <c r="D8" i="17"/>
  <c r="F37" i="17" s="1"/>
  <c r="C8" i="17"/>
  <c r="C37" i="17" s="1"/>
  <c r="B8" i="17"/>
  <c r="A8" i="17"/>
  <c r="A37" i="17" s="1"/>
  <c r="D7" i="17"/>
  <c r="F36" i="17" s="1"/>
  <c r="C7" i="17"/>
  <c r="C36" i="17" s="1"/>
  <c r="B7" i="17"/>
  <c r="A7" i="17"/>
  <c r="A36" i="17" s="1"/>
  <c r="D5" i="17"/>
  <c r="F34" i="17" s="1"/>
  <c r="C5" i="17"/>
  <c r="C34" i="17" s="1"/>
  <c r="B5" i="17"/>
  <c r="A5" i="17"/>
  <c r="A34" i="17" s="1"/>
  <c r="D4" i="17"/>
  <c r="F33" i="17" s="1"/>
  <c r="C4" i="17"/>
  <c r="C33" i="17" s="1"/>
  <c r="D33" i="17" s="1"/>
  <c r="B4" i="17"/>
  <c r="A4" i="17"/>
  <c r="A33" i="17" s="1"/>
  <c r="D3" i="17"/>
  <c r="C3" i="17"/>
  <c r="B3" i="17"/>
  <c r="A3" i="17"/>
  <c r="A28" i="17" s="1"/>
  <c r="D11" i="6"/>
  <c r="D12" i="4"/>
  <c r="F52" i="13"/>
  <c r="C52" i="13"/>
  <c r="F50" i="13"/>
  <c r="E50" i="13"/>
  <c r="C50" i="13"/>
  <c r="B50" i="13"/>
  <c r="E48" i="13"/>
  <c r="B48" i="13"/>
  <c r="F32" i="13"/>
  <c r="C32" i="13"/>
  <c r="B47" i="13"/>
  <c r="B46" i="13"/>
  <c r="B43" i="13"/>
  <c r="B42" i="13"/>
  <c r="E40" i="13"/>
  <c r="B40" i="13"/>
  <c r="E39" i="13"/>
  <c r="B39" i="13"/>
  <c r="E38" i="13"/>
  <c r="B38" i="13"/>
  <c r="E37" i="13"/>
  <c r="B37" i="13"/>
  <c r="E36" i="13"/>
  <c r="B36" i="13"/>
  <c r="E34" i="13"/>
  <c r="B34" i="13"/>
  <c r="E33" i="13"/>
  <c r="B33" i="13"/>
  <c r="B31" i="13"/>
  <c r="E31" i="13" s="1"/>
  <c r="E30" i="13"/>
  <c r="F28" i="13"/>
  <c r="C28" i="13"/>
  <c r="B28" i="13"/>
  <c r="F27" i="13"/>
  <c r="C27" i="13"/>
  <c r="B27" i="13"/>
  <c r="E23" i="13"/>
  <c r="H22" i="13"/>
  <c r="D19" i="13"/>
  <c r="F48" i="13" s="1"/>
  <c r="C19" i="13"/>
  <c r="C48" i="13" s="1"/>
  <c r="B19" i="13"/>
  <c r="A19" i="13"/>
  <c r="A48" i="13" s="1"/>
  <c r="D6" i="13"/>
  <c r="C6" i="13"/>
  <c r="B6" i="13"/>
  <c r="A6" i="13"/>
  <c r="A32" i="13" s="1"/>
  <c r="D18" i="13"/>
  <c r="F47" i="13" s="1"/>
  <c r="C18" i="13"/>
  <c r="C47" i="13" s="1"/>
  <c r="B18" i="13"/>
  <c r="A18" i="13"/>
  <c r="A47" i="13" s="1"/>
  <c r="D17" i="13"/>
  <c r="F46" i="13" s="1"/>
  <c r="C17" i="13"/>
  <c r="C46" i="13" s="1"/>
  <c r="B17" i="13"/>
  <c r="A17" i="13"/>
  <c r="A46" i="13" s="1"/>
  <c r="D16" i="13"/>
  <c r="F43" i="13" s="1"/>
  <c r="C16" i="13"/>
  <c r="C43" i="13" s="1"/>
  <c r="B16" i="13"/>
  <c r="A16" i="13"/>
  <c r="A43" i="13" s="1"/>
  <c r="D15" i="13"/>
  <c r="F42" i="13" s="1"/>
  <c r="C15" i="13"/>
  <c r="C42" i="13" s="1"/>
  <c r="B15" i="13"/>
  <c r="A15" i="13"/>
  <c r="A42" i="13" s="1"/>
  <c r="D14" i="13"/>
  <c r="F40" i="13" s="1"/>
  <c r="C14" i="13"/>
  <c r="C40" i="13" s="1"/>
  <c r="B14" i="13"/>
  <c r="A14" i="13"/>
  <c r="A40" i="13" s="1"/>
  <c r="D13" i="13"/>
  <c r="F39" i="13" s="1"/>
  <c r="C13" i="13"/>
  <c r="C39" i="13" s="1"/>
  <c r="B13" i="13"/>
  <c r="A13" i="13"/>
  <c r="A39" i="13" s="1"/>
  <c r="D12" i="13"/>
  <c r="F38" i="13" s="1"/>
  <c r="C12" i="13"/>
  <c r="C38" i="13" s="1"/>
  <c r="D38" i="13" s="1"/>
  <c r="B12" i="13"/>
  <c r="A12" i="13"/>
  <c r="A38" i="13" s="1"/>
  <c r="D11" i="13"/>
  <c r="F37" i="13" s="1"/>
  <c r="C11" i="13"/>
  <c r="C37" i="13" s="1"/>
  <c r="B11" i="13"/>
  <c r="A11" i="13"/>
  <c r="A37" i="13" s="1"/>
  <c r="D10" i="13"/>
  <c r="F36" i="13" s="1"/>
  <c r="C10" i="13"/>
  <c r="C36" i="13" s="1"/>
  <c r="B10" i="13"/>
  <c r="A10" i="13"/>
  <c r="A36" i="13" s="1"/>
  <c r="D8" i="13"/>
  <c r="F34" i="13" s="1"/>
  <c r="C8" i="13"/>
  <c r="C34" i="13" s="1"/>
  <c r="B8" i="13"/>
  <c r="A8" i="13"/>
  <c r="A34" i="13" s="1"/>
  <c r="D7" i="13"/>
  <c r="F33" i="13" s="1"/>
  <c r="C7" i="13"/>
  <c r="C33" i="13" s="1"/>
  <c r="B7" i="13"/>
  <c r="A7" i="13"/>
  <c r="A33" i="13" s="1"/>
  <c r="D5" i="13"/>
  <c r="F31" i="13" s="1"/>
  <c r="C5" i="13"/>
  <c r="C31" i="13" s="1"/>
  <c r="B5" i="13"/>
  <c r="A5" i="13"/>
  <c r="A31" i="13" s="1"/>
  <c r="D4" i="13"/>
  <c r="F30" i="13" s="1"/>
  <c r="C4" i="13"/>
  <c r="C30" i="13" s="1"/>
  <c r="D30" i="13" s="1"/>
  <c r="B4" i="13"/>
  <c r="A4" i="13"/>
  <c r="A30" i="13" s="1"/>
  <c r="D3" i="13"/>
  <c r="C3" i="13"/>
  <c r="B3" i="13"/>
  <c r="A3" i="13"/>
  <c r="A25" i="13" s="1"/>
  <c r="G44" i="17" l="1"/>
  <c r="G46" i="17"/>
  <c r="D29" i="18"/>
  <c r="D32" i="18"/>
  <c r="D34" i="18"/>
  <c r="G30" i="18"/>
  <c r="G33" i="18"/>
  <c r="G35" i="18"/>
  <c r="G36" i="18"/>
  <c r="D45" i="19"/>
  <c r="F7" i="11" s="1"/>
  <c r="H41" i="20"/>
  <c r="I41" i="20" s="1"/>
  <c r="D45" i="21"/>
  <c r="D51" i="21" s="1"/>
  <c r="D52" i="21" s="1"/>
  <c r="D53" i="21" s="1"/>
  <c r="D45" i="20"/>
  <c r="D51" i="20" s="1"/>
  <c r="D52" i="20" s="1"/>
  <c r="D53" i="20" s="1"/>
  <c r="H41" i="21"/>
  <c r="I41" i="21" s="1"/>
  <c r="G36" i="17"/>
  <c r="G41" i="17"/>
  <c r="D51" i="19"/>
  <c r="D52" i="19" s="1"/>
  <c r="D53" i="19" s="1"/>
  <c r="H49" i="21"/>
  <c r="I49" i="21" s="1"/>
  <c r="H30" i="21"/>
  <c r="I30" i="21" s="1"/>
  <c r="G51" i="21"/>
  <c r="H44" i="21"/>
  <c r="I44" i="21" s="1"/>
  <c r="G45" i="20"/>
  <c r="H29" i="20"/>
  <c r="I29" i="20" s="1"/>
  <c r="H44" i="20"/>
  <c r="I44" i="20" s="1"/>
  <c r="H49" i="20"/>
  <c r="I49" i="20" s="1"/>
  <c r="H44" i="19"/>
  <c r="I44" i="19" s="1"/>
  <c r="H49" i="19"/>
  <c r="I49" i="19" s="1"/>
  <c r="H29" i="19"/>
  <c r="I29" i="19" s="1"/>
  <c r="H41" i="19"/>
  <c r="I41" i="19" s="1"/>
  <c r="G45" i="19"/>
  <c r="G34" i="13"/>
  <c r="G39" i="13"/>
  <c r="D46" i="13"/>
  <c r="D49" i="17"/>
  <c r="G48" i="13"/>
  <c r="G46" i="18"/>
  <c r="D31" i="17"/>
  <c r="D46" i="17"/>
  <c r="H46" i="17" s="1"/>
  <c r="I46" i="17" s="1"/>
  <c r="D26" i="18"/>
  <c r="D46" i="18"/>
  <c r="D43" i="13"/>
  <c r="D33" i="13"/>
  <c r="D48" i="17"/>
  <c r="D54" i="17"/>
  <c r="D42" i="17"/>
  <c r="D56" i="17"/>
  <c r="D38" i="18"/>
  <c r="D44" i="18"/>
  <c r="G32" i="13"/>
  <c r="D53" i="17"/>
  <c r="D37" i="17"/>
  <c r="D45" i="17"/>
  <c r="G30" i="13"/>
  <c r="H30" i="13" s="1"/>
  <c r="I30" i="13" s="1"/>
  <c r="D48" i="13"/>
  <c r="D50" i="13"/>
  <c r="G54" i="17"/>
  <c r="G39" i="18"/>
  <c r="G37" i="13"/>
  <c r="D28" i="13"/>
  <c r="G31" i="13"/>
  <c r="G40" i="13"/>
  <c r="D32" i="13"/>
  <c r="D40" i="17"/>
  <c r="G45" i="17"/>
  <c r="G35" i="17"/>
  <c r="D43" i="18"/>
  <c r="D30" i="18"/>
  <c r="D42" i="18"/>
  <c r="G44" i="18"/>
  <c r="G29" i="18"/>
  <c r="G32" i="18"/>
  <c r="D39" i="13"/>
  <c r="D27" i="13"/>
  <c r="D34" i="13"/>
  <c r="D36" i="13"/>
  <c r="G38" i="13"/>
  <c r="H38" i="13" s="1"/>
  <c r="I38" i="13" s="1"/>
  <c r="G50" i="13"/>
  <c r="D34" i="17"/>
  <c r="D39" i="17"/>
  <c r="G40" i="17"/>
  <c r="D43" i="17"/>
  <c r="D35" i="17"/>
  <c r="D25" i="18"/>
  <c r="D36" i="18"/>
  <c r="G33" i="17"/>
  <c r="H33" i="17" s="1"/>
  <c r="I33" i="17" s="1"/>
  <c r="D36" i="17"/>
  <c r="G37" i="17"/>
  <c r="G39" i="17"/>
  <c r="D41" i="17"/>
  <c r="G42" i="17"/>
  <c r="G43" i="17"/>
  <c r="D52" i="17"/>
  <c r="G56" i="17"/>
  <c r="G28" i="18"/>
  <c r="H28" i="18" s="1"/>
  <c r="I28" i="18" s="1"/>
  <c r="G34" i="18"/>
  <c r="E26" i="18"/>
  <c r="G26" i="18" s="1"/>
  <c r="E43" i="18"/>
  <c r="G43" i="18" s="1"/>
  <c r="E38" i="18"/>
  <c r="G38" i="18" s="1"/>
  <c r="D33" i="18"/>
  <c r="E42" i="18"/>
  <c r="G42" i="18" s="1"/>
  <c r="E25" i="18"/>
  <c r="G25" i="18" s="1"/>
  <c r="D35" i="18"/>
  <c r="D39" i="18"/>
  <c r="E53" i="17"/>
  <c r="G53" i="17" s="1"/>
  <c r="E48" i="17"/>
  <c r="G48" i="17" s="1"/>
  <c r="E31" i="17"/>
  <c r="G31" i="17" s="1"/>
  <c r="E52" i="17"/>
  <c r="G52" i="17" s="1"/>
  <c r="E49" i="17"/>
  <c r="G49" i="17" s="1"/>
  <c r="E30" i="17"/>
  <c r="G30" i="17" s="1"/>
  <c r="D30" i="17"/>
  <c r="G34" i="17"/>
  <c r="D44" i="17"/>
  <c r="E47" i="13"/>
  <c r="G47" i="13" s="1"/>
  <c r="E42" i="13"/>
  <c r="G42" i="13" s="1"/>
  <c r="E28" i="13"/>
  <c r="G28" i="13" s="1"/>
  <c r="E46" i="13"/>
  <c r="G46" i="13" s="1"/>
  <c r="E43" i="13"/>
  <c r="G43" i="13" s="1"/>
  <c r="E27" i="13"/>
  <c r="G27" i="13" s="1"/>
  <c r="D42" i="13"/>
  <c r="D47" i="13"/>
  <c r="D31" i="13"/>
  <c r="G33" i="13"/>
  <c r="G36" i="13"/>
  <c r="D37" i="13"/>
  <c r="D40" i="13"/>
  <c r="A15" i="8"/>
  <c r="A44" i="8" s="1"/>
  <c r="B15" i="8"/>
  <c r="C15" i="8"/>
  <c r="C44" i="8" s="1"/>
  <c r="D15" i="8"/>
  <c r="F44" i="8" s="1"/>
  <c r="A16" i="8"/>
  <c r="A45" i="8" s="1"/>
  <c r="B16" i="8"/>
  <c r="C16" i="8"/>
  <c r="C45" i="8" s="1"/>
  <c r="D16" i="8"/>
  <c r="F45" i="8" s="1"/>
  <c r="E35" i="9"/>
  <c r="E34" i="9"/>
  <c r="B35" i="9"/>
  <c r="B34" i="9"/>
  <c r="A17" i="9"/>
  <c r="A16" i="9"/>
  <c r="A15" i="9"/>
  <c r="A14" i="9"/>
  <c r="A13" i="9"/>
  <c r="A12" i="9"/>
  <c r="A11" i="9"/>
  <c r="A35" i="9" s="1"/>
  <c r="A10" i="9"/>
  <c r="A34" i="9" s="1"/>
  <c r="A9" i="9"/>
  <c r="A8" i="9"/>
  <c r="E42" i="8"/>
  <c r="E41" i="8"/>
  <c r="B42" i="8"/>
  <c r="B41" i="8"/>
  <c r="E39" i="6"/>
  <c r="E38" i="6"/>
  <c r="B39" i="6"/>
  <c r="B38" i="6"/>
  <c r="E39" i="4"/>
  <c r="E38" i="4"/>
  <c r="B39" i="4"/>
  <c r="B38" i="4"/>
  <c r="H32" i="18" l="1"/>
  <c r="I32" i="18" s="1"/>
  <c r="H44" i="17"/>
  <c r="I44" i="17" s="1"/>
  <c r="H41" i="17"/>
  <c r="I41" i="17" s="1"/>
  <c r="H45" i="21"/>
  <c r="I45" i="21" s="1"/>
  <c r="G51" i="19"/>
  <c r="H51" i="19" s="1"/>
  <c r="I51" i="19" s="1"/>
  <c r="G7" i="11"/>
  <c r="H29" i="18"/>
  <c r="I29" i="18" s="1"/>
  <c r="H34" i="18"/>
  <c r="I34" i="18" s="1"/>
  <c r="H36" i="18"/>
  <c r="I36" i="18" s="1"/>
  <c r="H35" i="18"/>
  <c r="I35" i="18" s="1"/>
  <c r="H33" i="18"/>
  <c r="I33" i="18" s="1"/>
  <c r="H30" i="18"/>
  <c r="I30" i="18" s="1"/>
  <c r="H45" i="20"/>
  <c r="I45" i="20" s="1"/>
  <c r="H37" i="13"/>
  <c r="I37" i="13" s="1"/>
  <c r="H36" i="17"/>
  <c r="I36" i="17" s="1"/>
  <c r="G45" i="8"/>
  <c r="D44" i="8"/>
  <c r="G44" i="8"/>
  <c r="G51" i="20"/>
  <c r="H51" i="20" s="1"/>
  <c r="I51" i="20" s="1"/>
  <c r="H51" i="21"/>
  <c r="I51" i="21" s="1"/>
  <c r="G52" i="21"/>
  <c r="G53" i="21" s="1"/>
  <c r="J51" i="21" s="1"/>
  <c r="H37" i="17"/>
  <c r="I37" i="17" s="1"/>
  <c r="H39" i="13"/>
  <c r="I39" i="13" s="1"/>
  <c r="H44" i="18"/>
  <c r="I44" i="18" s="1"/>
  <c r="D55" i="20"/>
  <c r="D56" i="20" s="1"/>
  <c r="G52" i="19"/>
  <c r="G53" i="19" s="1"/>
  <c r="D55" i="19"/>
  <c r="D56" i="19" s="1"/>
  <c r="J7" i="11" s="1"/>
  <c r="H45" i="19"/>
  <c r="I45" i="19" s="1"/>
  <c r="H34" i="13"/>
  <c r="I34" i="13" s="1"/>
  <c r="H40" i="17"/>
  <c r="I40" i="17" s="1"/>
  <c r="D27" i="18"/>
  <c r="D44" i="13"/>
  <c r="H56" i="17"/>
  <c r="I56" i="17" s="1"/>
  <c r="H35" i="17"/>
  <c r="I35" i="17" s="1"/>
  <c r="H48" i="13"/>
  <c r="I48" i="13" s="1"/>
  <c r="G41" i="13"/>
  <c r="D40" i="18"/>
  <c r="H46" i="18"/>
  <c r="I46" i="18" s="1"/>
  <c r="D50" i="17"/>
  <c r="H45" i="17"/>
  <c r="I45" i="17" s="1"/>
  <c r="D32" i="17"/>
  <c r="H54" i="17"/>
  <c r="I54" i="17" s="1"/>
  <c r="H42" i="17"/>
  <c r="I42" i="17" s="1"/>
  <c r="D29" i="13"/>
  <c r="D49" i="13"/>
  <c r="H40" i="13"/>
  <c r="I40" i="13" s="1"/>
  <c r="G47" i="17"/>
  <c r="H50" i="13"/>
  <c r="I50" i="13" s="1"/>
  <c r="H31" i="13"/>
  <c r="I31" i="13" s="1"/>
  <c r="G37" i="18"/>
  <c r="D55" i="17"/>
  <c r="H32" i="13"/>
  <c r="I32" i="13" s="1"/>
  <c r="D45" i="18"/>
  <c r="H39" i="18"/>
  <c r="I39" i="18" s="1"/>
  <c r="H43" i="17"/>
  <c r="I43" i="17" s="1"/>
  <c r="D47" i="17"/>
  <c r="D45" i="8"/>
  <c r="D37" i="18"/>
  <c r="H39" i="17"/>
  <c r="I39" i="17" s="1"/>
  <c r="H25" i="18"/>
  <c r="I25" i="18" s="1"/>
  <c r="G27" i="18"/>
  <c r="G40" i="18"/>
  <c r="H38" i="18"/>
  <c r="I38" i="18" s="1"/>
  <c r="H42" i="18"/>
  <c r="I42" i="18" s="1"/>
  <c r="G45" i="18"/>
  <c r="H43" i="18"/>
  <c r="I43" i="18" s="1"/>
  <c r="H26" i="18"/>
  <c r="I26" i="18" s="1"/>
  <c r="H31" i="17"/>
  <c r="I31" i="17" s="1"/>
  <c r="H52" i="17"/>
  <c r="I52" i="17" s="1"/>
  <c r="G55" i="17"/>
  <c r="H30" i="17"/>
  <c r="I30" i="17" s="1"/>
  <c r="G32" i="17"/>
  <c r="G50" i="17"/>
  <c r="H48" i="17"/>
  <c r="I48" i="17" s="1"/>
  <c r="H34" i="17"/>
  <c r="I34" i="17" s="1"/>
  <c r="H49" i="17"/>
  <c r="I49" i="17" s="1"/>
  <c r="H53" i="17"/>
  <c r="I53" i="17" s="1"/>
  <c r="D41" i="13"/>
  <c r="H28" i="13"/>
  <c r="I28" i="13" s="1"/>
  <c r="G29" i="13"/>
  <c r="H27" i="13"/>
  <c r="I27" i="13" s="1"/>
  <c r="H42" i="13"/>
  <c r="I42" i="13" s="1"/>
  <c r="G44" i="13"/>
  <c r="H36" i="13"/>
  <c r="I36" i="13" s="1"/>
  <c r="H43" i="13"/>
  <c r="I43" i="13" s="1"/>
  <c r="H47" i="13"/>
  <c r="I47" i="13" s="1"/>
  <c r="H33" i="13"/>
  <c r="I33" i="13" s="1"/>
  <c r="G49" i="13"/>
  <c r="H46" i="13"/>
  <c r="I46" i="13" s="1"/>
  <c r="C13" i="8"/>
  <c r="D13" i="8"/>
  <c r="C14" i="8"/>
  <c r="C11" i="6"/>
  <c r="C38" i="6" s="1"/>
  <c r="D38" i="6" s="1"/>
  <c r="F38" i="6"/>
  <c r="G38" i="6" s="1"/>
  <c r="C12" i="6"/>
  <c r="C39" i="6" s="1"/>
  <c r="D39" i="6" s="1"/>
  <c r="F39" i="6"/>
  <c r="G39" i="6" s="1"/>
  <c r="C12" i="4"/>
  <c r="C38" i="4" s="1"/>
  <c r="D38" i="4" s="1"/>
  <c r="F38" i="4"/>
  <c r="G38" i="4" s="1"/>
  <c r="C13" i="4"/>
  <c r="C39" i="4" s="1"/>
  <c r="D39" i="4" s="1"/>
  <c r="F39" i="4"/>
  <c r="G39" i="4" s="1"/>
  <c r="C10" i="9"/>
  <c r="C34" i="9" s="1"/>
  <c r="D34" i="9" s="1"/>
  <c r="D10" i="9"/>
  <c r="F34" i="9" s="1"/>
  <c r="G34" i="9" s="1"/>
  <c r="C11" i="9"/>
  <c r="C35" i="9" s="1"/>
  <c r="D35" i="9" s="1"/>
  <c r="F35" i="9"/>
  <c r="G35" i="9" s="1"/>
  <c r="B13" i="8"/>
  <c r="B14" i="8"/>
  <c r="B11" i="6"/>
  <c r="B12" i="6"/>
  <c r="B12" i="4"/>
  <c r="B13" i="4"/>
  <c r="B10" i="9"/>
  <c r="B11" i="9"/>
  <c r="A13" i="8"/>
  <c r="A42" i="8" s="1"/>
  <c r="A14" i="8"/>
  <c r="A43" i="8" s="1"/>
  <c r="A11" i="6"/>
  <c r="A38" i="6" s="1"/>
  <c r="A12" i="6"/>
  <c r="A39" i="6" s="1"/>
  <c r="A12" i="4"/>
  <c r="A38" i="4" s="1"/>
  <c r="A13" i="4"/>
  <c r="A39" i="4" s="1"/>
  <c r="C9" i="9"/>
  <c r="C33" i="9" s="1"/>
  <c r="C11" i="8"/>
  <c r="C40" i="8" s="1"/>
  <c r="C10" i="6"/>
  <c r="C37" i="6" s="1"/>
  <c r="C11" i="4"/>
  <c r="C37" i="4" s="1"/>
  <c r="E30" i="9"/>
  <c r="B30" i="9"/>
  <c r="E37" i="8"/>
  <c r="B37" i="8"/>
  <c r="E34" i="6"/>
  <c r="B34" i="6"/>
  <c r="E34" i="4"/>
  <c r="B34" i="4"/>
  <c r="D6" i="9"/>
  <c r="F30" i="9" s="1"/>
  <c r="G30" i="9" s="1"/>
  <c r="C6" i="9"/>
  <c r="C30" i="9" s="1"/>
  <c r="D30" i="9" s="1"/>
  <c r="B6" i="9"/>
  <c r="A6" i="9"/>
  <c r="A30" i="9" s="1"/>
  <c r="D8" i="8"/>
  <c r="F37" i="8" s="1"/>
  <c r="C8" i="8"/>
  <c r="C37" i="8" s="1"/>
  <c r="B8" i="8"/>
  <c r="A8" i="8"/>
  <c r="A37" i="8" s="1"/>
  <c r="D7" i="6"/>
  <c r="F34" i="6" s="1"/>
  <c r="C7" i="6"/>
  <c r="C34" i="6" s="1"/>
  <c r="D34" i="6" s="1"/>
  <c r="B7" i="6"/>
  <c r="A7" i="6"/>
  <c r="A34" i="6" s="1"/>
  <c r="D8" i="4"/>
  <c r="F34" i="4" s="1"/>
  <c r="C8" i="4"/>
  <c r="C34" i="4" s="1"/>
  <c r="B8" i="4"/>
  <c r="A8" i="4"/>
  <c r="A34" i="4" s="1"/>
  <c r="E33" i="9"/>
  <c r="B33" i="9"/>
  <c r="E40" i="8"/>
  <c r="B40" i="8"/>
  <c r="E37" i="6"/>
  <c r="B37" i="6"/>
  <c r="E37" i="4"/>
  <c r="B37" i="4"/>
  <c r="D9" i="9"/>
  <c r="F33" i="9" s="1"/>
  <c r="B9" i="9"/>
  <c r="A33" i="9"/>
  <c r="D11" i="8"/>
  <c r="F40" i="8" s="1"/>
  <c r="B11" i="8"/>
  <c r="A11" i="8"/>
  <c r="A40" i="8" s="1"/>
  <c r="D10" i="6"/>
  <c r="F37" i="6" s="1"/>
  <c r="B10" i="6"/>
  <c r="B9" i="6"/>
  <c r="A10" i="6"/>
  <c r="A37" i="6" s="1"/>
  <c r="B10" i="4"/>
  <c r="B11" i="4"/>
  <c r="A11" i="4"/>
  <c r="A37" i="4" s="1"/>
  <c r="D11" i="4"/>
  <c r="F37" i="4" s="1"/>
  <c r="D6" i="8"/>
  <c r="C6" i="8"/>
  <c r="B6" i="8"/>
  <c r="A6" i="8"/>
  <c r="A35" i="8" s="1"/>
  <c r="A6" i="4"/>
  <c r="A32" i="4" s="1"/>
  <c r="D6" i="4"/>
  <c r="C6" i="4"/>
  <c r="B6" i="4"/>
  <c r="F48" i="9"/>
  <c r="C48" i="9"/>
  <c r="F58" i="8"/>
  <c r="C58" i="8"/>
  <c r="F52" i="6"/>
  <c r="C52" i="6"/>
  <c r="F52" i="4"/>
  <c r="C52" i="4"/>
  <c r="F25" i="9"/>
  <c r="H20" i="9"/>
  <c r="E25" i="9" s="1"/>
  <c r="F26" i="9"/>
  <c r="D4" i="9"/>
  <c r="F28" i="9" s="1"/>
  <c r="E28" i="9"/>
  <c r="D5" i="9"/>
  <c r="F29" i="9" s="1"/>
  <c r="E29" i="9"/>
  <c r="D8" i="9"/>
  <c r="F32" i="9" s="1"/>
  <c r="E32" i="9"/>
  <c r="D12" i="9"/>
  <c r="F36" i="9" s="1"/>
  <c r="E36" i="9"/>
  <c r="D13" i="9"/>
  <c r="F38" i="9" s="1"/>
  <c r="D14" i="9"/>
  <c r="F39" i="9" s="1"/>
  <c r="D15" i="9"/>
  <c r="F42" i="9" s="1"/>
  <c r="D16" i="9"/>
  <c r="F43" i="9" s="1"/>
  <c r="D17" i="9"/>
  <c r="F44" i="9" s="1"/>
  <c r="E44" i="9"/>
  <c r="E46" i="9"/>
  <c r="F46" i="9"/>
  <c r="F30" i="8"/>
  <c r="H25" i="8"/>
  <c r="E31" i="8" s="1"/>
  <c r="F31" i="8"/>
  <c r="D4" i="8"/>
  <c r="F33" i="8" s="1"/>
  <c r="D5" i="8"/>
  <c r="F34" i="8" s="1"/>
  <c r="D7" i="8"/>
  <c r="F36" i="8" s="1"/>
  <c r="E36" i="8"/>
  <c r="D10" i="8"/>
  <c r="F39" i="8" s="1"/>
  <c r="E39" i="8"/>
  <c r="D12" i="8"/>
  <c r="F41" i="8" s="1"/>
  <c r="E43" i="8"/>
  <c r="D17" i="8"/>
  <c r="F46" i="8" s="1"/>
  <c r="E46" i="8"/>
  <c r="D18" i="8"/>
  <c r="F48" i="8" s="1"/>
  <c r="D19" i="8"/>
  <c r="F49" i="8" s="1"/>
  <c r="D20" i="8"/>
  <c r="F52" i="8" s="1"/>
  <c r="D21" i="8"/>
  <c r="F53" i="8" s="1"/>
  <c r="F35" i="8"/>
  <c r="D22" i="8"/>
  <c r="F54" i="8" s="1"/>
  <c r="E56" i="8"/>
  <c r="F56" i="8"/>
  <c r="C35" i="8"/>
  <c r="F28" i="6"/>
  <c r="H23" i="6"/>
  <c r="E29" i="6" s="1"/>
  <c r="F29" i="6"/>
  <c r="D4" i="6"/>
  <c r="F31" i="6" s="1"/>
  <c r="D5" i="6"/>
  <c r="F32" i="6" s="1"/>
  <c r="D6" i="6"/>
  <c r="F33" i="6" s="1"/>
  <c r="D9" i="6"/>
  <c r="F36" i="6" s="1"/>
  <c r="D13" i="6"/>
  <c r="F40" i="6" s="1"/>
  <c r="D14" i="6"/>
  <c r="F42" i="6" s="1"/>
  <c r="D15" i="6"/>
  <c r="F43" i="6" s="1"/>
  <c r="D18" i="6"/>
  <c r="F46" i="6" s="1"/>
  <c r="D19" i="6"/>
  <c r="F47" i="6" s="1"/>
  <c r="D20" i="6"/>
  <c r="F48" i="6" s="1"/>
  <c r="E50" i="6"/>
  <c r="F50" i="6"/>
  <c r="F32" i="4"/>
  <c r="H22" i="4"/>
  <c r="E47" i="4" s="1"/>
  <c r="F27" i="4"/>
  <c r="F28" i="4"/>
  <c r="D4" i="4"/>
  <c r="F30" i="4" s="1"/>
  <c r="E30" i="4"/>
  <c r="D5" i="4"/>
  <c r="F31" i="4" s="1"/>
  <c r="B31" i="4"/>
  <c r="E31" i="4" s="1"/>
  <c r="D7" i="4"/>
  <c r="F33" i="4" s="1"/>
  <c r="E33" i="4"/>
  <c r="D10" i="4"/>
  <c r="F36" i="4" s="1"/>
  <c r="E36" i="4"/>
  <c r="D14" i="4"/>
  <c r="F40" i="4" s="1"/>
  <c r="E40" i="4"/>
  <c r="D15" i="4"/>
  <c r="F42" i="4" s="1"/>
  <c r="D16" i="4"/>
  <c r="F43" i="4" s="1"/>
  <c r="D17" i="4"/>
  <c r="F46" i="4" s="1"/>
  <c r="D18" i="4"/>
  <c r="F47" i="4" s="1"/>
  <c r="E48" i="4"/>
  <c r="D19" i="4"/>
  <c r="F48" i="4" s="1"/>
  <c r="E50" i="4"/>
  <c r="F50" i="4"/>
  <c r="C32" i="4"/>
  <c r="C4" i="4"/>
  <c r="C30" i="4" s="1"/>
  <c r="D30" i="4" s="1"/>
  <c r="C5" i="4"/>
  <c r="C31" i="4" s="1"/>
  <c r="C7" i="4"/>
  <c r="C33" i="4" s="1"/>
  <c r="C10" i="4"/>
  <c r="C36" i="4" s="1"/>
  <c r="C14" i="4"/>
  <c r="C40" i="4" s="1"/>
  <c r="C15" i="4"/>
  <c r="C42" i="4" s="1"/>
  <c r="C16" i="4"/>
  <c r="C43" i="4" s="1"/>
  <c r="C17" i="4"/>
  <c r="C46" i="4" s="1"/>
  <c r="C18" i="4"/>
  <c r="C47" i="4" s="1"/>
  <c r="C19" i="4"/>
  <c r="C48" i="4" s="1"/>
  <c r="C50" i="4"/>
  <c r="B26" i="9"/>
  <c r="B31" i="8"/>
  <c r="B29" i="6"/>
  <c r="B28" i="4"/>
  <c r="B39" i="9"/>
  <c r="B38" i="9"/>
  <c r="C17" i="9"/>
  <c r="C44" i="9" s="1"/>
  <c r="C5" i="9"/>
  <c r="C29" i="9" s="1"/>
  <c r="C8" i="9"/>
  <c r="C32" i="9" s="1"/>
  <c r="C12" i="9"/>
  <c r="C36" i="9" s="1"/>
  <c r="C13" i="9"/>
  <c r="C38" i="9" s="1"/>
  <c r="C14" i="9"/>
  <c r="C39" i="9" s="1"/>
  <c r="C15" i="9"/>
  <c r="C42" i="9" s="1"/>
  <c r="C16" i="9"/>
  <c r="C43" i="9" s="1"/>
  <c r="C4" i="9"/>
  <c r="C28" i="9" s="1"/>
  <c r="D28" i="9" s="1"/>
  <c r="B17" i="9"/>
  <c r="B5" i="9"/>
  <c r="B8" i="9"/>
  <c r="B12" i="9"/>
  <c r="B13" i="9"/>
  <c r="B14" i="9"/>
  <c r="B15" i="9"/>
  <c r="B16" i="9"/>
  <c r="B4" i="9"/>
  <c r="A3" i="9"/>
  <c r="A23" i="9" s="1"/>
  <c r="B3" i="9"/>
  <c r="C3" i="9"/>
  <c r="D3" i="9"/>
  <c r="A4" i="9"/>
  <c r="A28" i="9" s="1"/>
  <c r="A5" i="9"/>
  <c r="A29" i="9" s="1"/>
  <c r="A32" i="9"/>
  <c r="A36" i="9"/>
  <c r="A38" i="9"/>
  <c r="A39" i="9"/>
  <c r="A42" i="9"/>
  <c r="A43" i="9"/>
  <c r="A44" i="9"/>
  <c r="E21" i="9"/>
  <c r="B25" i="9"/>
  <c r="C25" i="9"/>
  <c r="C26" i="9"/>
  <c r="B29" i="9"/>
  <c r="B32" i="9"/>
  <c r="B36" i="9"/>
  <c r="B42" i="9"/>
  <c r="B43" i="9"/>
  <c r="B44" i="9"/>
  <c r="B46" i="9"/>
  <c r="C46" i="9"/>
  <c r="C22" i="8"/>
  <c r="C54" i="8" s="1"/>
  <c r="C7" i="8"/>
  <c r="C36" i="8" s="1"/>
  <c r="C10" i="8"/>
  <c r="C39" i="8" s="1"/>
  <c r="C12" i="8"/>
  <c r="C41" i="8" s="1"/>
  <c r="C17" i="8"/>
  <c r="C46" i="8" s="1"/>
  <c r="C18" i="8"/>
  <c r="C48" i="8" s="1"/>
  <c r="C19" i="8"/>
  <c r="C49" i="8" s="1"/>
  <c r="C20" i="8"/>
  <c r="C52" i="8" s="1"/>
  <c r="C21" i="8"/>
  <c r="C53" i="8" s="1"/>
  <c r="C5" i="8"/>
  <c r="C34" i="8" s="1"/>
  <c r="C4" i="8"/>
  <c r="C33" i="8" s="1"/>
  <c r="D33" i="8" s="1"/>
  <c r="B22" i="8"/>
  <c r="B10" i="8"/>
  <c r="B12" i="8"/>
  <c r="B17" i="8"/>
  <c r="B18" i="8"/>
  <c r="B19" i="8"/>
  <c r="B20" i="8"/>
  <c r="B21" i="8"/>
  <c r="B7" i="8"/>
  <c r="B5" i="8"/>
  <c r="B4" i="8"/>
  <c r="A7" i="8"/>
  <c r="A36" i="8" s="1"/>
  <c r="A10" i="8"/>
  <c r="A39" i="8" s="1"/>
  <c r="A12" i="8"/>
  <c r="A41" i="8" s="1"/>
  <c r="A17" i="8"/>
  <c r="A46" i="8" s="1"/>
  <c r="A18" i="8"/>
  <c r="A48" i="8" s="1"/>
  <c r="A19" i="8"/>
  <c r="A49" i="8" s="1"/>
  <c r="A20" i="8"/>
  <c r="A52" i="8" s="1"/>
  <c r="A21" i="8"/>
  <c r="A53" i="8" s="1"/>
  <c r="A22" i="8"/>
  <c r="A54" i="8" s="1"/>
  <c r="A5" i="8"/>
  <c r="A34" i="8" s="1"/>
  <c r="A4" i="8"/>
  <c r="A33" i="8" s="1"/>
  <c r="A3" i="8"/>
  <c r="A28" i="8" s="1"/>
  <c r="B3" i="8"/>
  <c r="C3" i="8"/>
  <c r="D3" i="8"/>
  <c r="E26" i="8"/>
  <c r="B30" i="8"/>
  <c r="C30" i="8"/>
  <c r="C31" i="8"/>
  <c r="E33" i="8"/>
  <c r="B34" i="8"/>
  <c r="E34" i="8" s="1"/>
  <c r="B36" i="8"/>
  <c r="B39" i="8"/>
  <c r="B43" i="8"/>
  <c r="B46" i="8"/>
  <c r="B48" i="8"/>
  <c r="B49" i="8"/>
  <c r="B52" i="8"/>
  <c r="B53" i="8"/>
  <c r="B54" i="8"/>
  <c r="E54" i="8"/>
  <c r="B56" i="8"/>
  <c r="C56" i="8"/>
  <c r="B43" i="6"/>
  <c r="B42" i="6"/>
  <c r="E40" i="6"/>
  <c r="E36" i="6"/>
  <c r="E33" i="6"/>
  <c r="B40" i="6"/>
  <c r="B36" i="6"/>
  <c r="B33" i="6"/>
  <c r="A3" i="6"/>
  <c r="A26" i="6" s="1"/>
  <c r="D16" i="6"/>
  <c r="D17" i="6"/>
  <c r="C5" i="6"/>
  <c r="C32" i="6" s="1"/>
  <c r="C6" i="6"/>
  <c r="C33" i="6" s="1"/>
  <c r="C9" i="6"/>
  <c r="C36" i="6" s="1"/>
  <c r="C13" i="6"/>
  <c r="C40" i="6" s="1"/>
  <c r="C14" i="6"/>
  <c r="C42" i="6" s="1"/>
  <c r="C15" i="6"/>
  <c r="C43" i="6" s="1"/>
  <c r="D43" i="6" s="1"/>
  <c r="C16" i="6"/>
  <c r="C17" i="6"/>
  <c r="C18" i="6"/>
  <c r="C46" i="6" s="1"/>
  <c r="C19" i="6"/>
  <c r="C47" i="6" s="1"/>
  <c r="C20" i="6"/>
  <c r="C48" i="6" s="1"/>
  <c r="C4" i="6"/>
  <c r="C31" i="6" s="1"/>
  <c r="D31" i="6" s="1"/>
  <c r="B5" i="6"/>
  <c r="B6" i="6"/>
  <c r="B13" i="6"/>
  <c r="B14" i="6"/>
  <c r="B15" i="6"/>
  <c r="B16" i="6"/>
  <c r="B17" i="6"/>
  <c r="B18" i="6"/>
  <c r="B19" i="6"/>
  <c r="B20" i="6"/>
  <c r="B4" i="6"/>
  <c r="A20" i="6"/>
  <c r="A48" i="6" s="1"/>
  <c r="A19" i="6"/>
  <c r="A47" i="6" s="1"/>
  <c r="A18" i="6"/>
  <c r="A46" i="6" s="1"/>
  <c r="A17" i="6"/>
  <c r="A16" i="6"/>
  <c r="A15" i="6"/>
  <c r="A43" i="6" s="1"/>
  <c r="A14" i="6"/>
  <c r="A42" i="6" s="1"/>
  <c r="A13" i="6"/>
  <c r="A40" i="6" s="1"/>
  <c r="A9" i="6"/>
  <c r="A36" i="6" s="1"/>
  <c r="A6" i="6"/>
  <c r="A33" i="6" s="1"/>
  <c r="A5" i="6"/>
  <c r="A32" i="6" s="1"/>
  <c r="A4" i="6"/>
  <c r="A31" i="6" s="1"/>
  <c r="B3" i="6"/>
  <c r="C3" i="6"/>
  <c r="D3" i="6"/>
  <c r="E24" i="6"/>
  <c r="B28" i="6"/>
  <c r="C28" i="6"/>
  <c r="C29" i="6"/>
  <c r="E31" i="6"/>
  <c r="B32" i="6"/>
  <c r="E32" i="6" s="1"/>
  <c r="B46" i="6"/>
  <c r="B47" i="6"/>
  <c r="B48" i="6"/>
  <c r="E48" i="6"/>
  <c r="B50" i="6"/>
  <c r="C50" i="6"/>
  <c r="B33" i="4"/>
  <c r="B36" i="4"/>
  <c r="B40" i="4"/>
  <c r="B42" i="4"/>
  <c r="B43" i="4"/>
  <c r="B46" i="4"/>
  <c r="B47" i="4"/>
  <c r="B48" i="4"/>
  <c r="B50" i="4"/>
  <c r="B27" i="4"/>
  <c r="C27" i="4"/>
  <c r="C28" i="4"/>
  <c r="A18" i="4"/>
  <c r="A47" i="4" s="1"/>
  <c r="A19" i="4"/>
  <c r="A48" i="4" s="1"/>
  <c r="A17" i="4"/>
  <c r="A46" i="4" s="1"/>
  <c r="A16" i="4"/>
  <c r="A43" i="4" s="1"/>
  <c r="A15" i="4"/>
  <c r="A42" i="4" s="1"/>
  <c r="A5" i="4"/>
  <c r="A31" i="4" s="1"/>
  <c r="A7" i="4"/>
  <c r="A33" i="4" s="1"/>
  <c r="A10" i="4"/>
  <c r="A36" i="4" s="1"/>
  <c r="A14" i="4"/>
  <c r="A40" i="4" s="1"/>
  <c r="A4" i="4"/>
  <c r="A30" i="4" s="1"/>
  <c r="A3" i="4"/>
  <c r="A25" i="4" s="1"/>
  <c r="E23" i="4"/>
  <c r="B3" i="4"/>
  <c r="D3" i="4"/>
  <c r="B5" i="4"/>
  <c r="B7" i="4"/>
  <c r="B14" i="4"/>
  <c r="B15" i="4"/>
  <c r="B16" i="4"/>
  <c r="B17" i="4"/>
  <c r="B18" i="4"/>
  <c r="B19" i="4"/>
  <c r="B4" i="4"/>
  <c r="C3" i="4"/>
  <c r="G36" i="9" l="1"/>
  <c r="G29" i="9"/>
  <c r="G28" i="9"/>
  <c r="H28" i="9" s="1"/>
  <c r="I28" i="9" s="1"/>
  <c r="G32" i="9"/>
  <c r="G52" i="20"/>
  <c r="G53" i="20" s="1"/>
  <c r="J51" i="20" s="1"/>
  <c r="H44" i="8"/>
  <c r="I44" i="8" s="1"/>
  <c r="H45" i="8"/>
  <c r="I45" i="8" s="1"/>
  <c r="D31" i="8"/>
  <c r="J52" i="21"/>
  <c r="H52" i="21"/>
  <c r="I52" i="21" s="1"/>
  <c r="H53" i="21"/>
  <c r="I53" i="21" s="1"/>
  <c r="J53" i="21"/>
  <c r="J50" i="21"/>
  <c r="J34" i="21"/>
  <c r="J33" i="21"/>
  <c r="J38" i="21"/>
  <c r="J37" i="21"/>
  <c r="J35" i="21"/>
  <c r="J29" i="21"/>
  <c r="J36" i="21"/>
  <c r="J31" i="21"/>
  <c r="J32" i="21"/>
  <c r="J40" i="21"/>
  <c r="J39" i="21"/>
  <c r="J28" i="21"/>
  <c r="J43" i="21"/>
  <c r="J41" i="21"/>
  <c r="J46" i="21"/>
  <c r="J42" i="21"/>
  <c r="J47" i="21"/>
  <c r="J48" i="21"/>
  <c r="J44" i="21"/>
  <c r="J49" i="21"/>
  <c r="J45" i="21"/>
  <c r="J30" i="21"/>
  <c r="D36" i="6"/>
  <c r="D41" i="18"/>
  <c r="D47" i="18" s="1"/>
  <c r="D48" i="18" s="1"/>
  <c r="D49" i="18" s="1"/>
  <c r="G37" i="6"/>
  <c r="D33" i="6"/>
  <c r="J45" i="19"/>
  <c r="J51" i="19"/>
  <c r="H52" i="20"/>
  <c r="I52" i="20" s="1"/>
  <c r="J53" i="19"/>
  <c r="G55" i="19"/>
  <c r="G56" i="19" s="1"/>
  <c r="H53" i="19"/>
  <c r="I53" i="19" s="1"/>
  <c r="J35" i="19"/>
  <c r="J33" i="19"/>
  <c r="J37" i="19"/>
  <c r="J27" i="19"/>
  <c r="J30" i="19"/>
  <c r="J36" i="19"/>
  <c r="J40" i="19"/>
  <c r="J32" i="19"/>
  <c r="J39" i="19"/>
  <c r="J42" i="19"/>
  <c r="J50" i="19"/>
  <c r="J34" i="19"/>
  <c r="J38" i="19"/>
  <c r="J28" i="19"/>
  <c r="J43" i="19"/>
  <c r="J46" i="19"/>
  <c r="J31" i="19"/>
  <c r="J47" i="19"/>
  <c r="J48" i="19"/>
  <c r="J44" i="19"/>
  <c r="J29" i="19"/>
  <c r="J49" i="19"/>
  <c r="J41" i="19"/>
  <c r="H52" i="19"/>
  <c r="I52" i="19" s="1"/>
  <c r="J52" i="19"/>
  <c r="D45" i="13"/>
  <c r="D51" i="13" s="1"/>
  <c r="D52" i="13" s="1"/>
  <c r="D53" i="13" s="1"/>
  <c r="G41" i="18"/>
  <c r="H47" i="17"/>
  <c r="I47" i="17" s="1"/>
  <c r="D51" i="17"/>
  <c r="D57" i="17" s="1"/>
  <c r="D58" i="17" s="1"/>
  <c r="D59" i="17" s="1"/>
  <c r="D36" i="9"/>
  <c r="D37" i="6"/>
  <c r="D36" i="8"/>
  <c r="D32" i="9"/>
  <c r="G34" i="6"/>
  <c r="H34" i="6" s="1"/>
  <c r="I34" i="6" s="1"/>
  <c r="G37" i="8"/>
  <c r="D29" i="9"/>
  <c r="H41" i="13"/>
  <c r="I41" i="13" s="1"/>
  <c r="H37" i="18"/>
  <c r="I37" i="18" s="1"/>
  <c r="H45" i="18"/>
  <c r="I45" i="18" s="1"/>
  <c r="H40" i="18"/>
  <c r="I40" i="18" s="1"/>
  <c r="H27" i="18"/>
  <c r="I27" i="18" s="1"/>
  <c r="H55" i="17"/>
  <c r="I55" i="17" s="1"/>
  <c r="H50" i="17"/>
  <c r="I50" i="17" s="1"/>
  <c r="H32" i="17"/>
  <c r="I32" i="17" s="1"/>
  <c r="G51" i="17"/>
  <c r="G57" i="17" s="1"/>
  <c r="H29" i="13"/>
  <c r="I29" i="13" s="1"/>
  <c r="H44" i="13"/>
  <c r="I44" i="13" s="1"/>
  <c r="G45" i="13"/>
  <c r="H49" i="13"/>
  <c r="I49" i="13" s="1"/>
  <c r="D41" i="8"/>
  <c r="C42" i="8"/>
  <c r="D42" i="8" s="1"/>
  <c r="H35" i="9"/>
  <c r="I35" i="9" s="1"/>
  <c r="F43" i="8"/>
  <c r="G43" i="8" s="1"/>
  <c r="C43" i="8"/>
  <c r="D43" i="8" s="1"/>
  <c r="G41" i="8"/>
  <c r="F42" i="8"/>
  <c r="G42" i="8" s="1"/>
  <c r="H39" i="6"/>
  <c r="I39" i="6" s="1"/>
  <c r="E46" i="6"/>
  <c r="G46" i="6" s="1"/>
  <c r="G50" i="6"/>
  <c r="H39" i="4"/>
  <c r="I39" i="4" s="1"/>
  <c r="H34" i="9"/>
  <c r="I34" i="9" s="1"/>
  <c r="H38" i="6"/>
  <c r="I38" i="6" s="1"/>
  <c r="D34" i="4"/>
  <c r="G31" i="4"/>
  <c r="G34" i="4"/>
  <c r="G40" i="4"/>
  <c r="G33" i="4"/>
  <c r="D33" i="4"/>
  <c r="H38" i="4"/>
  <c r="I38" i="4" s="1"/>
  <c r="D53" i="8"/>
  <c r="D39" i="8"/>
  <c r="D37" i="8"/>
  <c r="D34" i="8"/>
  <c r="G34" i="8"/>
  <c r="G46" i="8"/>
  <c r="G39" i="8"/>
  <c r="G40" i="8"/>
  <c r="D50" i="6"/>
  <c r="D42" i="4"/>
  <c r="D50" i="4"/>
  <c r="G56" i="8"/>
  <c r="G46" i="9"/>
  <c r="E48" i="8"/>
  <c r="G48" i="8" s="1"/>
  <c r="E49" i="8"/>
  <c r="G49" i="8" s="1"/>
  <c r="E38" i="9"/>
  <c r="G38" i="9" s="1"/>
  <c r="D56" i="8"/>
  <c r="E52" i="8"/>
  <c r="G52" i="8" s="1"/>
  <c r="E53" i="8"/>
  <c r="G53" i="8" s="1"/>
  <c r="G32" i="4"/>
  <c r="E42" i="6"/>
  <c r="G42" i="6" s="1"/>
  <c r="E47" i="6"/>
  <c r="G47" i="6" s="1"/>
  <c r="D29" i="6"/>
  <c r="E43" i="6"/>
  <c r="G43" i="6" s="1"/>
  <c r="H43" i="6" s="1"/>
  <c r="I43" i="6" s="1"/>
  <c r="G31" i="8"/>
  <c r="D35" i="8"/>
  <c r="D26" i="9"/>
  <c r="G48" i="6"/>
  <c r="D46" i="9"/>
  <c r="E30" i="8"/>
  <c r="G30" i="8" s="1"/>
  <c r="D48" i="6"/>
  <c r="G50" i="4"/>
  <c r="E28" i="6"/>
  <c r="G28" i="6" s="1"/>
  <c r="G25" i="9"/>
  <c r="D38" i="9"/>
  <c r="D47" i="6"/>
  <c r="D30" i="8"/>
  <c r="E27" i="4"/>
  <c r="G27" i="4" s="1"/>
  <c r="G54" i="8"/>
  <c r="E39" i="9"/>
  <c r="G39" i="9" s="1"/>
  <c r="E42" i="9"/>
  <c r="G42" i="9" s="1"/>
  <c r="D43" i="9"/>
  <c r="D28" i="4"/>
  <c r="E42" i="4"/>
  <c r="G42" i="4" s="1"/>
  <c r="D31" i="4"/>
  <c r="G35" i="8"/>
  <c r="E26" i="9"/>
  <c r="G26" i="9" s="1"/>
  <c r="D44" i="9"/>
  <c r="E43" i="9"/>
  <c r="G43" i="9" s="1"/>
  <c r="D28" i="6"/>
  <c r="D48" i="8"/>
  <c r="G48" i="4"/>
  <c r="E46" i="4"/>
  <c r="G46" i="4" s="1"/>
  <c r="D46" i="8"/>
  <c r="D42" i="9"/>
  <c r="G36" i="4"/>
  <c r="G30" i="4"/>
  <c r="G36" i="6"/>
  <c r="G33" i="8"/>
  <c r="H33" i="8" s="1"/>
  <c r="I33" i="8" s="1"/>
  <c r="D27" i="4"/>
  <c r="D46" i="4"/>
  <c r="D46" i="6"/>
  <c r="D40" i="6"/>
  <c r="D32" i="6"/>
  <c r="D52" i="8"/>
  <c r="D54" i="8"/>
  <c r="D25" i="9"/>
  <c r="D39" i="9"/>
  <c r="D40" i="4"/>
  <c r="G31" i="6"/>
  <c r="G36" i="8"/>
  <c r="D43" i="4"/>
  <c r="D49" i="8"/>
  <c r="D48" i="4"/>
  <c r="D36" i="4"/>
  <c r="D32" i="4"/>
  <c r="G33" i="6"/>
  <c r="D33" i="9"/>
  <c r="D37" i="4"/>
  <c r="D47" i="4"/>
  <c r="G40" i="6"/>
  <c r="G32" i="6"/>
  <c r="G37" i="4"/>
  <c r="G33" i="9"/>
  <c r="D40" i="8"/>
  <c r="G29" i="6"/>
  <c r="G47" i="4"/>
  <c r="D42" i="6"/>
  <c r="D44" i="6" s="1"/>
  <c r="H30" i="9"/>
  <c r="I30" i="9" s="1"/>
  <c r="G44" i="9"/>
  <c r="E43" i="4"/>
  <c r="G43" i="4" s="1"/>
  <c r="E28" i="4"/>
  <c r="G28" i="4" s="1"/>
  <c r="J36" i="20" l="1"/>
  <c r="H56" i="19"/>
  <c r="I56" i="19" s="1"/>
  <c r="K7" i="11"/>
  <c r="H32" i="9"/>
  <c r="I32" i="9" s="1"/>
  <c r="H29" i="9"/>
  <c r="I29" i="9" s="1"/>
  <c r="G37" i="9"/>
  <c r="H36" i="9"/>
  <c r="I36" i="9" s="1"/>
  <c r="J49" i="20"/>
  <c r="J38" i="20"/>
  <c r="J42" i="20"/>
  <c r="J27" i="20"/>
  <c r="J47" i="20"/>
  <c r="H53" i="20"/>
  <c r="I53" i="20" s="1"/>
  <c r="J29" i="20"/>
  <c r="J46" i="20"/>
  <c r="J48" i="20"/>
  <c r="J31" i="20"/>
  <c r="J32" i="20"/>
  <c r="J39" i="20"/>
  <c r="G55" i="20"/>
  <c r="G56" i="20" s="1"/>
  <c r="H56" i="20" s="1"/>
  <c r="I56" i="20" s="1"/>
  <c r="J45" i="20"/>
  <c r="J41" i="20"/>
  <c r="J43" i="20"/>
  <c r="J40" i="20"/>
  <c r="J35" i="20"/>
  <c r="J33" i="20"/>
  <c r="J53" i="20"/>
  <c r="J44" i="20"/>
  <c r="J28" i="20"/>
  <c r="J34" i="20"/>
  <c r="J50" i="20"/>
  <c r="J37" i="20"/>
  <c r="J30" i="20"/>
  <c r="J52" i="20"/>
  <c r="D32" i="8"/>
  <c r="H31" i="8"/>
  <c r="I31" i="8" s="1"/>
  <c r="H36" i="6"/>
  <c r="I36" i="6" s="1"/>
  <c r="H33" i="6"/>
  <c r="I33" i="6" s="1"/>
  <c r="H37" i="6"/>
  <c r="I37" i="6" s="1"/>
  <c r="H41" i="18"/>
  <c r="I41" i="18" s="1"/>
  <c r="H53" i="8"/>
  <c r="I53" i="8" s="1"/>
  <c r="H37" i="8"/>
  <c r="I37" i="8" s="1"/>
  <c r="H41" i="8"/>
  <c r="I41" i="8" s="1"/>
  <c r="G47" i="18"/>
  <c r="G48" i="18" s="1"/>
  <c r="G49" i="18" s="1"/>
  <c r="J31" i="18" s="1"/>
  <c r="D61" i="17"/>
  <c r="D62" i="17" s="1"/>
  <c r="H57" i="17"/>
  <c r="I57" i="17" s="1"/>
  <c r="G58" i="17"/>
  <c r="G59" i="17" s="1"/>
  <c r="H51" i="17"/>
  <c r="I51" i="17" s="1"/>
  <c r="D55" i="13"/>
  <c r="D56" i="13" s="1"/>
  <c r="H45" i="13"/>
  <c r="I45" i="13" s="1"/>
  <c r="G51" i="13"/>
  <c r="H31" i="4"/>
  <c r="I31" i="4" s="1"/>
  <c r="H42" i="8"/>
  <c r="I42" i="8" s="1"/>
  <c r="H30" i="8"/>
  <c r="I30" i="8" s="1"/>
  <c r="H29" i="6"/>
  <c r="I29" i="6" s="1"/>
  <c r="D30" i="6"/>
  <c r="H46" i="9"/>
  <c r="I46" i="9" s="1"/>
  <c r="H50" i="6"/>
  <c r="I50" i="6" s="1"/>
  <c r="H43" i="8"/>
  <c r="I43" i="8" s="1"/>
  <c r="H34" i="4"/>
  <c r="I34" i="4" s="1"/>
  <c r="H39" i="8"/>
  <c r="I39" i="8" s="1"/>
  <c r="H40" i="4"/>
  <c r="I40" i="4" s="1"/>
  <c r="H33" i="4"/>
  <c r="I33" i="4" s="1"/>
  <c r="H32" i="4"/>
  <c r="I32" i="4" s="1"/>
  <c r="H46" i="8"/>
  <c r="I46" i="8" s="1"/>
  <c r="G50" i="8"/>
  <c r="H34" i="8"/>
  <c r="I34" i="8" s="1"/>
  <c r="H56" i="8"/>
  <c r="I56" i="8" s="1"/>
  <c r="H40" i="8"/>
  <c r="I40" i="8" s="1"/>
  <c r="D40" i="9"/>
  <c r="H26" i="9"/>
  <c r="I26" i="9" s="1"/>
  <c r="G32" i="8"/>
  <c r="G47" i="8"/>
  <c r="H50" i="4"/>
  <c r="I50" i="4" s="1"/>
  <c r="D44" i="4"/>
  <c r="H42" i="4"/>
  <c r="I42" i="4" s="1"/>
  <c r="H48" i="8"/>
  <c r="I48" i="8" s="1"/>
  <c r="H48" i="6"/>
  <c r="I48" i="6" s="1"/>
  <c r="H32" i="6"/>
  <c r="I32" i="6" s="1"/>
  <c r="D41" i="6"/>
  <c r="D45" i="6" s="1"/>
  <c r="H36" i="4"/>
  <c r="I36" i="4" s="1"/>
  <c r="H33" i="9"/>
  <c r="I33" i="9" s="1"/>
  <c r="H37" i="4"/>
  <c r="I37" i="4" s="1"/>
  <c r="H25" i="9"/>
  <c r="I25" i="9" s="1"/>
  <c r="H35" i="8"/>
  <c r="I35" i="8" s="1"/>
  <c r="H54" i="8"/>
  <c r="I54" i="8" s="1"/>
  <c r="G30" i="6"/>
  <c r="H42" i="6"/>
  <c r="I42" i="6" s="1"/>
  <c r="H39" i="9"/>
  <c r="I39" i="9" s="1"/>
  <c r="D37" i="9"/>
  <c r="H27" i="4"/>
  <c r="I27" i="4" s="1"/>
  <c r="G44" i="6"/>
  <c r="H44" i="6" s="1"/>
  <c r="I44" i="6" s="1"/>
  <c r="H43" i="9"/>
  <c r="I43" i="9" s="1"/>
  <c r="H36" i="8"/>
  <c r="I36" i="8" s="1"/>
  <c r="H40" i="6"/>
  <c r="I40" i="6" s="1"/>
  <c r="D41" i="4"/>
  <c r="D50" i="8"/>
  <c r="D55" i="8"/>
  <c r="D49" i="6"/>
  <c r="D29" i="4"/>
  <c r="H42" i="9"/>
  <c r="I42" i="9" s="1"/>
  <c r="D27" i="9"/>
  <c r="H38" i="9"/>
  <c r="I38" i="9" s="1"/>
  <c r="G55" i="8"/>
  <c r="H47" i="6"/>
  <c r="I47" i="6" s="1"/>
  <c r="H28" i="6"/>
  <c r="I28" i="6" s="1"/>
  <c r="D45" i="9"/>
  <c r="H52" i="8"/>
  <c r="I52" i="8" s="1"/>
  <c r="G40" i="9"/>
  <c r="D47" i="8"/>
  <c r="G27" i="9"/>
  <c r="H48" i="4"/>
  <c r="I48" i="4" s="1"/>
  <c r="H46" i="6"/>
  <c r="I46" i="6" s="1"/>
  <c r="G49" i="6"/>
  <c r="G41" i="6"/>
  <c r="H31" i="6"/>
  <c r="I31" i="6" s="1"/>
  <c r="D49" i="4"/>
  <c r="H49" i="8"/>
  <c r="I49" i="8" s="1"/>
  <c r="H30" i="4"/>
  <c r="I30" i="4" s="1"/>
  <c r="G41" i="4"/>
  <c r="H46" i="4"/>
  <c r="I46" i="4" s="1"/>
  <c r="H47" i="4"/>
  <c r="I47" i="4" s="1"/>
  <c r="G49" i="4"/>
  <c r="H43" i="4"/>
  <c r="I43" i="4" s="1"/>
  <c r="G44" i="4"/>
  <c r="H28" i="4"/>
  <c r="I28" i="4" s="1"/>
  <c r="G29" i="4"/>
  <c r="H44" i="9"/>
  <c r="I44" i="9" s="1"/>
  <c r="G45" i="9"/>
  <c r="H32" i="8" l="1"/>
  <c r="I32" i="8" s="1"/>
  <c r="G51" i="8"/>
  <c r="G9" i="11" s="1"/>
  <c r="G41" i="9"/>
  <c r="G47" i="9" s="1"/>
  <c r="J51" i="17"/>
  <c r="J38" i="17"/>
  <c r="H47" i="18"/>
  <c r="I47" i="18" s="1"/>
  <c r="J57" i="17"/>
  <c r="H49" i="18"/>
  <c r="I49" i="18" s="1"/>
  <c r="J49" i="18"/>
  <c r="J33" i="18"/>
  <c r="J28" i="18"/>
  <c r="J36" i="18"/>
  <c r="J35" i="18"/>
  <c r="J39" i="18"/>
  <c r="J30" i="18"/>
  <c r="J32" i="18"/>
  <c r="J34" i="18"/>
  <c r="J46" i="18"/>
  <c r="J44" i="18"/>
  <c r="J29" i="18"/>
  <c r="J42" i="18"/>
  <c r="J43" i="18"/>
  <c r="J25" i="18"/>
  <c r="J38" i="18"/>
  <c r="J37" i="18"/>
  <c r="J26" i="18"/>
  <c r="J41" i="18"/>
  <c r="J27" i="18"/>
  <c r="J45" i="18"/>
  <c r="J40" i="18"/>
  <c r="H48" i="18"/>
  <c r="I48" i="18" s="1"/>
  <c r="J48" i="18"/>
  <c r="J47" i="18"/>
  <c r="G61" i="17"/>
  <c r="G62" i="17" s="1"/>
  <c r="H62" i="17" s="1"/>
  <c r="I62" i="17" s="1"/>
  <c r="H59" i="17"/>
  <c r="I59" i="17" s="1"/>
  <c r="J59" i="17"/>
  <c r="J43" i="17"/>
  <c r="J41" i="17"/>
  <c r="J39" i="17"/>
  <c r="J36" i="17"/>
  <c r="J37" i="17"/>
  <c r="J56" i="17"/>
  <c r="J33" i="17"/>
  <c r="J42" i="17"/>
  <c r="J44" i="17"/>
  <c r="J35" i="17"/>
  <c r="J54" i="17"/>
  <c r="J45" i="17"/>
  <c r="J40" i="17"/>
  <c r="J46" i="17"/>
  <c r="J31" i="17"/>
  <c r="J30" i="17"/>
  <c r="J34" i="17"/>
  <c r="J53" i="17"/>
  <c r="J52" i="17"/>
  <c r="J48" i="17"/>
  <c r="J47" i="17"/>
  <c r="J49" i="17"/>
  <c r="J55" i="17"/>
  <c r="J32" i="17"/>
  <c r="J50" i="17"/>
  <c r="H58" i="17"/>
  <c r="I58" i="17" s="1"/>
  <c r="J58" i="17"/>
  <c r="H51" i="13"/>
  <c r="I51" i="13" s="1"/>
  <c r="G52" i="13"/>
  <c r="H30" i="6"/>
  <c r="I30" i="6" s="1"/>
  <c r="H50" i="8"/>
  <c r="I50" i="8" s="1"/>
  <c r="G45" i="6"/>
  <c r="G8" i="11" s="1"/>
  <c r="D41" i="9"/>
  <c r="D45" i="4"/>
  <c r="F6" i="11" s="1"/>
  <c r="H55" i="8"/>
  <c r="I55" i="8" s="1"/>
  <c r="H27" i="9"/>
  <c r="I27" i="9" s="1"/>
  <c r="H40" i="9"/>
  <c r="I40" i="9" s="1"/>
  <c r="H37" i="9"/>
  <c r="I37" i="9" s="1"/>
  <c r="H41" i="4"/>
  <c r="I41" i="4" s="1"/>
  <c r="H49" i="6"/>
  <c r="I49" i="6" s="1"/>
  <c r="D51" i="8"/>
  <c r="H41" i="6"/>
  <c r="I41" i="6" s="1"/>
  <c r="H47" i="8"/>
  <c r="I47" i="8" s="1"/>
  <c r="H49" i="4"/>
  <c r="I49" i="4" s="1"/>
  <c r="H45" i="9"/>
  <c r="I45" i="9" s="1"/>
  <c r="F8" i="11"/>
  <c r="D51" i="6"/>
  <c r="H29" i="4"/>
  <c r="I29" i="4" s="1"/>
  <c r="G45" i="4"/>
  <c r="G51" i="4" s="1"/>
  <c r="H44" i="4"/>
  <c r="I44" i="4" s="1"/>
  <c r="G57" i="8" l="1"/>
  <c r="G58" i="8" s="1"/>
  <c r="H51" i="8"/>
  <c r="I51" i="8" s="1"/>
  <c r="H41" i="9"/>
  <c r="I41" i="9" s="1"/>
  <c r="G10" i="11"/>
  <c r="H45" i="6"/>
  <c r="I45" i="6" s="1"/>
  <c r="G51" i="6"/>
  <c r="G52" i="6" s="1"/>
  <c r="H52" i="13"/>
  <c r="I52" i="13" s="1"/>
  <c r="G53" i="13"/>
  <c r="J35" i="13" s="1"/>
  <c r="H8" i="11"/>
  <c r="D51" i="4"/>
  <c r="D52" i="4" s="1"/>
  <c r="D53" i="4" s="1"/>
  <c r="D55" i="4" s="1"/>
  <c r="D56" i="4" s="1"/>
  <c r="J6" i="11" s="1"/>
  <c r="F10" i="11"/>
  <c r="D47" i="9"/>
  <c r="D48" i="9" s="1"/>
  <c r="D49" i="9" s="1"/>
  <c r="J10" i="11" s="1"/>
  <c r="H7" i="11"/>
  <c r="D57" i="8"/>
  <c r="D58" i="8" s="1"/>
  <c r="D59" i="8" s="1"/>
  <c r="D61" i="8" s="1"/>
  <c r="D62" i="8" s="1"/>
  <c r="J9" i="11" s="1"/>
  <c r="F9" i="11"/>
  <c r="H9" i="11" s="1"/>
  <c r="G52" i="4"/>
  <c r="G53" i="4" s="1"/>
  <c r="J35" i="4" s="1"/>
  <c r="H51" i="6"/>
  <c r="I51" i="6" s="1"/>
  <c r="D52" i="6"/>
  <c r="G6" i="11"/>
  <c r="H6" i="11" s="1"/>
  <c r="H45" i="4"/>
  <c r="I45" i="4" s="1"/>
  <c r="G48" i="9"/>
  <c r="G49" i="9" s="1"/>
  <c r="J31" i="9" s="1"/>
  <c r="H10" i="11" l="1"/>
  <c r="H52" i="6"/>
  <c r="I52" i="6" s="1"/>
  <c r="G53" i="6"/>
  <c r="J35" i="6" s="1"/>
  <c r="J53" i="13"/>
  <c r="H53" i="13"/>
  <c r="I53" i="13" s="1"/>
  <c r="G55" i="13"/>
  <c r="G56" i="13" s="1"/>
  <c r="H56" i="13" s="1"/>
  <c r="I56" i="13" s="1"/>
  <c r="J32" i="13"/>
  <c r="J37" i="13"/>
  <c r="J30" i="13"/>
  <c r="J31" i="13"/>
  <c r="J34" i="13"/>
  <c r="J50" i="13"/>
  <c r="J39" i="13"/>
  <c r="J40" i="13"/>
  <c r="J38" i="13"/>
  <c r="J48" i="13"/>
  <c r="J28" i="13"/>
  <c r="J36" i="13"/>
  <c r="J46" i="13"/>
  <c r="J41" i="13"/>
  <c r="J47" i="13"/>
  <c r="J27" i="13"/>
  <c r="J43" i="13"/>
  <c r="J33" i="13"/>
  <c r="J42" i="13"/>
  <c r="J29" i="13"/>
  <c r="J44" i="13"/>
  <c r="J49" i="13"/>
  <c r="J45" i="13"/>
  <c r="J51" i="13"/>
  <c r="J52" i="13"/>
  <c r="J35" i="9"/>
  <c r="H51" i="4"/>
  <c r="I51" i="4" s="1"/>
  <c r="J47" i="9"/>
  <c r="J34" i="9"/>
  <c r="H47" i="9"/>
  <c r="I47" i="9" s="1"/>
  <c r="J38" i="4"/>
  <c r="J39" i="4"/>
  <c r="H57" i="8"/>
  <c r="I57" i="8" s="1"/>
  <c r="J33" i="4"/>
  <c r="J30" i="4"/>
  <c r="J42" i="4"/>
  <c r="J36" i="4"/>
  <c r="J47" i="4"/>
  <c r="J32" i="4"/>
  <c r="J31" i="4"/>
  <c r="J41" i="4"/>
  <c r="J48" i="4"/>
  <c r="G55" i="4"/>
  <c r="G56" i="4" s="1"/>
  <c r="H53" i="4"/>
  <c r="I53" i="4" s="1"/>
  <c r="J53" i="4"/>
  <c r="J40" i="4"/>
  <c r="J50" i="4"/>
  <c r="J34" i="4"/>
  <c r="J27" i="4"/>
  <c r="J37" i="4"/>
  <c r="J46" i="4"/>
  <c r="J49" i="4"/>
  <c r="J28" i="4"/>
  <c r="J43" i="4"/>
  <c r="J29" i="4"/>
  <c r="J44" i="4"/>
  <c r="J51" i="4"/>
  <c r="J45" i="4"/>
  <c r="H58" i="8"/>
  <c r="I58" i="8" s="1"/>
  <c r="H48" i="9"/>
  <c r="I48" i="9" s="1"/>
  <c r="J48" i="9"/>
  <c r="G59" i="8"/>
  <c r="J38" i="8" s="1"/>
  <c r="D53" i="6"/>
  <c r="K10" i="11"/>
  <c r="L10" i="11" s="1"/>
  <c r="J42" i="9"/>
  <c r="J33" i="9"/>
  <c r="J28" i="9"/>
  <c r="J43" i="9"/>
  <c r="J30" i="9"/>
  <c r="J39" i="9"/>
  <c r="J46" i="9"/>
  <c r="J37" i="9"/>
  <c r="H49" i="9"/>
  <c r="I49" i="9" s="1"/>
  <c r="J49" i="9"/>
  <c r="J38" i="9"/>
  <c r="J25" i="9"/>
  <c r="J27" i="9"/>
  <c r="J36" i="9"/>
  <c r="J26" i="9"/>
  <c r="J32" i="9"/>
  <c r="J29" i="9"/>
  <c r="J44" i="9"/>
  <c r="J40" i="9"/>
  <c r="J41" i="9"/>
  <c r="J45" i="9"/>
  <c r="H52" i="4"/>
  <c r="I52" i="4" s="1"/>
  <c r="J52" i="4"/>
  <c r="J29" i="6" l="1"/>
  <c r="J53" i="6"/>
  <c r="J32" i="6"/>
  <c r="J37" i="6"/>
  <c r="J31" i="6"/>
  <c r="J51" i="6"/>
  <c r="J30" i="6"/>
  <c r="J49" i="6"/>
  <c r="K8" i="11"/>
  <c r="J45" i="6"/>
  <c r="J44" i="6"/>
  <c r="J48" i="6"/>
  <c r="J28" i="6"/>
  <c r="J46" i="6"/>
  <c r="J42" i="6"/>
  <c r="J47" i="6"/>
  <c r="J40" i="6"/>
  <c r="J34" i="6"/>
  <c r="J52" i="6"/>
  <c r="J43" i="6"/>
  <c r="J33" i="6"/>
  <c r="J41" i="6"/>
  <c r="J50" i="6"/>
  <c r="J36" i="6"/>
  <c r="J38" i="6"/>
  <c r="J39" i="6"/>
  <c r="J45" i="8"/>
  <c r="J44" i="8"/>
  <c r="J41" i="8"/>
  <c r="J42" i="8"/>
  <c r="L7" i="11"/>
  <c r="H56" i="4"/>
  <c r="I56" i="4" s="1"/>
  <c r="K6" i="11"/>
  <c r="L6" i="11" s="1"/>
  <c r="J8" i="11"/>
  <c r="H53" i="6"/>
  <c r="I53" i="6" s="1"/>
  <c r="J59" i="8"/>
  <c r="J37" i="8"/>
  <c r="J35" i="8"/>
  <c r="J54" i="8"/>
  <c r="J43" i="8"/>
  <c r="J46" i="8"/>
  <c r="J30" i="8"/>
  <c r="J53" i="8"/>
  <c r="J50" i="8"/>
  <c r="J32" i="8"/>
  <c r="H59" i="8"/>
  <c r="I59" i="8" s="1"/>
  <c r="J40" i="8"/>
  <c r="J39" i="8"/>
  <c r="J33" i="8"/>
  <c r="J31" i="8"/>
  <c r="J55" i="8"/>
  <c r="G61" i="8"/>
  <c r="G62" i="8" s="1"/>
  <c r="J36" i="8"/>
  <c r="J34" i="8"/>
  <c r="J56" i="8"/>
  <c r="J49" i="8"/>
  <c r="J48" i="8"/>
  <c r="J52" i="8"/>
  <c r="J47" i="8"/>
  <c r="J51" i="8"/>
  <c r="J57" i="8"/>
  <c r="J58" i="8"/>
  <c r="L8" i="11" l="1"/>
  <c r="H62" i="8"/>
  <c r="I62" i="8" s="1"/>
  <c r="K9" i="11"/>
  <c r="L9" i="11" s="1"/>
</calcChain>
</file>

<file path=xl/sharedStrings.xml><?xml version="1.0" encoding="utf-8"?>
<sst xmlns="http://schemas.openxmlformats.org/spreadsheetml/2006/main" count="508" uniqueCount="79">
  <si>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</si>
  <si>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</si>
  <si>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</si>
  <si>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</si>
  <si>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</si>
  <si>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</si>
  <si>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</si>
  <si>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</si>
  <si>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</si>
  <si>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</si>
  <si>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</si>
  <si>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</si>
  <si>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</si>
  <si>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</si>
  <si>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</si>
  <si>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</si>
  <si>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</si>
  <si>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</si>
  <si>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</si>
  <si>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</si>
  <si>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</si>
  <si>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</si>
  <si>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</si>
  <si>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</si>
  <si>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</si>
  <si>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</si>
  <si>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</si>
  <si>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</si>
  <si>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</si>
  <si>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</si>
  <si>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</si>
  <si>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</si>
  <si>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</si>
  <si>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</si>
  <si>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</si>
  <si>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</si>
  <si>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</si>
  <si>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</si>
  <si>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</si>
  <si>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</si>
  <si>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</si>
  <si>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</si>
  <si>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</si>
  <si>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</si>
  <si>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</si>
  <si>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GST / HST</t>
  </si>
  <si>
    <t>Algoma Power Inc.</t>
  </si>
  <si>
    <t>Rate Rider for Deferral/Variance Account Disposition - effective until November 30, 2015</t>
  </si>
  <si>
    <t>Customer Class</t>
  </si>
  <si>
    <t>Usage Profile</t>
  </si>
  <si>
    <t>Delivery Charges</t>
  </si>
  <si>
    <t>Current</t>
  </si>
  <si>
    <t>Proposed</t>
  </si>
  <si>
    <t>% Chg.</t>
  </si>
  <si>
    <t>Residential R1</t>
  </si>
  <si>
    <t>Residential R2</t>
  </si>
  <si>
    <t>Electricty Distribution Rate Proposal</t>
  </si>
  <si>
    <t>OCEB Credit</t>
  </si>
  <si>
    <t>Balance after OCEB Credit has been applied</t>
  </si>
  <si>
    <t>Rate Rider for Foregone Revenue Recovery - effective until December 31, 2012</t>
  </si>
  <si>
    <t>EB-2012-0104</t>
  </si>
  <si>
    <t>2013 Distribution Rate Impact Module</t>
  </si>
  <si>
    <t>2013 IR</t>
  </si>
  <si>
    <t>Draft Rate Order</t>
  </si>
  <si>
    <t>Rate Rider for Deferral/Variance Account Disposition (2010) - effective until May 31, 2013</t>
  </si>
  <si>
    <t>Rate Rider for Deferral/Variance Account Disposition (2012) - effective until May 31, 2013</t>
  </si>
  <si>
    <t>Rate Rider for Deferral/Variance Account Disposition (2013) - effective until December 31, 2013</t>
  </si>
  <si>
    <t>Rate Rider for Global Adjustment Sub-Account Disposition (2013) - effective until December 31, 2013</t>
  </si>
  <si>
    <t xml:space="preserve">Rate Rider for Tax Changes </t>
  </si>
  <si>
    <t>Rate Rider for Tax Changes</t>
  </si>
  <si>
    <t>Rate Rider for Foregone Revenue Recovery - effective until December 31, 2014</t>
  </si>
  <si>
    <t>Smart Meter Entity Charge - effective May 1, 2013 until October 31, 2018</t>
  </si>
  <si>
    <t>Smart Meter Cost Recovery Rate Rider - Net Deferred Revenue Requirement, effective until December 31, 2016</t>
  </si>
  <si>
    <t>Smart Meter Cost Recovery Rate Rider - Incremental Revenue Requirement, effective until December 31, 2014</t>
  </si>
  <si>
    <t>Current Approved Rates     April 2013</t>
  </si>
  <si>
    <t>Draft Rate Order     May 2013</t>
  </si>
  <si>
    <t>April 15, 2013</t>
  </si>
  <si>
    <t>Response to Board Staff Comments</t>
  </si>
  <si>
    <t>Rate Impacts Summary Arising from the Draft Rate Order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</si>
</sst>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_);_(* \(#,##0.0000\);_(* &quot;-&quot;??_);_(@_)"/>
    <numFmt numFmtId="167" formatCode="0.0%"/>
    <numFmt numFmtId="168" formatCode="0.0000"/>
    <numFmt numFmtId="169" formatCode="_(* #,##0_);_(* \(#,##0\);_(* &quot;-&quot;??_);_(@_)"/>
    <numFmt numFmtId="170" formatCode="0.0"/>
    <numFmt numFmtId="171" formatCode="_(* #,##0.0000000_);_(* \(#,##0.00000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5" fontId="0" fillId="0" borderId="0" xfId="1" applyFont="1"/>
    <xf numFmtId="166" fontId="0" fillId="0" borderId="0" xfId="1" applyNumberFormat="1" applyFont="1"/>
    <xf numFmtId="167" fontId="0" fillId="0" borderId="0" xfId="3" applyNumberFormat="1" applyFont="1"/>
    <xf numFmtId="165" fontId="0" fillId="0" borderId="0" xfId="0" applyNumberFormat="1"/>
    <xf numFmtId="167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165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5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165" fontId="5" fillId="0" borderId="11" xfId="0" applyNumberFormat="1" applyFont="1" applyBorder="1"/>
    <xf numFmtId="165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165" fontId="5" fillId="0" borderId="14" xfId="0" applyNumberFormat="1" applyFont="1" applyBorder="1"/>
    <xf numFmtId="165" fontId="5" fillId="0" borderId="15" xfId="0" applyNumberFormat="1" applyFont="1" applyBorder="1"/>
    <xf numFmtId="166" fontId="5" fillId="0" borderId="14" xfId="0" applyNumberFormat="1" applyFont="1" applyBorder="1"/>
    <xf numFmtId="166" fontId="5" fillId="0" borderId="15" xfId="0" applyNumberFormat="1" applyFont="1" applyBorder="1"/>
    <xf numFmtId="0" fontId="3" fillId="0" borderId="5" xfId="0" applyFont="1" applyBorder="1"/>
    <xf numFmtId="169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8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8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8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7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70" fontId="5" fillId="0" borderId="17" xfId="0" applyNumberFormat="1" applyFont="1" applyBorder="1" applyAlignment="1">
      <alignment horizontal="center"/>
    </xf>
    <xf numFmtId="170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71" fontId="0" fillId="0" borderId="0" xfId="1" applyNumberFormat="1" applyFont="1"/>
    <xf numFmtId="16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166" fontId="0" fillId="0" borderId="0" xfId="1" applyNumberFormat="1" applyFont="1" applyFill="1"/>
    <xf numFmtId="0" fontId="1" fillId="0" borderId="0" xfId="0" applyFont="1"/>
    <xf numFmtId="0" fontId="0" fillId="0" borderId="16" xfId="0" applyBorder="1" applyAlignment="1">
      <alignment horizontal="center"/>
    </xf>
    <xf numFmtId="169" fontId="0" fillId="0" borderId="16" xfId="1" applyNumberFormat="1" applyFont="1" applyBorder="1"/>
    <xf numFmtId="165" fontId="0" fillId="0" borderId="16" xfId="1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/>
    <xf numFmtId="0" fontId="0" fillId="0" borderId="36" xfId="0" applyBorder="1"/>
    <xf numFmtId="169" fontId="0" fillId="0" borderId="19" xfId="1" applyNumberFormat="1" applyFont="1" applyBorder="1"/>
    <xf numFmtId="165" fontId="0" fillId="0" borderId="19" xfId="1" applyFont="1" applyBorder="1"/>
    <xf numFmtId="0" fontId="0" fillId="0" borderId="28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69" fontId="11" fillId="5" borderId="16" xfId="1" applyNumberFormat="1" applyFont="1" applyFill="1" applyBorder="1"/>
    <xf numFmtId="169" fontId="11" fillId="5" borderId="19" xfId="1" applyNumberFormat="1" applyFont="1" applyFill="1" applyBorder="1"/>
    <xf numFmtId="167" fontId="11" fillId="5" borderId="16" xfId="3" applyNumberFormat="1" applyFont="1" applyFill="1" applyBorder="1"/>
    <xf numFmtId="167" fontId="11" fillId="5" borderId="19" xfId="3" applyNumberFormat="1" applyFont="1" applyFill="1" applyBorder="1"/>
    <xf numFmtId="0" fontId="5" fillId="0" borderId="37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6" fillId="0" borderId="4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41" xfId="0" applyFont="1" applyBorder="1"/>
    <xf numFmtId="0" fontId="6" fillId="6" borderId="1" xfId="0" applyFont="1" applyFill="1" applyBorder="1"/>
    <xf numFmtId="0" fontId="6" fillId="6" borderId="42" xfId="0" applyFont="1" applyFill="1" applyBorder="1" applyAlignment="1">
      <alignment horizontal="center"/>
    </xf>
    <xf numFmtId="0" fontId="6" fillId="6" borderId="42" xfId="0" applyFont="1" applyFill="1" applyBorder="1"/>
    <xf numFmtId="164" fontId="6" fillId="6" borderId="42" xfId="0" applyNumberFormat="1" applyFont="1" applyFill="1" applyBorder="1"/>
    <xf numFmtId="0" fontId="6" fillId="6" borderId="2" xfId="0" applyFont="1" applyFill="1" applyBorder="1"/>
    <xf numFmtId="164" fontId="6" fillId="6" borderId="42" xfId="0" applyNumberFormat="1" applyFont="1" applyFill="1" applyBorder="1" applyAlignment="1">
      <alignment horizontal="center"/>
    </xf>
    <xf numFmtId="10" fontId="6" fillId="6" borderId="42" xfId="3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10" fontId="0" fillId="0" borderId="16" xfId="3" applyNumberFormat="1" applyFont="1" applyBorder="1"/>
    <xf numFmtId="10" fontId="0" fillId="0" borderId="19" xfId="3" applyNumberFormat="1" applyFont="1" applyBorder="1"/>
    <xf numFmtId="10" fontId="0" fillId="0" borderId="24" xfId="3" applyNumberFormat="1" applyFont="1" applyBorder="1"/>
    <xf numFmtId="10" fontId="0" fillId="0" borderId="20" xfId="3" applyNumberFormat="1" applyFont="1" applyBorder="1"/>
    <xf numFmtId="0" fontId="8" fillId="0" borderId="18" xfId="0" applyFont="1" applyBorder="1" applyAlignment="1">
      <alignment horizontal="center"/>
    </xf>
    <xf numFmtId="0" fontId="0" fillId="0" borderId="0" xfId="0" applyFill="1"/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8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31"/>
  <sheetViews>
    <sheetView topLeftCell="A9" zoomScaleNormal="100" workbookViewId="0">
      <selection activeCell="B30" sqref="B30:I30"/>
    </sheetView>
  </sheetViews>
  <sheetFormatPr defaultRowHeight="12.75" x14ac:dyDescent="0.2"/>
  <cols>
    <col min="1" max="1" width="5" customWidth="1"/>
    <col min="9" max="9" width="48.5703125" customWidth="1"/>
  </cols>
  <sheetData>
    <row r="20" spans="2:9" ht="33.75" x14ac:dyDescent="0.5">
      <c r="B20" s="150" t="s">
        <v>46</v>
      </c>
      <c r="C20" s="150"/>
      <c r="D20" s="150"/>
      <c r="E20" s="150"/>
      <c r="F20" s="150"/>
      <c r="G20" s="150"/>
      <c r="H20" s="150"/>
      <c r="I20" s="150"/>
    </row>
    <row r="21" spans="2:9" ht="33.75" x14ac:dyDescent="0.5">
      <c r="B21" s="150" t="s">
        <v>61</v>
      </c>
      <c r="C21" s="150"/>
      <c r="D21" s="150"/>
      <c r="E21" s="150"/>
      <c r="F21" s="150"/>
      <c r="G21" s="150"/>
      <c r="H21" s="150"/>
      <c r="I21" s="150"/>
    </row>
    <row r="22" spans="2:9" ht="33.75" x14ac:dyDescent="0.5">
      <c r="B22" s="150" t="s">
        <v>62</v>
      </c>
      <c r="C22" s="150"/>
      <c r="D22" s="150"/>
      <c r="E22" s="150"/>
      <c r="F22" s="150"/>
      <c r="G22" s="150"/>
      <c r="H22" s="150"/>
      <c r="I22" s="150"/>
    </row>
    <row r="23" spans="2:9" ht="33.75" x14ac:dyDescent="0.5">
      <c r="B23" s="150" t="s">
        <v>56</v>
      </c>
      <c r="C23" s="150"/>
      <c r="D23" s="150"/>
      <c r="E23" s="150"/>
      <c r="F23" s="150"/>
      <c r="G23" s="150"/>
      <c r="H23" s="150"/>
      <c r="I23" s="150"/>
    </row>
    <row r="24" spans="2:9" ht="33.75" x14ac:dyDescent="0.5">
      <c r="B24" s="150" t="s">
        <v>60</v>
      </c>
      <c r="C24" s="150"/>
      <c r="D24" s="150"/>
      <c r="E24" s="150"/>
      <c r="F24" s="150"/>
      <c r="G24" s="150"/>
      <c r="H24" s="150"/>
      <c r="I24" s="150"/>
    </row>
    <row r="25" spans="2:9" ht="33.75" x14ac:dyDescent="0.5">
      <c r="B25" s="148"/>
      <c r="C25" s="148"/>
      <c r="D25" s="148"/>
      <c r="E25" s="148"/>
      <c r="F25" s="148"/>
      <c r="G25" s="148"/>
      <c r="H25" s="148"/>
      <c r="I25" s="148"/>
    </row>
    <row r="26" spans="2:9" ht="33.75" x14ac:dyDescent="0.5">
      <c r="B26" s="151" t="s">
        <v>63</v>
      </c>
      <c r="C26" s="151"/>
      <c r="D26" s="151"/>
      <c r="E26" s="151"/>
      <c r="F26" s="151"/>
      <c r="G26" s="151"/>
      <c r="H26" s="151"/>
      <c r="I26" s="151"/>
    </row>
    <row r="27" spans="2:9" ht="33.75" x14ac:dyDescent="0.5">
      <c r="B27" s="151" t="s">
        <v>77</v>
      </c>
      <c r="C27" s="151"/>
      <c r="D27" s="151"/>
      <c r="E27" s="151"/>
      <c r="F27" s="151"/>
      <c r="G27" s="151"/>
      <c r="H27" s="151"/>
      <c r="I27" s="151"/>
    </row>
    <row r="28" spans="2:9" ht="33.75" x14ac:dyDescent="0.5">
      <c r="B28" s="149"/>
      <c r="C28" s="149"/>
      <c r="D28" s="149"/>
      <c r="E28" s="149"/>
      <c r="F28" s="149"/>
      <c r="G28" s="149"/>
      <c r="H28" s="149"/>
      <c r="I28" s="149"/>
    </row>
    <row r="29" spans="2:9" ht="33.75" x14ac:dyDescent="0.5">
      <c r="B29" s="151" t="s">
        <v>76</v>
      </c>
      <c r="C29" s="151"/>
      <c r="D29" s="151"/>
      <c r="E29" s="151"/>
      <c r="F29" s="151"/>
      <c r="G29" s="151"/>
      <c r="H29" s="151"/>
      <c r="I29" s="151"/>
    </row>
    <row r="30" spans="2:9" ht="33.75" x14ac:dyDescent="0.5">
      <c r="B30" s="150"/>
      <c r="C30" s="151"/>
      <c r="D30" s="151"/>
      <c r="E30" s="151"/>
      <c r="F30" s="151"/>
      <c r="G30" s="151"/>
      <c r="H30" s="151"/>
      <c r="I30" s="151"/>
    </row>
    <row r="31" spans="2:9" ht="33.75" x14ac:dyDescent="0.5">
      <c r="B31" s="150"/>
      <c r="C31" s="151"/>
      <c r="D31" s="151"/>
      <c r="E31" s="151"/>
      <c r="F31" s="151"/>
      <c r="G31" s="151"/>
      <c r="H31" s="151"/>
      <c r="I31" s="151"/>
    </row>
  </sheetData>
  <mergeCells count="10">
    <mergeCell ref="B31:I31"/>
    <mergeCell ref="B30:I30"/>
    <mergeCell ref="B29:I29"/>
    <mergeCell ref="B26:I26"/>
    <mergeCell ref="B20:I20"/>
    <mergeCell ref="B21:I21"/>
    <mergeCell ref="B22:I22"/>
    <mergeCell ref="B24:I24"/>
    <mergeCell ref="B23:I23"/>
    <mergeCell ref="B27:I27"/>
  </mergeCells>
  <phoneticPr fontId="2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opLeftCell="A22" zoomScaleNormal="100" workbookViewId="0">
      <selection activeCell="N48" sqref="N48"/>
    </sheetView>
  </sheetViews>
  <sheetFormatPr defaultRowHeight="12" x14ac:dyDescent="0.2"/>
  <cols>
    <col min="1" max="1" width="92" style="8" bestFit="1" customWidth="1"/>
    <col min="2" max="2" width="9.140625" style="11" bestFit="1" customWidth="1"/>
    <col min="3" max="3" width="10" style="8" bestFit="1" customWidth="1"/>
    <col min="4" max="4" width="11.5703125" style="8" bestFit="1" customWidth="1"/>
    <col min="5" max="6" width="9.28515625" style="8" bestFit="1" customWidth="1"/>
    <col min="7" max="7" width="11.28515625" style="8" bestFit="1" customWidth="1"/>
    <col min="8" max="8" width="10.42578125" style="8" bestFit="1" customWidth="1"/>
    <col min="9" max="9" width="9.28515625" style="8" bestFit="1" customWidth="1"/>
    <col min="10" max="10" width="11.7109375" style="8" bestFit="1" customWidth="1"/>
    <col min="11" max="11" width="3" style="8" customWidth="1"/>
    <col min="12" max="16384" width="9.140625" style="8"/>
  </cols>
  <sheetData>
    <row r="2" spans="1:4" ht="12.75" thickBot="1" x14ac:dyDescent="0.25"/>
    <row r="3" spans="1:4" ht="48.75" thickBot="1" x14ac:dyDescent="0.25">
      <c r="A3" s="14" t="str">
        <f>Rates!A39</f>
        <v>Seasonal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Rates!A40</f>
        <v>Monthly Service Charge</v>
      </c>
      <c r="B4" s="24" t="str">
        <f>Rates!B40</f>
        <v>$</v>
      </c>
      <c r="C4" s="25">
        <f>Rates!D40</f>
        <v>26.15</v>
      </c>
      <c r="D4" s="26">
        <f>Rates!F40</f>
        <v>26.38</v>
      </c>
    </row>
    <row r="5" spans="1:4" x14ac:dyDescent="0.2">
      <c r="A5" s="27" t="str">
        <f>Rates!A41</f>
        <v>Smart Meter Rate Adder</v>
      </c>
      <c r="B5" s="28" t="str">
        <f>Rates!B41</f>
        <v>$</v>
      </c>
      <c r="C5" s="29">
        <f>Rates!D41</f>
        <v>0</v>
      </c>
      <c r="D5" s="30">
        <f>Rates!F41</f>
        <v>0</v>
      </c>
    </row>
    <row r="6" spans="1:4" x14ac:dyDescent="0.2">
      <c r="A6" s="27" t="str">
        <f>Rates!A57</f>
        <v>Smart Meter Entity Charge - effective May 1, 2013 until October 31, 2018</v>
      </c>
      <c r="B6" s="28" t="str">
        <f>Rates!B57</f>
        <v>$</v>
      </c>
      <c r="C6" s="31">
        <f>Rates!D57</f>
        <v>0</v>
      </c>
      <c r="D6" s="32">
        <f>Rates!F57</f>
        <v>0.79</v>
      </c>
    </row>
    <row r="7" spans="1:4" x14ac:dyDescent="0.2">
      <c r="A7" s="27" t="str">
        <f>Rates!A42</f>
        <v>Distribution Volumetric Rate</v>
      </c>
      <c r="B7" s="28" t="str">
        <f>Rates!B42</f>
        <v>$/kWh</v>
      </c>
      <c r="C7" s="31">
        <f>Rates!D42</f>
        <v>0.10059999999999999</v>
      </c>
      <c r="D7" s="32">
        <f>Rates!F42</f>
        <v>0.10150000000000001</v>
      </c>
    </row>
    <row r="8" spans="1:4" x14ac:dyDescent="0.2">
      <c r="A8" s="27" t="str">
        <f>Rates!A43</f>
        <v>Rate Rider for Foregone Revenue Recovery - effective until December 31, 2012</v>
      </c>
      <c r="B8" s="28" t="str">
        <f>Rates!B43</f>
        <v>$/kWh</v>
      </c>
      <c r="C8" s="31">
        <f>Rates!D43</f>
        <v>0</v>
      </c>
      <c r="D8" s="32">
        <f>Rates!F43</f>
        <v>0</v>
      </c>
    </row>
    <row r="9" spans="1:4" x14ac:dyDescent="0.2">
      <c r="A9" s="27" t="str">
        <f>Rates!A44</f>
        <v>Rate Rider for Foregone Revenue Recovery - effective until December 31, 2014</v>
      </c>
      <c r="B9" s="28" t="str">
        <f>Rates!B44</f>
        <v>$/kWh</v>
      </c>
      <c r="C9" s="31">
        <f>Rates!D44</f>
        <v>0</v>
      </c>
      <c r="D9" s="32">
        <f>Rates!F44</f>
        <v>2.9999999999999997E-4</v>
      </c>
    </row>
    <row r="10" spans="1:4" x14ac:dyDescent="0.2">
      <c r="A10" s="27" t="str">
        <f>Rates!A45</f>
        <v>Rate Rider for Deferral/Variance Account Disposition (2010) - effective until May 31, 2013</v>
      </c>
      <c r="B10" s="28" t="str">
        <f>Rates!B45</f>
        <v>$/kWh</v>
      </c>
      <c r="C10" s="31">
        <f>Rates!D45</f>
        <v>4.5999999999999999E-3</v>
      </c>
      <c r="D10" s="32">
        <f>Rates!F45</f>
        <v>4.5999999999999999E-3</v>
      </c>
    </row>
    <row r="11" spans="1:4" x14ac:dyDescent="0.2">
      <c r="A11" s="27" t="str">
        <f>Rates!A46</f>
        <v>Rate Rider for Deferral/Variance Account Disposition (2012) - effective until May 31, 2013</v>
      </c>
      <c r="B11" s="28" t="str">
        <f>Rates!B46</f>
        <v>$/kWh</v>
      </c>
      <c r="C11" s="31">
        <f>Rates!D46</f>
        <v>-6.1000000000000004E-3</v>
      </c>
      <c r="D11" s="32">
        <f>Rates!F46</f>
        <v>-6.1000000000000004E-3</v>
      </c>
    </row>
    <row r="12" spans="1:4" x14ac:dyDescent="0.2">
      <c r="A12" s="27" t="str">
        <f>Rates!A47</f>
        <v>Rate Rider for Deferral/Variance Account Disposition - effective until November 30, 2015</v>
      </c>
      <c r="B12" s="28" t="str">
        <f>Rates!B47</f>
        <v>$/kWh</v>
      </c>
      <c r="C12" s="31">
        <f>Rates!D47</f>
        <v>3.0700000000000002E-2</v>
      </c>
      <c r="D12" s="32">
        <f>Rates!F47</f>
        <v>3.0700000000000002E-2</v>
      </c>
    </row>
    <row r="13" spans="1:4" x14ac:dyDescent="0.2">
      <c r="A13" s="27" t="str">
        <f>Rates!A48</f>
        <v>Rate Rider for Deferral/Variance Account Disposition (2013) - effective until December 31, 2013</v>
      </c>
      <c r="B13" s="28" t="str">
        <f>Rates!B48</f>
        <v>$/kWh</v>
      </c>
      <c r="C13" s="31">
        <f>Rates!D48</f>
        <v>0</v>
      </c>
      <c r="D13" s="32">
        <f>Rates!F48</f>
        <v>-5.5999999999999999E-3</v>
      </c>
    </row>
    <row r="14" spans="1:4" x14ac:dyDescent="0.2">
      <c r="A14" s="27" t="str">
        <f>Rates!A49</f>
        <v>Rate Rider for Global Adjustment Sub-Account Disposition (2013) - effective until December 31, 2013</v>
      </c>
      <c r="B14" s="28" t="str">
        <f>Rates!B49</f>
        <v>$/kWh</v>
      </c>
      <c r="C14" s="31">
        <f>Rates!D49</f>
        <v>0</v>
      </c>
      <c r="D14" s="32">
        <f>Rates!F49</f>
        <v>1.4999999999999999E-2</v>
      </c>
    </row>
    <row r="15" spans="1:4" x14ac:dyDescent="0.2">
      <c r="A15" s="27" t="str">
        <f>Rates!A50</f>
        <v>Smart Meter Cost Recovery Rate Rider - Net Deferred Revenue Requirement, effective until December 31, 2016</v>
      </c>
      <c r="B15" s="28" t="str">
        <f>Rates!B50</f>
        <v>$</v>
      </c>
      <c r="C15" s="31">
        <f>Rates!D50</f>
        <v>0</v>
      </c>
      <c r="D15" s="32">
        <f>Rates!F50</f>
        <v>3.57</v>
      </c>
    </row>
    <row r="16" spans="1:4" x14ac:dyDescent="0.2">
      <c r="A16" s="27" t="str">
        <f>Rates!A51</f>
        <v>Smart Meter Cost Recovery Rate Rider - Incremental Revenue Requirement, effective until December 31, 2014</v>
      </c>
      <c r="B16" s="28" t="str">
        <f>Rates!B51</f>
        <v>$</v>
      </c>
      <c r="C16" s="31">
        <f>Rates!D51</f>
        <v>0</v>
      </c>
      <c r="D16" s="32">
        <f>Rates!F51</f>
        <v>4.6900000000000004</v>
      </c>
    </row>
    <row r="17" spans="1:10" x14ac:dyDescent="0.2">
      <c r="A17" s="27" t="str">
        <f>Rates!A52</f>
        <v>Rate Rider for Tax Changes</v>
      </c>
      <c r="B17" s="28" t="str">
        <f>Rates!B52</f>
        <v>$/kWh</v>
      </c>
      <c r="C17" s="31">
        <f>Rates!D52</f>
        <v>0</v>
      </c>
      <c r="D17" s="32">
        <f>Rates!F52</f>
        <v>-2.9999999999999997E-4</v>
      </c>
    </row>
    <row r="18" spans="1:10" x14ac:dyDescent="0.2">
      <c r="A18" s="27" t="str">
        <f>Rates!A53</f>
        <v>Retail Transmission Rate - Network Service Rate</v>
      </c>
      <c r="B18" s="28" t="str">
        <f>Rates!B53</f>
        <v>$/kWh</v>
      </c>
      <c r="C18" s="31">
        <f>Rates!D53</f>
        <v>7.1000000000000004E-3</v>
      </c>
      <c r="D18" s="32">
        <f>Rates!F53</f>
        <v>6.8999999999999999E-3</v>
      </c>
    </row>
    <row r="19" spans="1:10" x14ac:dyDescent="0.2">
      <c r="A19" s="27" t="str">
        <f>Rates!A54</f>
        <v>Retail Transmission Rate - Line and Transformation Connection Service Rate</v>
      </c>
      <c r="B19" s="28" t="str">
        <f>Rates!B54</f>
        <v>$/kWh</v>
      </c>
      <c r="C19" s="31">
        <f>Rates!D54</f>
        <v>5.1000000000000004E-3</v>
      </c>
      <c r="D19" s="32">
        <f>Rates!F54</f>
        <v>4.8999999999999998E-3</v>
      </c>
    </row>
    <row r="20" spans="1:10" x14ac:dyDescent="0.2">
      <c r="A20" s="27" t="str">
        <f>Rates!A55</f>
        <v>Wholesale Market Service Rate</v>
      </c>
      <c r="B20" s="28" t="str">
        <f>Rates!B55</f>
        <v>$/kWh</v>
      </c>
      <c r="C20" s="31">
        <f>Rates!D55</f>
        <v>5.1999999999999998E-3</v>
      </c>
      <c r="D20" s="32">
        <f>Rates!F55</f>
        <v>4.4000000000000003E-3</v>
      </c>
    </row>
    <row r="21" spans="1:10" x14ac:dyDescent="0.2">
      <c r="A21" s="27" t="str">
        <f>Rates!A56</f>
        <v>Rural Rate Protection Charge</v>
      </c>
      <c r="B21" s="28" t="str">
        <f>Rates!B56</f>
        <v>$/kWh</v>
      </c>
      <c r="C21" s="31">
        <f>Rates!D56</f>
        <v>1.1000000000000001E-3</v>
      </c>
      <c r="D21" s="32">
        <f>Rates!F56</f>
        <v>1.1999999999999999E-3</v>
      </c>
    </row>
    <row r="22" spans="1:10" ht="12.75" thickBot="1" x14ac:dyDescent="0.25">
      <c r="A22" s="12" t="str">
        <f>Rates!A58</f>
        <v>Standard Supply Service - Administarive Charge (if applicable)</v>
      </c>
      <c r="B22" s="17" t="str">
        <f>Rates!B58</f>
        <v>$</v>
      </c>
      <c r="C22" s="18">
        <f>Rates!D58</f>
        <v>0.25</v>
      </c>
      <c r="D22" s="13">
        <f>Rates!F58</f>
        <v>0.25</v>
      </c>
    </row>
    <row r="24" spans="1:10" ht="12.75" thickBot="1" x14ac:dyDescent="0.25"/>
    <row r="25" spans="1:10" ht="13.5" thickBot="1" x14ac:dyDescent="0.25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Rates!F82</f>
        <v>1.0864</v>
      </c>
    </row>
    <row r="26" spans="1:10" ht="13.5" thickBot="1" x14ac:dyDescent="0.25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 x14ac:dyDescent="0.25"/>
    <row r="28" spans="1:10" ht="12.75" customHeight="1" x14ac:dyDescent="0.2">
      <c r="A28" s="152" t="str">
        <f>A3</f>
        <v>Seasonal</v>
      </c>
      <c r="B28" s="154" t="s">
        <v>31</v>
      </c>
      <c r="C28" s="141" t="s">
        <v>37</v>
      </c>
      <c r="D28" s="141" t="s">
        <v>38</v>
      </c>
      <c r="E28" s="154" t="s">
        <v>31</v>
      </c>
      <c r="F28" s="141" t="s">
        <v>37</v>
      </c>
      <c r="G28" s="141" t="s">
        <v>38</v>
      </c>
      <c r="H28" s="156" t="s">
        <v>44</v>
      </c>
      <c r="I28" s="156"/>
      <c r="J28" s="157"/>
    </row>
    <row r="29" spans="1:10" ht="12.75" thickBot="1" x14ac:dyDescent="0.25">
      <c r="A29" s="153"/>
      <c r="B29" s="155"/>
      <c r="C29" s="50" t="s">
        <v>15</v>
      </c>
      <c r="D29" s="50" t="s">
        <v>15</v>
      </c>
      <c r="E29" s="155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 x14ac:dyDescent="0.2">
      <c r="A30" s="54" t="s">
        <v>35</v>
      </c>
      <c r="B30" s="55">
        <f>IF(B25*Rates!D82&gt;B26,B26,B25*Rates!D82)</f>
        <v>311.79680000000002</v>
      </c>
      <c r="C30" s="56">
        <f>Rates!D78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Rates!F78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59" si="1">IF(ISERROR(G30/G$59),0,G30/G$59)</f>
        <v>0.19657967445775132</v>
      </c>
    </row>
    <row r="31" spans="1:10" ht="12.75" thickBot="1" x14ac:dyDescent="0.25">
      <c r="A31" s="63" t="s">
        <v>36</v>
      </c>
      <c r="B31" s="64">
        <f>IF(B25*Rates!D82&gt;=B26,B25*Rates!D82-B26,0)</f>
        <v>0</v>
      </c>
      <c r="C31" s="65">
        <f>Rates!D79</f>
        <v>8.7999999999999995E-2</v>
      </c>
      <c r="D31" s="66">
        <f>B31*C31</f>
        <v>0</v>
      </c>
      <c r="E31" s="64">
        <f>IF(B25*H25&gt;=B26,B25*H25-B26,0)</f>
        <v>0</v>
      </c>
      <c r="F31" s="65">
        <f>Rates!F79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 x14ac:dyDescent="0.25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0.19657967445775132</v>
      </c>
    </row>
    <row r="33" spans="1:10" x14ac:dyDescent="0.2">
      <c r="A33" s="69" t="str">
        <f>A4</f>
        <v>Monthly Service Charge</v>
      </c>
      <c r="B33" s="70">
        <v>1</v>
      </c>
      <c r="C33" s="46">
        <f>C4</f>
        <v>26.15</v>
      </c>
      <c r="D33" s="46">
        <f t="shared" ref="D33:D46" si="2">B33*C33</f>
        <v>26.15</v>
      </c>
      <c r="E33" s="71">
        <f>B33</f>
        <v>1</v>
      </c>
      <c r="F33" s="47">
        <f>D4</f>
        <v>26.38</v>
      </c>
      <c r="G33" s="47">
        <f t="shared" ref="G33:G46" si="3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0.22175860740907666</v>
      </c>
    </row>
    <row r="34" spans="1:10" x14ac:dyDescent="0.2">
      <c r="A34" s="61" t="str">
        <f>A5</f>
        <v>Smart Meter Rate Adder</v>
      </c>
      <c r="B34" s="43">
        <f>B33</f>
        <v>1</v>
      </c>
      <c r="C34" s="41">
        <f>C5</f>
        <v>0</v>
      </c>
      <c r="D34" s="41">
        <f t="shared" si="2"/>
        <v>0</v>
      </c>
      <c r="E34" s="43">
        <f>B34</f>
        <v>1</v>
      </c>
      <c r="F34" s="41">
        <f>D5</f>
        <v>0</v>
      </c>
      <c r="G34" s="41">
        <f t="shared" si="3"/>
        <v>0</v>
      </c>
      <c r="H34" s="41">
        <f t="shared" si="0"/>
        <v>0</v>
      </c>
      <c r="I34" s="42">
        <f>IF(ISERROR(H34/D34),1,H34/D34)</f>
        <v>1</v>
      </c>
      <c r="J34" s="62">
        <f t="shared" si="1"/>
        <v>0</v>
      </c>
    </row>
    <row r="35" spans="1:10" x14ac:dyDescent="0.2">
      <c r="A35" s="63" t="str">
        <f>A6</f>
        <v>Smart Meter Entity Charge - effective May 1, 2013 until October 31, 2018</v>
      </c>
      <c r="B35" s="64">
        <f>B33</f>
        <v>1</v>
      </c>
      <c r="C35" s="65">
        <f>Rates!D57</f>
        <v>0</v>
      </c>
      <c r="D35" s="66">
        <f>B35*C35</f>
        <v>0</v>
      </c>
      <c r="E35" s="64">
        <f>B33</f>
        <v>1</v>
      </c>
      <c r="F35" s="65">
        <f>Rates!F57</f>
        <v>0.79</v>
      </c>
      <c r="G35" s="66">
        <f>E35*F35</f>
        <v>0.79</v>
      </c>
      <c r="H35" s="41">
        <f>G35-D35</f>
        <v>0.79</v>
      </c>
      <c r="I35" s="42">
        <f>IF(ISERROR(H35/D35),0,H35/D35)</f>
        <v>0</v>
      </c>
      <c r="J35" s="62">
        <f t="shared" si="1"/>
        <v>6.6409893803324703E-3</v>
      </c>
    </row>
    <row r="36" spans="1:10" x14ac:dyDescent="0.2">
      <c r="A36" s="61" t="str">
        <f t="shared" ref="A36:A43" si="4">A7</f>
        <v>Distribution Volumetric Rate</v>
      </c>
      <c r="B36" s="43">
        <f>B25</f>
        <v>287</v>
      </c>
      <c r="C36" s="40">
        <f t="shared" ref="C36:C43" si="5">C7</f>
        <v>0.10059999999999999</v>
      </c>
      <c r="D36" s="41">
        <f t="shared" si="2"/>
        <v>28.872199999999999</v>
      </c>
      <c r="E36" s="43">
        <f>B25</f>
        <v>287</v>
      </c>
      <c r="F36" s="40">
        <f t="shared" ref="F36:F43" si="6">D7</f>
        <v>0.10150000000000001</v>
      </c>
      <c r="G36" s="41">
        <f t="shared" si="3"/>
        <v>29.130500000000001</v>
      </c>
      <c r="H36" s="41">
        <f t="shared" si="0"/>
        <v>0.25830000000000197</v>
      </c>
      <c r="I36" s="42">
        <f t="shared" ref="I36:I59" si="7">IF(ISERROR(H36/D36),0,H36/D36)</f>
        <v>8.9463220675945025E-3</v>
      </c>
      <c r="J36" s="62">
        <f t="shared" si="1"/>
        <v>0.24488017866300638</v>
      </c>
    </row>
    <row r="37" spans="1:10" x14ac:dyDescent="0.2">
      <c r="A37" s="61" t="str">
        <f t="shared" si="4"/>
        <v>Rate Rider for Foregone Revenue Recovery - effective until December 31, 2012</v>
      </c>
      <c r="B37" s="43">
        <f>B25</f>
        <v>287</v>
      </c>
      <c r="C37" s="40">
        <f t="shared" si="5"/>
        <v>0</v>
      </c>
      <c r="D37" s="41">
        <f t="shared" si="2"/>
        <v>0</v>
      </c>
      <c r="E37" s="43">
        <f>B25</f>
        <v>287</v>
      </c>
      <c r="F37" s="40">
        <f t="shared" si="6"/>
        <v>0</v>
      </c>
      <c r="G37" s="41">
        <f>E37*F37</f>
        <v>0</v>
      </c>
      <c r="H37" s="41">
        <f>G37-D37</f>
        <v>0</v>
      </c>
      <c r="I37" s="42">
        <f>IF(ISERROR(H37/D37),0,H37/D37)</f>
        <v>0</v>
      </c>
      <c r="J37" s="62">
        <f t="shared" si="1"/>
        <v>0</v>
      </c>
    </row>
    <row r="38" spans="1:10" x14ac:dyDescent="0.2">
      <c r="A38" s="61" t="str">
        <f t="shared" si="4"/>
        <v>Rate Rider for Foregone Revenue Recovery - effective until December 31, 2014</v>
      </c>
      <c r="B38" s="43">
        <f>B25</f>
        <v>287</v>
      </c>
      <c r="C38" s="40">
        <f t="shared" si="5"/>
        <v>0</v>
      </c>
      <c r="D38" s="41">
        <f t="shared" ref="D38" si="8">B38*C38</f>
        <v>0</v>
      </c>
      <c r="E38" s="43">
        <f>B25</f>
        <v>287</v>
      </c>
      <c r="F38" s="40">
        <f t="shared" si="6"/>
        <v>2.9999999999999997E-4</v>
      </c>
      <c r="G38" s="41">
        <f>E38*F38</f>
        <v>8.6099999999999996E-2</v>
      </c>
      <c r="H38" s="41">
        <f>G38-D38</f>
        <v>8.6099999999999996E-2</v>
      </c>
      <c r="I38" s="42">
        <f>IF(ISERROR(H38/D38),0,H38/D38)</f>
        <v>0</v>
      </c>
      <c r="J38" s="62">
        <f t="shared" si="1"/>
        <v>7.2378377929952615E-4</v>
      </c>
    </row>
    <row r="39" spans="1:10" x14ac:dyDescent="0.2">
      <c r="A39" s="61" t="str">
        <f t="shared" si="4"/>
        <v>Rate Rider for Deferral/Variance Account Disposition (2010) - effective until May 31, 2013</v>
      </c>
      <c r="B39" s="43">
        <f>B25</f>
        <v>287</v>
      </c>
      <c r="C39" s="40">
        <f t="shared" si="5"/>
        <v>4.5999999999999999E-3</v>
      </c>
      <c r="D39" s="41">
        <f t="shared" si="2"/>
        <v>1.3202</v>
      </c>
      <c r="E39" s="43">
        <f>B25</f>
        <v>287</v>
      </c>
      <c r="F39" s="40">
        <f t="shared" si="6"/>
        <v>4.5999999999999999E-3</v>
      </c>
      <c r="G39" s="41">
        <f t="shared" si="3"/>
        <v>1.3202</v>
      </c>
      <c r="H39" s="41">
        <f t="shared" si="0"/>
        <v>0</v>
      </c>
      <c r="I39" s="42">
        <f t="shared" si="7"/>
        <v>0</v>
      </c>
      <c r="J39" s="62">
        <f t="shared" si="1"/>
        <v>1.1098017949259402E-2</v>
      </c>
    </row>
    <row r="40" spans="1:10" x14ac:dyDescent="0.2">
      <c r="A40" s="61" t="str">
        <f t="shared" si="4"/>
        <v>Rate Rider for Deferral/Variance Account Disposition (2012) - effective until May 31, 2013</v>
      </c>
      <c r="B40" s="43">
        <f>B25</f>
        <v>287</v>
      </c>
      <c r="C40" s="40">
        <f t="shared" si="5"/>
        <v>-6.1000000000000004E-3</v>
      </c>
      <c r="D40" s="41">
        <f t="shared" si="2"/>
        <v>-1.7507000000000001</v>
      </c>
      <c r="E40" s="43">
        <f>B25</f>
        <v>287</v>
      </c>
      <c r="F40" s="40">
        <f t="shared" si="6"/>
        <v>-6.1000000000000004E-3</v>
      </c>
      <c r="G40" s="41">
        <f>E40*F40</f>
        <v>-1.7507000000000001</v>
      </c>
      <c r="H40" s="41">
        <f>G40-D40</f>
        <v>0</v>
      </c>
      <c r="I40" s="42">
        <f>IF(ISERROR(H40/D40),0,H40/D40)</f>
        <v>0</v>
      </c>
      <c r="J40" s="62">
        <f t="shared" si="1"/>
        <v>-1.4716936845757034E-2</v>
      </c>
    </row>
    <row r="41" spans="1:10" x14ac:dyDescent="0.2">
      <c r="A41" s="61" t="str">
        <f t="shared" si="4"/>
        <v>Rate Rider for Deferral/Variance Account Disposition - effective until November 30, 2015</v>
      </c>
      <c r="B41" s="43">
        <f>B25</f>
        <v>287</v>
      </c>
      <c r="C41" s="40">
        <f t="shared" si="5"/>
        <v>3.0700000000000002E-2</v>
      </c>
      <c r="D41" s="41">
        <f t="shared" si="2"/>
        <v>8.8109000000000002</v>
      </c>
      <c r="E41" s="43">
        <f>B25</f>
        <v>287</v>
      </c>
      <c r="F41" s="40">
        <f t="shared" si="6"/>
        <v>3.0700000000000002E-2</v>
      </c>
      <c r="G41" s="41">
        <f>E41*F41</f>
        <v>8.8109000000000002</v>
      </c>
      <c r="H41" s="41">
        <f>G41-D41</f>
        <v>0</v>
      </c>
      <c r="I41" s="42">
        <f>IF(ISERROR(H41/D41),0,H41/D41)</f>
        <v>0</v>
      </c>
      <c r="J41" s="62">
        <f t="shared" si="1"/>
        <v>7.4067206748318182E-2</v>
      </c>
    </row>
    <row r="42" spans="1:10" x14ac:dyDescent="0.2">
      <c r="A42" s="61" t="str">
        <f t="shared" si="4"/>
        <v>Rate Rider for Deferral/Variance Account Disposition (2013) - effective until December 31, 2013</v>
      </c>
      <c r="B42" s="43">
        <f>B25</f>
        <v>287</v>
      </c>
      <c r="C42" s="40">
        <f t="shared" si="5"/>
        <v>0</v>
      </c>
      <c r="D42" s="41">
        <f t="shared" si="2"/>
        <v>0</v>
      </c>
      <c r="E42" s="43">
        <f>B25</f>
        <v>287</v>
      </c>
      <c r="F42" s="40">
        <f t="shared" si="6"/>
        <v>-5.5999999999999999E-3</v>
      </c>
      <c r="G42" s="41">
        <f>E42*F42</f>
        <v>-1.6072</v>
      </c>
      <c r="H42" s="41">
        <f>G42-D42</f>
        <v>-1.6072</v>
      </c>
      <c r="I42" s="42">
        <f>IF(ISERROR(H42/D42),0,H42/D42)</f>
        <v>0</v>
      </c>
      <c r="J42" s="62">
        <f t="shared" si="1"/>
        <v>-1.3510630546924489E-2</v>
      </c>
    </row>
    <row r="43" spans="1:10" x14ac:dyDescent="0.2">
      <c r="A43" s="61" t="str">
        <f t="shared" si="4"/>
        <v>Rate Rider for Global Adjustment Sub-Account Disposition (2013) - effective until December 31, 2013</v>
      </c>
      <c r="B43" s="43">
        <f>B25</f>
        <v>287</v>
      </c>
      <c r="C43" s="40">
        <f t="shared" si="5"/>
        <v>0</v>
      </c>
      <c r="D43" s="41">
        <f t="shared" si="2"/>
        <v>0</v>
      </c>
      <c r="E43" s="43">
        <f>B25</f>
        <v>287</v>
      </c>
      <c r="F43" s="40">
        <f t="shared" si="6"/>
        <v>1.4999999999999999E-2</v>
      </c>
      <c r="G43" s="41">
        <f t="shared" si="3"/>
        <v>4.3049999999999997</v>
      </c>
      <c r="H43" s="41">
        <f t="shared" si="0"/>
        <v>4.3049999999999997</v>
      </c>
      <c r="I43" s="42">
        <f t="shared" si="7"/>
        <v>0</v>
      </c>
      <c r="J43" s="62">
        <f t="shared" si="1"/>
        <v>3.6189188964976304E-2</v>
      </c>
    </row>
    <row r="44" spans="1:10" x14ac:dyDescent="0.2">
      <c r="A44" s="61" t="str">
        <f t="shared" ref="A44:A45" si="9">A15</f>
        <v>Smart Meter Cost Recovery Rate Rider - Net Deferred Revenue Requirement, effective until December 31, 2016</v>
      </c>
      <c r="B44" s="43">
        <f>B33</f>
        <v>1</v>
      </c>
      <c r="C44" s="40">
        <f t="shared" ref="C44:C45" si="10">C15</f>
        <v>0</v>
      </c>
      <c r="D44" s="41">
        <f t="shared" si="2"/>
        <v>0</v>
      </c>
      <c r="E44" s="43">
        <f>B33</f>
        <v>1</v>
      </c>
      <c r="F44" s="47">
        <f t="shared" ref="F44:F45" si="11">D15</f>
        <v>3.57</v>
      </c>
      <c r="G44" s="41">
        <f t="shared" si="3"/>
        <v>3.57</v>
      </c>
      <c r="H44" s="41">
        <f t="shared" si="0"/>
        <v>3.57</v>
      </c>
      <c r="I44" s="42">
        <f t="shared" si="7"/>
        <v>0</v>
      </c>
      <c r="J44" s="62">
        <f t="shared" si="1"/>
        <v>3.0010546946565717E-2</v>
      </c>
    </row>
    <row r="45" spans="1:10" x14ac:dyDescent="0.2">
      <c r="A45" s="61" t="str">
        <f t="shared" si="9"/>
        <v>Smart Meter Cost Recovery Rate Rider - Incremental Revenue Requirement, effective until December 31, 2014</v>
      </c>
      <c r="B45" s="43">
        <f>B33</f>
        <v>1</v>
      </c>
      <c r="C45" s="40">
        <f t="shared" si="10"/>
        <v>0</v>
      </c>
      <c r="D45" s="41">
        <f t="shared" si="2"/>
        <v>0</v>
      </c>
      <c r="E45" s="43">
        <f>B33</f>
        <v>1</v>
      </c>
      <c r="F45" s="47">
        <f t="shared" si="11"/>
        <v>4.6900000000000004</v>
      </c>
      <c r="G45" s="41">
        <f t="shared" si="3"/>
        <v>4.6900000000000004</v>
      </c>
      <c r="H45" s="41">
        <f t="shared" si="0"/>
        <v>4.6900000000000004</v>
      </c>
      <c r="I45" s="42">
        <f t="shared" si="7"/>
        <v>0</v>
      </c>
      <c r="J45" s="62">
        <f t="shared" si="1"/>
        <v>3.942562049842948E-2</v>
      </c>
    </row>
    <row r="46" spans="1:10" ht="12.75" thickBot="1" x14ac:dyDescent="0.25">
      <c r="A46" s="61" t="str">
        <f>A17</f>
        <v>Rate Rider for Tax Changes</v>
      </c>
      <c r="B46" s="43">
        <f>B25</f>
        <v>287</v>
      </c>
      <c r="C46" s="40">
        <f>C17</f>
        <v>0</v>
      </c>
      <c r="D46" s="41">
        <f t="shared" si="2"/>
        <v>0</v>
      </c>
      <c r="E46" s="43">
        <f>B25</f>
        <v>287</v>
      </c>
      <c r="F46" s="40">
        <f>D17</f>
        <v>-2.9999999999999997E-4</v>
      </c>
      <c r="G46" s="41">
        <f t="shared" si="3"/>
        <v>-8.6099999999999996E-2</v>
      </c>
      <c r="H46" s="41">
        <f t="shared" si="0"/>
        <v>-8.6099999999999996E-2</v>
      </c>
      <c r="I46" s="42">
        <f t="shared" si="7"/>
        <v>0</v>
      </c>
      <c r="J46" s="62">
        <f t="shared" si="1"/>
        <v>-7.2378377929952615E-4</v>
      </c>
    </row>
    <row r="47" spans="1:10" ht="12.75" thickBot="1" x14ac:dyDescent="0.25">
      <c r="A47" s="73" t="s">
        <v>40</v>
      </c>
      <c r="B47" s="74"/>
      <c r="C47" s="75"/>
      <c r="D47" s="76">
        <f>SUM(D33:D46)</f>
        <v>63.402599999999993</v>
      </c>
      <c r="E47" s="75"/>
      <c r="F47" s="75"/>
      <c r="G47" s="76">
        <f>SUM(G33:G46)</f>
        <v>75.638699999999986</v>
      </c>
      <c r="H47" s="76">
        <f t="shared" si="0"/>
        <v>12.236099999999993</v>
      </c>
      <c r="I47" s="77">
        <f t="shared" si="7"/>
        <v>0.19299050827568578</v>
      </c>
      <c r="J47" s="78">
        <f t="shared" si="1"/>
        <v>0.63584278916728298</v>
      </c>
    </row>
    <row r="48" spans="1:10" x14ac:dyDescent="0.2">
      <c r="A48" s="69" t="str">
        <f>A18</f>
        <v>Retail Transmission Rate - Network Service Rate</v>
      </c>
      <c r="B48" s="44">
        <f>B25*Rates!D82</f>
        <v>311.79680000000002</v>
      </c>
      <c r="C48" s="45">
        <f>C18</f>
        <v>7.1000000000000004E-3</v>
      </c>
      <c r="D48" s="47">
        <f>B48*C48</f>
        <v>2.2137572800000003</v>
      </c>
      <c r="E48" s="44">
        <f>B25*H25</f>
        <v>311.79680000000002</v>
      </c>
      <c r="F48" s="45">
        <f>D18</f>
        <v>6.8999999999999999E-3</v>
      </c>
      <c r="G48" s="47">
        <f>E48*F48</f>
        <v>2.15139792</v>
      </c>
      <c r="H48" s="47">
        <f t="shared" si="0"/>
        <v>-6.2359360000000308E-2</v>
      </c>
      <c r="I48" s="48">
        <f t="shared" si="7"/>
        <v>-2.8169014084507178E-2</v>
      </c>
      <c r="J48" s="72">
        <f t="shared" si="1"/>
        <v>1.8085330050113122E-2</v>
      </c>
    </row>
    <row r="49" spans="1:10" ht="12.75" thickBot="1" x14ac:dyDescent="0.25">
      <c r="A49" s="63" t="str">
        <f>A19</f>
        <v>Retail Transmission Rate - Line and Transformation Connection Service Rate</v>
      </c>
      <c r="B49" s="64">
        <f>B25*Rates!D82</f>
        <v>311.79680000000002</v>
      </c>
      <c r="C49" s="65">
        <f>C19</f>
        <v>5.1000000000000004E-3</v>
      </c>
      <c r="D49" s="66">
        <f>B49*C49</f>
        <v>1.5901636800000003</v>
      </c>
      <c r="E49" s="64">
        <f>B25*H25</f>
        <v>311.79680000000002</v>
      </c>
      <c r="F49" s="65">
        <f>D19</f>
        <v>4.8999999999999998E-3</v>
      </c>
      <c r="G49" s="66">
        <f>E49*F49</f>
        <v>1.52780432</v>
      </c>
      <c r="H49" s="66">
        <f t="shared" si="0"/>
        <v>-6.2359360000000308E-2</v>
      </c>
      <c r="I49" s="67">
        <f t="shared" si="7"/>
        <v>-3.9215686274509991E-2</v>
      </c>
      <c r="J49" s="68">
        <f t="shared" si="1"/>
        <v>1.284320539790642E-2</v>
      </c>
    </row>
    <row r="50" spans="1:10" ht="12.75" thickBot="1" x14ac:dyDescent="0.25">
      <c r="A50" s="73" t="s">
        <v>32</v>
      </c>
      <c r="B50" s="74"/>
      <c r="C50" s="75"/>
      <c r="D50" s="76">
        <f>SUM(D48:D49)</f>
        <v>3.8039209600000006</v>
      </c>
      <c r="E50" s="75"/>
      <c r="F50" s="75"/>
      <c r="G50" s="76">
        <f>SUM(G48:G49)</f>
        <v>3.67920224</v>
      </c>
      <c r="H50" s="76">
        <f t="shared" si="0"/>
        <v>-0.12471872000000062</v>
      </c>
      <c r="I50" s="77">
        <f t="shared" si="7"/>
        <v>-3.2786885245901794E-2</v>
      </c>
      <c r="J50" s="78">
        <f t="shared" si="1"/>
        <v>3.0928535448019538E-2</v>
      </c>
    </row>
    <row r="51" spans="1:10" ht="12.75" thickBot="1" x14ac:dyDescent="0.25">
      <c r="A51" s="81" t="s">
        <v>41</v>
      </c>
      <c r="B51" s="82"/>
      <c r="C51" s="83"/>
      <c r="D51" s="84">
        <f>D47+D50</f>
        <v>67.206520959999992</v>
      </c>
      <c r="E51" s="83"/>
      <c r="F51" s="83"/>
      <c r="G51" s="84">
        <f>G47+G50</f>
        <v>79.317902239999981</v>
      </c>
      <c r="H51" s="84">
        <f t="shared" si="0"/>
        <v>12.111381279999989</v>
      </c>
      <c r="I51" s="85">
        <f t="shared" si="7"/>
        <v>0.18021140072417149</v>
      </c>
      <c r="J51" s="86">
        <f t="shared" si="1"/>
        <v>0.66677132461530242</v>
      </c>
    </row>
    <row r="52" spans="1:10" x14ac:dyDescent="0.2">
      <c r="A52" s="69" t="str">
        <f>A20</f>
        <v>Wholesale Market Service Rate</v>
      </c>
      <c r="B52" s="44">
        <f>B25*Rates!D82</f>
        <v>311.79680000000002</v>
      </c>
      <c r="C52" s="45">
        <f>C20</f>
        <v>5.1999999999999998E-3</v>
      </c>
      <c r="D52" s="47">
        <f>B52*C52</f>
        <v>1.62134336</v>
      </c>
      <c r="E52" s="44">
        <f>B25*H25</f>
        <v>311.79680000000002</v>
      </c>
      <c r="F52" s="45">
        <f>D20</f>
        <v>4.4000000000000003E-3</v>
      </c>
      <c r="G52" s="47">
        <f>E52*F52</f>
        <v>1.3719059200000001</v>
      </c>
      <c r="H52" s="47">
        <f t="shared" si="0"/>
        <v>-0.2494374399999999</v>
      </c>
      <c r="I52" s="48">
        <f t="shared" si="7"/>
        <v>-0.15384615384615377</v>
      </c>
      <c r="J52" s="72">
        <f t="shared" si="1"/>
        <v>1.1532674234854745E-2</v>
      </c>
    </row>
    <row r="53" spans="1:10" x14ac:dyDescent="0.2">
      <c r="A53" s="61" t="str">
        <f>A21</f>
        <v>Rural Rate Protection Charge</v>
      </c>
      <c r="B53" s="39">
        <f>B25*Rates!D82</f>
        <v>311.79680000000002</v>
      </c>
      <c r="C53" s="40">
        <f>C21</f>
        <v>1.1000000000000001E-3</v>
      </c>
      <c r="D53" s="41">
        <f>B53*C53</f>
        <v>0.34297648000000003</v>
      </c>
      <c r="E53" s="39">
        <f>B25*H25</f>
        <v>311.79680000000002</v>
      </c>
      <c r="F53" s="40">
        <f>D21</f>
        <v>1.1999999999999999E-3</v>
      </c>
      <c r="G53" s="41">
        <f>E53*F53</f>
        <v>0.37415616000000002</v>
      </c>
      <c r="H53" s="41">
        <f t="shared" si="0"/>
        <v>3.1179679999999987E-2</v>
      </c>
      <c r="I53" s="42">
        <f t="shared" si="7"/>
        <v>9.090909090909087E-2</v>
      </c>
      <c r="J53" s="62">
        <f t="shared" si="1"/>
        <v>3.1452747913240211E-3</v>
      </c>
    </row>
    <row r="54" spans="1:10" ht="12.75" thickBot="1" x14ac:dyDescent="0.25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"/>
        <v>2.1015789178267311E-3</v>
      </c>
    </row>
    <row r="55" spans="1:10" ht="12.75" thickBot="1" x14ac:dyDescent="0.25">
      <c r="A55" s="73" t="s">
        <v>42</v>
      </c>
      <c r="B55" s="74"/>
      <c r="C55" s="75"/>
      <c r="D55" s="76">
        <f>SUM(D52:D54)</f>
        <v>2.2143198399999999</v>
      </c>
      <c r="E55" s="75"/>
      <c r="F55" s="75"/>
      <c r="G55" s="76">
        <f>SUM(G52:G54)</f>
        <v>1.9960620800000002</v>
      </c>
      <c r="H55" s="76">
        <f t="shared" si="0"/>
        <v>-0.21825775999999975</v>
      </c>
      <c r="I55" s="77">
        <f t="shared" si="7"/>
        <v>-9.8566501576393656E-2</v>
      </c>
      <c r="J55" s="78">
        <f t="shared" si="1"/>
        <v>1.6779527944005498E-2</v>
      </c>
    </row>
    <row r="56" spans="1:10" ht="12.75" thickBot="1" x14ac:dyDescent="0.25">
      <c r="A56" s="87" t="s">
        <v>19</v>
      </c>
      <c r="B56" s="88">
        <f>B25</f>
        <v>287</v>
      </c>
      <c r="C56" s="89">
        <f>Rates!D77</f>
        <v>2E-3</v>
      </c>
      <c r="D56" s="90">
        <f>B56*C56</f>
        <v>0.57400000000000007</v>
      </c>
      <c r="E56" s="88">
        <f>B25</f>
        <v>287</v>
      </c>
      <c r="F56" s="89">
        <f>Rates!F77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"/>
        <v>4.8252251953301755E-3</v>
      </c>
    </row>
    <row r="57" spans="1:10" ht="12.75" thickBot="1" x14ac:dyDescent="0.25">
      <c r="A57" s="73" t="s">
        <v>43</v>
      </c>
      <c r="B57" s="74"/>
      <c r="C57" s="75"/>
      <c r="D57" s="76">
        <f>D32+D51+D55+D56</f>
        <v>93.379600799999992</v>
      </c>
      <c r="E57" s="75"/>
      <c r="F57" s="75"/>
      <c r="G57" s="76">
        <f>G32+G51+G55+G56</f>
        <v>105.27272431999998</v>
      </c>
      <c r="H57" s="76">
        <f t="shared" si="0"/>
        <v>11.893123519999989</v>
      </c>
      <c r="I57" s="77">
        <f t="shared" si="7"/>
        <v>0.12736318658582219</v>
      </c>
      <c r="J57" s="78">
        <f t="shared" si="1"/>
        <v>0.88495575221238942</v>
      </c>
    </row>
    <row r="58" spans="1:10" ht="12.75" thickBot="1" x14ac:dyDescent="0.25">
      <c r="A58" s="93" t="s">
        <v>45</v>
      </c>
      <c r="B58" s="94"/>
      <c r="C58" s="95">
        <f>Rates!D83</f>
        <v>0.13</v>
      </c>
      <c r="D58" s="90">
        <f>C58*D57</f>
        <v>12.139348104</v>
      </c>
      <c r="E58" s="96"/>
      <c r="F58" s="95">
        <f>Rates!F83</f>
        <v>0.13</v>
      </c>
      <c r="G58" s="90">
        <f>F58*G57</f>
        <v>13.685454161599997</v>
      </c>
      <c r="H58" s="90">
        <f t="shared" si="0"/>
        <v>1.5461060575999976</v>
      </c>
      <c r="I58" s="91">
        <f t="shared" si="7"/>
        <v>0.1273631865858221</v>
      </c>
      <c r="J58" s="92">
        <f t="shared" si="1"/>
        <v>0.11504424778761062</v>
      </c>
    </row>
    <row r="59" spans="1:10" ht="12.75" thickBot="1" x14ac:dyDescent="0.25">
      <c r="A59" s="81" t="s">
        <v>33</v>
      </c>
      <c r="B59" s="82"/>
      <c r="C59" s="83"/>
      <c r="D59" s="104">
        <f>D57+D58</f>
        <v>105.51894890399998</v>
      </c>
      <c r="E59" s="83"/>
      <c r="F59" s="83"/>
      <c r="G59" s="104">
        <f>G57+G58</f>
        <v>118.95817848159997</v>
      </c>
      <c r="H59" s="104">
        <f t="shared" si="0"/>
        <v>13.439229577599988</v>
      </c>
      <c r="I59" s="85">
        <f t="shared" si="7"/>
        <v>0.12736318658582219</v>
      </c>
      <c r="J59" s="86">
        <f t="shared" si="1"/>
        <v>1</v>
      </c>
    </row>
    <row r="60" spans="1:10" x14ac:dyDescent="0.2">
      <c r="A60" s="125"/>
      <c r="B60" s="126"/>
      <c r="C60" s="127"/>
      <c r="D60" s="127"/>
      <c r="E60" s="127"/>
      <c r="F60" s="127"/>
      <c r="G60" s="127"/>
      <c r="H60" s="127"/>
      <c r="I60" s="127"/>
      <c r="J60" s="128"/>
    </row>
    <row r="61" spans="1:10" x14ac:dyDescent="0.2">
      <c r="A61" s="129" t="s">
        <v>57</v>
      </c>
      <c r="B61" s="130"/>
      <c r="C61" s="131"/>
      <c r="D61" s="132">
        <f>D59*0.1</f>
        <v>10.5518948904</v>
      </c>
      <c r="E61" s="131"/>
      <c r="F61" s="131"/>
      <c r="G61" s="132">
        <f>G59*0.1</f>
        <v>11.895817848159998</v>
      </c>
      <c r="H61" s="131"/>
      <c r="I61" s="131"/>
      <c r="J61" s="133"/>
    </row>
    <row r="62" spans="1:10" ht="12.75" thickBot="1" x14ac:dyDescent="0.25">
      <c r="A62" s="134" t="s">
        <v>58</v>
      </c>
      <c r="B62" s="135"/>
      <c r="C62" s="136"/>
      <c r="D62" s="137">
        <f>D59-D61</f>
        <v>94.967054013599977</v>
      </c>
      <c r="E62" s="136"/>
      <c r="F62" s="136"/>
      <c r="G62" s="137">
        <f>G59-G61</f>
        <v>107.06236063343998</v>
      </c>
      <c r="H62" s="139">
        <f>G62-D62</f>
        <v>12.095306619840002</v>
      </c>
      <c r="I62" s="140">
        <f>H62/D62</f>
        <v>0.12736318658582235</v>
      </c>
      <c r="J62" s="138"/>
    </row>
  </sheetData>
  <mergeCells count="4">
    <mergeCell ref="A28:A29"/>
    <mergeCell ref="B28:B29"/>
    <mergeCell ref="E28:E29"/>
    <mergeCell ref="H28:J28"/>
  </mergeCells>
  <pageMargins left="0.75" right="0.75" top="1" bottom="1" header="0.5" footer="0.5"/>
  <pageSetup scale="59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topLeftCell="A7" zoomScaleNormal="100" workbookViewId="0">
      <selection activeCell="A44" sqref="A44:XFD44"/>
    </sheetView>
  </sheetViews>
  <sheetFormatPr defaultRowHeight="12" x14ac:dyDescent="0.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.85546875" style="8" customWidth="1"/>
    <col min="12" max="16384" width="9.140625" style="8"/>
  </cols>
  <sheetData>
    <row r="2" spans="1:4" ht="12.75" thickBot="1" x14ac:dyDescent="0.25"/>
    <row r="3" spans="1:4" ht="48.75" thickBot="1" x14ac:dyDescent="0.25">
      <c r="A3" s="14" t="str">
        <f>Rates!A60</f>
        <v>Street Lighting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Rates!A40</f>
        <v>Monthly Service Charge</v>
      </c>
      <c r="B4" s="24" t="str">
        <f>Rates!B61</f>
        <v>$</v>
      </c>
      <c r="C4" s="25">
        <f>Rates!D61</f>
        <v>0.96</v>
      </c>
      <c r="D4" s="26">
        <f>Rates!F61</f>
        <v>0.97</v>
      </c>
    </row>
    <row r="5" spans="1:4" x14ac:dyDescent="0.2">
      <c r="A5" s="27" t="str">
        <f>Rates!A42</f>
        <v>Distribution Volumetric Rate</v>
      </c>
      <c r="B5" s="28" t="str">
        <f>Rates!B62</f>
        <v>$/kWh</v>
      </c>
      <c r="C5" s="31">
        <f>Rates!D62</f>
        <v>0.15429999999999999</v>
      </c>
      <c r="D5" s="32">
        <f>Rates!F62</f>
        <v>0.15570000000000001</v>
      </c>
    </row>
    <row r="6" spans="1:4" x14ac:dyDescent="0.2">
      <c r="A6" s="27" t="str">
        <f>Rates!A63</f>
        <v>Rate Rider for Foregone Revenue Recovery - effective until December 31, 2012</v>
      </c>
      <c r="B6" s="28" t="str">
        <f>Rates!B63</f>
        <v>$/kWh</v>
      </c>
      <c r="C6" s="31">
        <f>Rates!D63</f>
        <v>0</v>
      </c>
      <c r="D6" s="32">
        <f>Rates!F63</f>
        <v>0</v>
      </c>
    </row>
    <row r="7" spans="1:4" x14ac:dyDescent="0.2">
      <c r="A7" s="27" t="str">
        <f>Rates!A64</f>
        <v>Rate Rider for Foregone Revenue Recovery - effective until December 31, 2014</v>
      </c>
      <c r="B7" s="28" t="str">
        <f>Rates!B64</f>
        <v>$/kWh</v>
      </c>
      <c r="C7" s="31">
        <f>Rates!D64</f>
        <v>0</v>
      </c>
      <c r="D7" s="32">
        <f>Rates!F64</f>
        <v>2.9999999999999997E-4</v>
      </c>
    </row>
    <row r="8" spans="1:4" x14ac:dyDescent="0.2">
      <c r="A8" s="27" t="str">
        <f>Rates!A65</f>
        <v>Rate Rider for Deferral/Variance Account Disposition (2010) - effective until May 31, 2013</v>
      </c>
      <c r="B8" s="28" t="str">
        <f>Rates!B65</f>
        <v>$/kWh</v>
      </c>
      <c r="C8" s="31">
        <f>Rates!D65</f>
        <v>4.7999999999999996E-3</v>
      </c>
      <c r="D8" s="32">
        <f>Rates!F65</f>
        <v>4.7999999999999996E-3</v>
      </c>
    </row>
    <row r="9" spans="1:4" x14ac:dyDescent="0.2">
      <c r="A9" s="27" t="str">
        <f>Rates!A66</f>
        <v>Rate Rider for Deferral/Variance Account Disposition (2012) - effective until May 31, 2013</v>
      </c>
      <c r="B9" s="28" t="str">
        <f>Rates!B66</f>
        <v>$/kWh</v>
      </c>
      <c r="C9" s="31">
        <f>Rates!D66</f>
        <v>-6.1000000000000004E-3</v>
      </c>
      <c r="D9" s="32">
        <f>Rates!F66</f>
        <v>-6.1000000000000004E-3</v>
      </c>
    </row>
    <row r="10" spans="1:4" x14ac:dyDescent="0.2">
      <c r="A10" s="27" t="str">
        <f>Rates!A67</f>
        <v>Rate Rider for Deferral/Variance Account Disposition (2013) - effective until December 31, 2013</v>
      </c>
      <c r="B10" s="28" t="str">
        <f>Rates!B67</f>
        <v>$/kWh</v>
      </c>
      <c r="C10" s="31">
        <f>Rates!D67</f>
        <v>0</v>
      </c>
      <c r="D10" s="32">
        <f>Rates!F67</f>
        <v>-4.4999999999999997E-3</v>
      </c>
    </row>
    <row r="11" spans="1:4" x14ac:dyDescent="0.2">
      <c r="A11" s="27" t="str">
        <f>Rates!A68</f>
        <v>Rate Rider for Global Adjustment Sub-Account Disposition (2013) - effective until December 31, 2013</v>
      </c>
      <c r="B11" s="28" t="str">
        <f>Rates!B68</f>
        <v>$/kWh</v>
      </c>
      <c r="C11" s="31">
        <f>Rates!D68</f>
        <v>0</v>
      </c>
      <c r="D11" s="32"/>
    </row>
    <row r="12" spans="1:4" x14ac:dyDescent="0.2">
      <c r="A12" s="27" t="str">
        <f>Rates!A69</f>
        <v>Rate Rider for Tax Changes</v>
      </c>
      <c r="B12" s="28" t="str">
        <f>Rates!B69</f>
        <v>$/kWh</v>
      </c>
      <c r="C12" s="31">
        <f>Rates!D69</f>
        <v>0</v>
      </c>
      <c r="D12" s="32">
        <f>Rates!F69</f>
        <v>-2.9999999999999997E-4</v>
      </c>
    </row>
    <row r="13" spans="1:4" x14ac:dyDescent="0.2">
      <c r="A13" s="27" t="str">
        <f>Rates!A70</f>
        <v>Retail Transmission Rate - Network Service Rate</v>
      </c>
      <c r="B13" s="28" t="str">
        <f>Rates!B70</f>
        <v>$/kW</v>
      </c>
      <c r="C13" s="31">
        <f>Rates!D70</f>
        <v>1.9906999999999999</v>
      </c>
      <c r="D13" s="32">
        <f>Rates!F70</f>
        <v>1.9331</v>
      </c>
    </row>
    <row r="14" spans="1:4" x14ac:dyDescent="0.2">
      <c r="A14" s="27" t="str">
        <f>Rates!A71</f>
        <v>Retail Transmission Rate - Line and Transformation Connection Service Rate</v>
      </c>
      <c r="B14" s="28" t="str">
        <f>Rates!B71</f>
        <v>$/kW</v>
      </c>
      <c r="C14" s="31">
        <f>Rates!D71</f>
        <v>1.3992</v>
      </c>
      <c r="D14" s="32">
        <f>Rates!F71</f>
        <v>1.3469</v>
      </c>
    </row>
    <row r="15" spans="1:4" x14ac:dyDescent="0.2">
      <c r="A15" s="27" t="str">
        <f>Rates!A72</f>
        <v>Wholesale Market Service Rate</v>
      </c>
      <c r="B15" s="28" t="str">
        <f>Rates!B72</f>
        <v>$/kWh</v>
      </c>
      <c r="C15" s="31">
        <f>Rates!D72</f>
        <v>5.1999999999999998E-3</v>
      </c>
      <c r="D15" s="32">
        <f>Rates!F72</f>
        <v>4.4000000000000003E-3</v>
      </c>
    </row>
    <row r="16" spans="1:4" x14ac:dyDescent="0.2">
      <c r="A16" s="27" t="str">
        <f>Rates!A73</f>
        <v>Rural Rate Protection Charge</v>
      </c>
      <c r="B16" s="28" t="str">
        <f>Rates!B73</f>
        <v>$/kWh</v>
      </c>
      <c r="C16" s="31">
        <f>Rates!D73</f>
        <v>1.1000000000000001E-3</v>
      </c>
      <c r="D16" s="32">
        <f>Rates!F73</f>
        <v>1.1999999999999999E-3</v>
      </c>
    </row>
    <row r="17" spans="1:10" ht="12.75" thickBot="1" x14ac:dyDescent="0.25">
      <c r="A17" s="12" t="str">
        <f>Rates!A74</f>
        <v>Standard Supply Service - Administarive Charge (if applicable)</v>
      </c>
      <c r="B17" s="17" t="str">
        <f>Rates!B74</f>
        <v>$</v>
      </c>
      <c r="C17" s="18">
        <f>Rates!D74</f>
        <v>0.25</v>
      </c>
      <c r="D17" s="13">
        <f>Rates!F74</f>
        <v>0.25</v>
      </c>
    </row>
    <row r="19" spans="1:10" ht="12.75" thickBot="1" x14ac:dyDescent="0.25"/>
    <row r="20" spans="1:10" ht="13.5" thickBot="1" x14ac:dyDescent="0.25">
      <c r="A20" s="33" t="s">
        <v>26</v>
      </c>
      <c r="B20" s="34">
        <v>25000</v>
      </c>
      <c r="C20" s="35" t="s">
        <v>27</v>
      </c>
      <c r="D20" s="36">
        <v>71.459999999999994</v>
      </c>
      <c r="E20" s="35" t="s">
        <v>28</v>
      </c>
      <c r="G20" s="37" t="s">
        <v>23</v>
      </c>
      <c r="H20" s="53">
        <f>Rates!F82</f>
        <v>1.0864</v>
      </c>
    </row>
    <row r="21" spans="1:10" ht="13.5" thickBot="1" x14ac:dyDescent="0.25">
      <c r="A21" s="33" t="s">
        <v>29</v>
      </c>
      <c r="B21" s="34">
        <v>750</v>
      </c>
      <c r="C21" s="35" t="s">
        <v>27</v>
      </c>
      <c r="D21" s="37" t="s">
        <v>30</v>
      </c>
      <c r="E21" s="98">
        <f>IF(D20&gt;0,B20/(D20*24*30.4)," ")</f>
        <v>0.47950393055125928</v>
      </c>
    </row>
    <row r="22" spans="1:10" ht="12.75" thickBot="1" x14ac:dyDescent="0.25"/>
    <row r="23" spans="1:10" ht="12.75" customHeight="1" x14ac:dyDescent="0.2">
      <c r="A23" s="152" t="str">
        <f>A3</f>
        <v>Street Lighting</v>
      </c>
      <c r="B23" s="154" t="s">
        <v>31</v>
      </c>
      <c r="C23" s="49" t="s">
        <v>37</v>
      </c>
      <c r="D23" s="49" t="s">
        <v>38</v>
      </c>
      <c r="E23" s="154" t="s">
        <v>31</v>
      </c>
      <c r="F23" s="49" t="s">
        <v>37</v>
      </c>
      <c r="G23" s="49" t="s">
        <v>38</v>
      </c>
      <c r="H23" s="156" t="s">
        <v>44</v>
      </c>
      <c r="I23" s="156"/>
      <c r="J23" s="157"/>
    </row>
    <row r="24" spans="1:10" ht="12.75" thickBot="1" x14ac:dyDescent="0.25">
      <c r="A24" s="153"/>
      <c r="B24" s="155"/>
      <c r="C24" s="50" t="s">
        <v>15</v>
      </c>
      <c r="D24" s="50" t="s">
        <v>15</v>
      </c>
      <c r="E24" s="155"/>
      <c r="F24" s="50" t="s">
        <v>15</v>
      </c>
      <c r="G24" s="50" t="s">
        <v>15</v>
      </c>
      <c r="H24" s="50" t="s">
        <v>15</v>
      </c>
      <c r="I24" s="51" t="s">
        <v>22</v>
      </c>
      <c r="J24" s="52" t="s">
        <v>34</v>
      </c>
    </row>
    <row r="25" spans="1:10" x14ac:dyDescent="0.2">
      <c r="A25" s="54" t="s">
        <v>35</v>
      </c>
      <c r="B25" s="55">
        <f>IF(B20*Rates!D82&gt;B21,B21,B20*Rates!D82)</f>
        <v>750</v>
      </c>
      <c r="C25" s="56">
        <f>Rates!D78</f>
        <v>7.4999999999999997E-2</v>
      </c>
      <c r="D25" s="58">
        <f>B25*C25</f>
        <v>56.25</v>
      </c>
      <c r="E25" s="55">
        <f>IF(B20*H20&gt;B21,B21,B20*H20)</f>
        <v>750</v>
      </c>
      <c r="F25" s="56">
        <f>Rates!F78</f>
        <v>7.4999999999999997E-2</v>
      </c>
      <c r="G25" s="58">
        <f>E25*F25</f>
        <v>56.25</v>
      </c>
      <c r="H25" s="58">
        <f t="shared" ref="H25:H49" si="0">G25-D25</f>
        <v>0</v>
      </c>
      <c r="I25" s="59">
        <f>IF(ISERROR(H25/D25),1,H25/D25)</f>
        <v>0</v>
      </c>
      <c r="J25" s="60">
        <f t="shared" ref="J25:J49" si="1">IF(ISERROR(G25/G$49),0,G25/G$49)</f>
        <v>7.0044576244730891E-3</v>
      </c>
    </row>
    <row r="26" spans="1:10" ht="12.75" thickBot="1" x14ac:dyDescent="0.25">
      <c r="A26" s="63" t="s">
        <v>36</v>
      </c>
      <c r="B26" s="64">
        <f>IF(B20*Rates!D82&gt;=B21,B20*Rates!D82-B21,0)</f>
        <v>26410</v>
      </c>
      <c r="C26" s="65">
        <f>Rates!D79</f>
        <v>8.7999999999999995E-2</v>
      </c>
      <c r="D26" s="66">
        <f>B26*C26</f>
        <v>2324.08</v>
      </c>
      <c r="E26" s="64">
        <f>IF(B20*H20&gt;=B21,B20*H20-B21,0)</f>
        <v>26410</v>
      </c>
      <c r="F26" s="65">
        <f>Rates!F79</f>
        <v>8.7999999999999995E-2</v>
      </c>
      <c r="G26" s="66">
        <f>E26*F26</f>
        <v>2324.08</v>
      </c>
      <c r="H26" s="66">
        <f t="shared" si="0"/>
        <v>0</v>
      </c>
      <c r="I26" s="67">
        <f>IF(ISERROR(H26/D26),0,H26/D26)</f>
        <v>0</v>
      </c>
      <c r="J26" s="68">
        <f t="shared" si="1"/>
        <v>0.28940302001574075</v>
      </c>
    </row>
    <row r="27" spans="1:10" ht="12.75" thickBot="1" x14ac:dyDescent="0.25">
      <c r="A27" s="73" t="s">
        <v>39</v>
      </c>
      <c r="B27" s="74"/>
      <c r="C27" s="75"/>
      <c r="D27" s="76">
        <f>SUM(D25:D26)</f>
        <v>2380.33</v>
      </c>
      <c r="E27" s="75"/>
      <c r="F27" s="75"/>
      <c r="G27" s="76">
        <f>SUM(G25:G26)</f>
        <v>2380.33</v>
      </c>
      <c r="H27" s="76">
        <f t="shared" si="0"/>
        <v>0</v>
      </c>
      <c r="I27" s="77">
        <f>IF(ISERROR(H27/D27),0,H27/D27)</f>
        <v>0</v>
      </c>
      <c r="J27" s="78">
        <f t="shared" si="1"/>
        <v>0.29640747764021386</v>
      </c>
    </row>
    <row r="28" spans="1:10" x14ac:dyDescent="0.2">
      <c r="A28" s="69" t="str">
        <f t="shared" ref="A28:A35" si="2">A4</f>
        <v>Monthly Service Charge</v>
      </c>
      <c r="B28" s="70">
        <v>428</v>
      </c>
      <c r="C28" s="46">
        <f t="shared" ref="C28:C35" si="3">C4</f>
        <v>0.96</v>
      </c>
      <c r="D28" s="46">
        <f t="shared" ref="D28:D36" si="4">B28*C28</f>
        <v>410.88</v>
      </c>
      <c r="E28" s="71">
        <f>B28</f>
        <v>428</v>
      </c>
      <c r="F28" s="47">
        <f t="shared" ref="F28:F35" si="5">D4</f>
        <v>0.97</v>
      </c>
      <c r="G28" s="47">
        <f t="shared" ref="G28:G36" si="6">E28*F28</f>
        <v>415.15999999999997</v>
      </c>
      <c r="H28" s="47">
        <f t="shared" si="0"/>
        <v>4.2799999999999727</v>
      </c>
      <c r="I28" s="48">
        <f>IF(ISERROR(H28/D28),0,H28/D28)</f>
        <v>1.04166666666666E-2</v>
      </c>
      <c r="J28" s="72">
        <f t="shared" si="1"/>
        <v>5.1697255597799953E-2</v>
      </c>
    </row>
    <row r="29" spans="1:10" x14ac:dyDescent="0.2">
      <c r="A29" s="61" t="str">
        <f t="shared" si="2"/>
        <v>Distribution Volumetric Rate</v>
      </c>
      <c r="B29" s="43">
        <f>B20</f>
        <v>25000</v>
      </c>
      <c r="C29" s="40">
        <f t="shared" si="3"/>
        <v>0.15429999999999999</v>
      </c>
      <c r="D29" s="41">
        <f t="shared" si="4"/>
        <v>3857.5</v>
      </c>
      <c r="E29" s="43">
        <f>B20</f>
        <v>25000</v>
      </c>
      <c r="F29" s="40">
        <f t="shared" si="5"/>
        <v>0.15570000000000001</v>
      </c>
      <c r="G29" s="41">
        <f t="shared" si="6"/>
        <v>3892.5</v>
      </c>
      <c r="H29" s="41">
        <f t="shared" si="0"/>
        <v>35</v>
      </c>
      <c r="I29" s="42">
        <f t="shared" ref="I29:I49" si="7">IF(ISERROR(H29/D29),0,H29/D29)</f>
        <v>9.0732339598185354E-3</v>
      </c>
      <c r="J29" s="62">
        <f t="shared" si="1"/>
        <v>0.48470846761353775</v>
      </c>
    </row>
    <row r="30" spans="1:10" x14ac:dyDescent="0.2">
      <c r="A30" s="61" t="str">
        <f t="shared" si="2"/>
        <v>Rate Rider for Foregone Revenue Recovery - effective until December 31, 2012</v>
      </c>
      <c r="B30" s="43">
        <f>B20</f>
        <v>25000</v>
      </c>
      <c r="C30" s="40">
        <f t="shared" si="3"/>
        <v>0</v>
      </c>
      <c r="D30" s="41">
        <f t="shared" si="4"/>
        <v>0</v>
      </c>
      <c r="E30" s="43">
        <f>B20</f>
        <v>25000</v>
      </c>
      <c r="F30" s="40">
        <f t="shared" si="5"/>
        <v>0</v>
      </c>
      <c r="G30" s="41">
        <f>E30*F30</f>
        <v>0</v>
      </c>
      <c r="H30" s="41">
        <f>G30-D30</f>
        <v>0</v>
      </c>
      <c r="I30" s="42">
        <f>IF(ISERROR(H30/D30),0,H30/D30)</f>
        <v>0</v>
      </c>
      <c r="J30" s="62">
        <f t="shared" si="1"/>
        <v>0</v>
      </c>
    </row>
    <row r="31" spans="1:10" x14ac:dyDescent="0.2">
      <c r="A31" s="61" t="str">
        <f t="shared" si="2"/>
        <v>Rate Rider for Foregone Revenue Recovery - effective until December 31, 2014</v>
      </c>
      <c r="B31" s="43">
        <f>B20</f>
        <v>25000</v>
      </c>
      <c r="C31" s="40">
        <f t="shared" si="3"/>
        <v>0</v>
      </c>
      <c r="D31" s="41">
        <f t="shared" ref="D31" si="8">B31*C31</f>
        <v>0</v>
      </c>
      <c r="E31" s="43">
        <f>B20</f>
        <v>25000</v>
      </c>
      <c r="F31" s="40">
        <f t="shared" si="5"/>
        <v>2.9999999999999997E-4</v>
      </c>
      <c r="G31" s="41">
        <f>E31*F31</f>
        <v>7.4999999999999991</v>
      </c>
      <c r="H31" s="41">
        <f>G31-D31</f>
        <v>7.4999999999999991</v>
      </c>
      <c r="I31" s="42">
        <f>IF(ISERROR(H31/D31),0,H31/D31)</f>
        <v>0</v>
      </c>
      <c r="J31" s="62">
        <f t="shared" si="1"/>
        <v>9.3392768326307847E-4</v>
      </c>
    </row>
    <row r="32" spans="1:10" x14ac:dyDescent="0.2">
      <c r="A32" s="61" t="str">
        <f t="shared" si="2"/>
        <v>Rate Rider for Deferral/Variance Account Disposition (2010) - effective until May 31, 2013</v>
      </c>
      <c r="B32" s="43">
        <f>B20</f>
        <v>25000</v>
      </c>
      <c r="C32" s="40">
        <f t="shared" si="3"/>
        <v>4.7999999999999996E-3</v>
      </c>
      <c r="D32" s="41">
        <f t="shared" si="4"/>
        <v>119.99999999999999</v>
      </c>
      <c r="E32" s="43">
        <f>B20</f>
        <v>25000</v>
      </c>
      <c r="F32" s="40">
        <f t="shared" si="5"/>
        <v>4.7999999999999996E-3</v>
      </c>
      <c r="G32" s="41">
        <f t="shared" si="6"/>
        <v>119.99999999999999</v>
      </c>
      <c r="H32" s="41">
        <f t="shared" si="0"/>
        <v>0</v>
      </c>
      <c r="I32" s="42">
        <f t="shared" si="7"/>
        <v>0</v>
      </c>
      <c r="J32" s="62">
        <f t="shared" si="1"/>
        <v>1.4942842932209256E-2</v>
      </c>
    </row>
    <row r="33" spans="1:10" x14ac:dyDescent="0.2">
      <c r="A33" s="61" t="str">
        <f t="shared" si="2"/>
        <v>Rate Rider for Deferral/Variance Account Disposition (2012) - effective until May 31, 2013</v>
      </c>
      <c r="B33" s="43">
        <f>B20</f>
        <v>25000</v>
      </c>
      <c r="C33" s="40">
        <f t="shared" si="3"/>
        <v>-6.1000000000000004E-3</v>
      </c>
      <c r="D33" s="41">
        <f t="shared" si="4"/>
        <v>-152.5</v>
      </c>
      <c r="E33" s="43">
        <f>B20</f>
        <v>25000</v>
      </c>
      <c r="F33" s="40">
        <f t="shared" si="5"/>
        <v>-6.1000000000000004E-3</v>
      </c>
      <c r="G33" s="41">
        <f>E33*F33</f>
        <v>-152.5</v>
      </c>
      <c r="H33" s="41">
        <f>G33-D33</f>
        <v>0</v>
      </c>
      <c r="I33" s="42">
        <f>IF(ISERROR(H33/D33),0,H33/D33)</f>
        <v>0</v>
      </c>
      <c r="J33" s="62">
        <f t="shared" si="1"/>
        <v>-1.8989862893015932E-2</v>
      </c>
    </row>
    <row r="34" spans="1:10" x14ac:dyDescent="0.2">
      <c r="A34" s="61" t="str">
        <f t="shared" si="2"/>
        <v>Rate Rider for Deferral/Variance Account Disposition (2013) - effective until December 31, 2013</v>
      </c>
      <c r="B34" s="43">
        <f>B20</f>
        <v>25000</v>
      </c>
      <c r="C34" s="40">
        <f t="shared" si="3"/>
        <v>0</v>
      </c>
      <c r="D34" s="41">
        <f t="shared" si="4"/>
        <v>0</v>
      </c>
      <c r="E34" s="43">
        <f>B20</f>
        <v>25000</v>
      </c>
      <c r="F34" s="40">
        <f t="shared" si="5"/>
        <v>-4.4999999999999997E-3</v>
      </c>
      <c r="G34" s="41">
        <f>E34*F34</f>
        <v>-112.49999999999999</v>
      </c>
      <c r="H34" s="41">
        <f>G34-D34</f>
        <v>-112.49999999999999</v>
      </c>
      <c r="I34" s="42">
        <f>IF(ISERROR(H34/D34),0,H34/D34)</f>
        <v>0</v>
      </c>
      <c r="J34" s="62">
        <f t="shared" si="1"/>
        <v>-1.4008915248946176E-2</v>
      </c>
    </row>
    <row r="35" spans="1:10" x14ac:dyDescent="0.2">
      <c r="A35" s="61" t="str">
        <f t="shared" si="2"/>
        <v>Rate Rider for Global Adjustment Sub-Account Disposition (2013) - effective until December 31, 2013</v>
      </c>
      <c r="B35" s="43">
        <f>B20</f>
        <v>25000</v>
      </c>
      <c r="C35" s="40">
        <f t="shared" si="3"/>
        <v>0</v>
      </c>
      <c r="D35" s="41">
        <f t="shared" si="4"/>
        <v>0</v>
      </c>
      <c r="E35" s="43">
        <f>B20</f>
        <v>25000</v>
      </c>
      <c r="F35" s="40">
        <f t="shared" si="5"/>
        <v>0</v>
      </c>
      <c r="G35" s="41">
        <f>E35*F35</f>
        <v>0</v>
      </c>
      <c r="H35" s="41">
        <f>G35-D35</f>
        <v>0</v>
      </c>
      <c r="I35" s="42">
        <f>IF(ISERROR(H35/D35),0,H35/D35)</f>
        <v>0</v>
      </c>
      <c r="J35" s="62">
        <f t="shared" si="1"/>
        <v>0</v>
      </c>
    </row>
    <row r="36" spans="1:10" ht="12.75" thickBot="1" x14ac:dyDescent="0.25">
      <c r="A36" s="61" t="str">
        <f t="shared" ref="A36" si="9">A12</f>
        <v>Rate Rider for Tax Changes</v>
      </c>
      <c r="B36" s="43">
        <f>B20</f>
        <v>25000</v>
      </c>
      <c r="C36" s="40">
        <f t="shared" ref="C36" si="10">C12</f>
        <v>0</v>
      </c>
      <c r="D36" s="41">
        <f t="shared" si="4"/>
        <v>0</v>
      </c>
      <c r="E36" s="43">
        <f>B20</f>
        <v>25000</v>
      </c>
      <c r="F36" s="40">
        <f t="shared" ref="F36" si="11">D12</f>
        <v>-2.9999999999999997E-4</v>
      </c>
      <c r="G36" s="41">
        <f t="shared" si="6"/>
        <v>-7.4999999999999991</v>
      </c>
      <c r="H36" s="41">
        <f t="shared" si="0"/>
        <v>-7.4999999999999991</v>
      </c>
      <c r="I36" s="42">
        <f t="shared" si="7"/>
        <v>0</v>
      </c>
      <c r="J36" s="62">
        <f t="shared" si="1"/>
        <v>-9.3392768326307847E-4</v>
      </c>
    </row>
    <row r="37" spans="1:10" ht="12.75" thickBot="1" x14ac:dyDescent="0.25">
      <c r="A37" s="73" t="s">
        <v>40</v>
      </c>
      <c r="B37" s="74"/>
      <c r="C37" s="75"/>
      <c r="D37" s="76">
        <f>SUM(D28:D36)</f>
        <v>4235.88</v>
      </c>
      <c r="E37" s="75"/>
      <c r="F37" s="75"/>
      <c r="G37" s="76">
        <f>SUM(G28:G36)</f>
        <v>4162.66</v>
      </c>
      <c r="H37" s="76">
        <f t="shared" si="0"/>
        <v>-73.220000000000255</v>
      </c>
      <c r="I37" s="77">
        <f t="shared" si="7"/>
        <v>-1.7285664371984158E-2</v>
      </c>
      <c r="J37" s="78">
        <f t="shared" si="1"/>
        <v>0.51834978800158482</v>
      </c>
    </row>
    <row r="38" spans="1:10" x14ac:dyDescent="0.2">
      <c r="A38" s="69" t="str">
        <f>A13</f>
        <v>Retail Transmission Rate - Network Service Rate</v>
      </c>
      <c r="B38" s="99">
        <f>D20*Rates!D82</f>
        <v>77.634143999999992</v>
      </c>
      <c r="C38" s="45">
        <f>C13</f>
        <v>1.9906999999999999</v>
      </c>
      <c r="D38" s="47">
        <f>B38*C38</f>
        <v>154.54629046079998</v>
      </c>
      <c r="E38" s="99">
        <f>D20*H20</f>
        <v>77.634143999999992</v>
      </c>
      <c r="F38" s="45">
        <f>D13</f>
        <v>1.9331</v>
      </c>
      <c r="G38" s="47">
        <f>E38*F38</f>
        <v>150.07456376639999</v>
      </c>
      <c r="H38" s="47">
        <f t="shared" si="0"/>
        <v>-4.4717266943999903</v>
      </c>
      <c r="I38" s="48">
        <f t="shared" si="7"/>
        <v>-2.8934545637212983E-2</v>
      </c>
      <c r="J38" s="72">
        <f t="shared" si="1"/>
        <v>1.8687838620676148E-2</v>
      </c>
    </row>
    <row r="39" spans="1:10" ht="12.75" thickBot="1" x14ac:dyDescent="0.25">
      <c r="A39" s="63" t="str">
        <f>A14</f>
        <v>Retail Transmission Rate - Line and Transformation Connection Service Rate</v>
      </c>
      <c r="B39" s="100">
        <f>D20*Rates!D82</f>
        <v>77.634143999999992</v>
      </c>
      <c r="C39" s="65">
        <f>C14</f>
        <v>1.3992</v>
      </c>
      <c r="D39" s="66">
        <f>B39*C39</f>
        <v>108.62569428479999</v>
      </c>
      <c r="E39" s="100">
        <f>D20*H20</f>
        <v>77.634143999999992</v>
      </c>
      <c r="F39" s="65">
        <f>D14</f>
        <v>1.3469</v>
      </c>
      <c r="G39" s="66">
        <f>E39*F39</f>
        <v>104.56542855359999</v>
      </c>
      <c r="H39" s="66">
        <f t="shared" si="0"/>
        <v>-4.0602657312000048</v>
      </c>
      <c r="I39" s="67">
        <f t="shared" si="7"/>
        <v>-3.7378502001143558E-2</v>
      </c>
      <c r="J39" s="68">
        <f t="shared" si="1"/>
        <v>1.3020873125129947E-2</v>
      </c>
    </row>
    <row r="40" spans="1:10" ht="12.75" thickBot="1" x14ac:dyDescent="0.25">
      <c r="A40" s="73" t="s">
        <v>32</v>
      </c>
      <c r="B40" s="74"/>
      <c r="C40" s="75"/>
      <c r="D40" s="76">
        <f>SUM(D38:D39)</f>
        <v>263.17198474559996</v>
      </c>
      <c r="E40" s="75"/>
      <c r="F40" s="75"/>
      <c r="G40" s="76">
        <f>SUM(G38:G39)</f>
        <v>254.63999231999998</v>
      </c>
      <c r="H40" s="76">
        <f t="shared" si="0"/>
        <v>-8.5319924255999808</v>
      </c>
      <c r="I40" s="77">
        <f t="shared" si="7"/>
        <v>-3.2419835393374369E-2</v>
      </c>
      <c r="J40" s="78">
        <f t="shared" si="1"/>
        <v>3.1708711745806091E-2</v>
      </c>
    </row>
    <row r="41" spans="1:10" ht="12.75" thickBot="1" x14ac:dyDescent="0.25">
      <c r="A41" s="81" t="s">
        <v>41</v>
      </c>
      <c r="B41" s="82"/>
      <c r="C41" s="83"/>
      <c r="D41" s="84">
        <f>D37+D40</f>
        <v>4499.0519847455998</v>
      </c>
      <c r="E41" s="83"/>
      <c r="F41" s="83"/>
      <c r="G41" s="84">
        <f>G37+G40</f>
        <v>4417.2999923199995</v>
      </c>
      <c r="H41" s="84">
        <f t="shared" si="0"/>
        <v>-81.751992425600292</v>
      </c>
      <c r="I41" s="85">
        <f t="shared" si="7"/>
        <v>-1.8170937500341638E-2</v>
      </c>
      <c r="J41" s="86">
        <f t="shared" si="1"/>
        <v>0.55005849974739096</v>
      </c>
    </row>
    <row r="42" spans="1:10" x14ac:dyDescent="0.2">
      <c r="A42" s="69" t="str">
        <f>A15</f>
        <v>Wholesale Market Service Rate</v>
      </c>
      <c r="B42" s="44">
        <f>B20*Rates!D82</f>
        <v>27160</v>
      </c>
      <c r="C42" s="45">
        <f>C15</f>
        <v>5.1999999999999998E-3</v>
      </c>
      <c r="D42" s="47">
        <f>B42*C42</f>
        <v>141.232</v>
      </c>
      <c r="E42" s="44">
        <f>B20*H20</f>
        <v>27160</v>
      </c>
      <c r="F42" s="45">
        <f>D15</f>
        <v>4.4000000000000003E-3</v>
      </c>
      <c r="G42" s="47">
        <f>E42*F42</f>
        <v>119.504</v>
      </c>
      <c r="H42" s="47">
        <f t="shared" si="0"/>
        <v>-21.727999999999994</v>
      </c>
      <c r="I42" s="48">
        <f t="shared" si="7"/>
        <v>-0.1538461538461538</v>
      </c>
      <c r="J42" s="72">
        <f t="shared" si="1"/>
        <v>1.4881079181422792E-2</v>
      </c>
    </row>
    <row r="43" spans="1:10" x14ac:dyDescent="0.2">
      <c r="A43" s="61" t="str">
        <f>A16</f>
        <v>Rural Rate Protection Charge</v>
      </c>
      <c r="B43" s="39">
        <f>B20*Rates!D82</f>
        <v>27160</v>
      </c>
      <c r="C43" s="40">
        <f>C16</f>
        <v>1.1000000000000001E-3</v>
      </c>
      <c r="D43" s="41">
        <f>B43*C43</f>
        <v>29.876000000000001</v>
      </c>
      <c r="E43" s="39">
        <f>B20*H20</f>
        <v>27160</v>
      </c>
      <c r="F43" s="40">
        <f>D16</f>
        <v>1.1999999999999999E-3</v>
      </c>
      <c r="G43" s="41">
        <f>E43*F43</f>
        <v>32.591999999999999</v>
      </c>
      <c r="H43" s="41">
        <f t="shared" si="0"/>
        <v>2.7159999999999975</v>
      </c>
      <c r="I43" s="42">
        <f t="shared" si="7"/>
        <v>9.0909090909090828E-2</v>
      </c>
      <c r="J43" s="62">
        <f t="shared" si="1"/>
        <v>4.0584761403880338E-3</v>
      </c>
    </row>
    <row r="44" spans="1:10" ht="12.75" thickBot="1" x14ac:dyDescent="0.25">
      <c r="A44" s="63" t="str">
        <f>A17</f>
        <v>Standard Supply Service - Administarive Charge (if applicable)</v>
      </c>
      <c r="B44" s="79">
        <f>B28</f>
        <v>428</v>
      </c>
      <c r="C44" s="66">
        <f>C17</f>
        <v>0.25</v>
      </c>
      <c r="D44" s="66">
        <f>B44*C44</f>
        <v>107</v>
      </c>
      <c r="E44" s="64">
        <f>B28</f>
        <v>428</v>
      </c>
      <c r="F44" s="66">
        <f>D17</f>
        <v>0.25</v>
      </c>
      <c r="G44" s="66">
        <f>E44*F44</f>
        <v>107</v>
      </c>
      <c r="H44" s="66">
        <f t="shared" si="0"/>
        <v>0</v>
      </c>
      <c r="I44" s="67">
        <f t="shared" si="7"/>
        <v>0</v>
      </c>
      <c r="J44" s="68">
        <f t="shared" si="1"/>
        <v>1.3324034947886587E-2</v>
      </c>
    </row>
    <row r="45" spans="1:10" ht="12.75" thickBot="1" x14ac:dyDescent="0.25">
      <c r="A45" s="73" t="s">
        <v>42</v>
      </c>
      <c r="B45" s="74"/>
      <c r="C45" s="75"/>
      <c r="D45" s="76">
        <f>SUM(D42:D44)</f>
        <v>278.108</v>
      </c>
      <c r="E45" s="75"/>
      <c r="F45" s="75"/>
      <c r="G45" s="76">
        <f>SUM(G42:G44)</f>
        <v>259.096</v>
      </c>
      <c r="H45" s="76">
        <f t="shared" si="0"/>
        <v>-19.012</v>
      </c>
      <c r="I45" s="77">
        <f t="shared" si="7"/>
        <v>-6.8361931336027734E-2</v>
      </c>
      <c r="J45" s="78">
        <f t="shared" si="1"/>
        <v>3.2263590269697412E-2</v>
      </c>
    </row>
    <row r="46" spans="1:10" ht="12.75" thickBot="1" x14ac:dyDescent="0.25">
      <c r="A46" s="87" t="s">
        <v>19</v>
      </c>
      <c r="B46" s="88">
        <f>B20</f>
        <v>25000</v>
      </c>
      <c r="C46" s="89">
        <f>Rates!D77</f>
        <v>2E-3</v>
      </c>
      <c r="D46" s="90">
        <f>B46*C46</f>
        <v>50</v>
      </c>
      <c r="E46" s="88">
        <f>B20</f>
        <v>25000</v>
      </c>
      <c r="F46" s="89">
        <f>Rates!F77</f>
        <v>2E-3</v>
      </c>
      <c r="G46" s="90">
        <f>E46*F46</f>
        <v>50</v>
      </c>
      <c r="H46" s="90">
        <f t="shared" si="0"/>
        <v>0</v>
      </c>
      <c r="I46" s="91">
        <f t="shared" si="7"/>
        <v>0</v>
      </c>
      <c r="J46" s="92">
        <f t="shared" si="1"/>
        <v>6.2261845550871907E-3</v>
      </c>
    </row>
    <row r="47" spans="1:10" ht="12.75" thickBot="1" x14ac:dyDescent="0.25">
      <c r="A47" s="73" t="s">
        <v>43</v>
      </c>
      <c r="B47" s="74"/>
      <c r="C47" s="75"/>
      <c r="D47" s="76">
        <f>D27+D41+D45+D46</f>
        <v>7207.4899847455999</v>
      </c>
      <c r="E47" s="75"/>
      <c r="F47" s="75"/>
      <c r="G47" s="76">
        <f>G27+G41+G45+G46</f>
        <v>7106.7259923199999</v>
      </c>
      <c r="H47" s="76">
        <f t="shared" si="0"/>
        <v>-100.76399242560001</v>
      </c>
      <c r="I47" s="77">
        <f t="shared" si="7"/>
        <v>-1.3980455420522744E-2</v>
      </c>
      <c r="J47" s="78">
        <f t="shared" si="1"/>
        <v>0.88495575221238942</v>
      </c>
    </row>
    <row r="48" spans="1:10" ht="12.75" thickBot="1" x14ac:dyDescent="0.25">
      <c r="A48" s="93" t="s">
        <v>45</v>
      </c>
      <c r="B48" s="94"/>
      <c r="C48" s="95">
        <f>Rates!D83</f>
        <v>0.13</v>
      </c>
      <c r="D48" s="90">
        <f>C48*D47</f>
        <v>936.97369801692798</v>
      </c>
      <c r="E48" s="96"/>
      <c r="F48" s="95">
        <f>Rates!F83</f>
        <v>0.13</v>
      </c>
      <c r="G48" s="90">
        <f>F48*G47</f>
        <v>923.8743790016</v>
      </c>
      <c r="H48" s="90">
        <f t="shared" si="0"/>
        <v>-13.099319015327978</v>
      </c>
      <c r="I48" s="91">
        <f t="shared" si="7"/>
        <v>-1.398045542052272E-2</v>
      </c>
      <c r="J48" s="92">
        <f t="shared" si="1"/>
        <v>0.11504424778761063</v>
      </c>
    </row>
    <row r="49" spans="1:10" ht="12.75" thickBot="1" x14ac:dyDescent="0.25">
      <c r="A49" s="81" t="s">
        <v>33</v>
      </c>
      <c r="B49" s="82"/>
      <c r="C49" s="83"/>
      <c r="D49" s="104">
        <f>D47+D48</f>
        <v>8144.4636827625282</v>
      </c>
      <c r="E49" s="83"/>
      <c r="F49" s="83"/>
      <c r="G49" s="104">
        <f>G47+G48</f>
        <v>8030.6003713215996</v>
      </c>
      <c r="H49" s="104">
        <f t="shared" si="0"/>
        <v>-113.86331144092856</v>
      </c>
      <c r="I49" s="85">
        <f t="shared" si="7"/>
        <v>-1.398045542052281E-2</v>
      </c>
      <c r="J49" s="86">
        <f t="shared" si="1"/>
        <v>1</v>
      </c>
    </row>
  </sheetData>
  <mergeCells count="4">
    <mergeCell ref="A23:A24"/>
    <mergeCell ref="B23:B24"/>
    <mergeCell ref="E23:E24"/>
    <mergeCell ref="H23:J23"/>
  </mergeCells>
  <phoneticPr fontId="2" type="noConversion"/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topLeftCell="A7" zoomScaleNormal="100" workbookViewId="0">
      <selection activeCell="A44" sqref="A44:XFD44"/>
    </sheetView>
  </sheetViews>
  <sheetFormatPr defaultRowHeight="12" x14ac:dyDescent="0.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" style="8" customWidth="1"/>
    <col min="12" max="16384" width="9.140625" style="8"/>
  </cols>
  <sheetData>
    <row r="2" spans="1:4" ht="12.75" thickBot="1" x14ac:dyDescent="0.25"/>
    <row r="3" spans="1:4" ht="48.75" thickBot="1" x14ac:dyDescent="0.25">
      <c r="A3" s="14" t="str">
        <f>Rates!A60</f>
        <v>Street Lighting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Rates!A40</f>
        <v>Monthly Service Charge</v>
      </c>
      <c r="B4" s="24" t="str">
        <f>Rates!B61</f>
        <v>$</v>
      </c>
      <c r="C4" s="25">
        <f>Rates!D61</f>
        <v>0.96</v>
      </c>
      <c r="D4" s="26">
        <f>Rates!F61</f>
        <v>0.97</v>
      </c>
    </row>
    <row r="5" spans="1:4" x14ac:dyDescent="0.2">
      <c r="A5" s="27" t="str">
        <f>Rates!A42</f>
        <v>Distribution Volumetric Rate</v>
      </c>
      <c r="B5" s="28" t="str">
        <f>Rates!B62</f>
        <v>$/kWh</v>
      </c>
      <c r="C5" s="31">
        <f>Rates!D62</f>
        <v>0.15429999999999999</v>
      </c>
      <c r="D5" s="32">
        <f>Rates!F62</f>
        <v>0.15570000000000001</v>
      </c>
    </row>
    <row r="6" spans="1:4" x14ac:dyDescent="0.2">
      <c r="A6" s="27" t="str">
        <f>Rates!A63</f>
        <v>Rate Rider for Foregone Revenue Recovery - effective until December 31, 2012</v>
      </c>
      <c r="B6" s="28" t="str">
        <f>Rates!B63</f>
        <v>$/kWh</v>
      </c>
      <c r="C6" s="31">
        <f>Rates!D63</f>
        <v>0</v>
      </c>
      <c r="D6" s="32">
        <f>Rates!F63</f>
        <v>0</v>
      </c>
    </row>
    <row r="7" spans="1:4" x14ac:dyDescent="0.2">
      <c r="A7" s="27" t="str">
        <f>Rates!A64</f>
        <v>Rate Rider for Foregone Revenue Recovery - effective until December 31, 2014</v>
      </c>
      <c r="B7" s="28" t="str">
        <f>Rates!B64</f>
        <v>$/kWh</v>
      </c>
      <c r="C7" s="31">
        <f>Rates!D64</f>
        <v>0</v>
      </c>
      <c r="D7" s="32">
        <f>Rates!F64</f>
        <v>2.9999999999999997E-4</v>
      </c>
    </row>
    <row r="8" spans="1:4" x14ac:dyDescent="0.2">
      <c r="A8" s="27" t="str">
        <f>Rates!A65</f>
        <v>Rate Rider for Deferral/Variance Account Disposition (2010) - effective until May 31, 2013</v>
      </c>
      <c r="B8" s="28" t="str">
        <f>Rates!B65</f>
        <v>$/kWh</v>
      </c>
      <c r="C8" s="31">
        <f>Rates!D65</f>
        <v>4.7999999999999996E-3</v>
      </c>
      <c r="D8" s="32">
        <f>Rates!F65</f>
        <v>4.7999999999999996E-3</v>
      </c>
    </row>
    <row r="9" spans="1:4" x14ac:dyDescent="0.2">
      <c r="A9" s="27" t="str">
        <f>Rates!A66</f>
        <v>Rate Rider for Deferral/Variance Account Disposition (2012) - effective until May 31, 2013</v>
      </c>
      <c r="B9" s="28" t="str">
        <f>Rates!B66</f>
        <v>$/kWh</v>
      </c>
      <c r="C9" s="31">
        <f>Rates!D66</f>
        <v>-6.1000000000000004E-3</v>
      </c>
      <c r="D9" s="32">
        <f>Rates!F66</f>
        <v>-6.1000000000000004E-3</v>
      </c>
    </row>
    <row r="10" spans="1:4" x14ac:dyDescent="0.2">
      <c r="A10" s="27" t="str">
        <f>Rates!A67</f>
        <v>Rate Rider for Deferral/Variance Account Disposition (2013) - effective until December 31, 2013</v>
      </c>
      <c r="B10" s="28" t="str">
        <f>Rates!B67</f>
        <v>$/kWh</v>
      </c>
      <c r="C10" s="31">
        <f>Rates!D67</f>
        <v>0</v>
      </c>
      <c r="D10" s="32">
        <f>Rates!F67</f>
        <v>-4.4999999999999997E-3</v>
      </c>
    </row>
    <row r="11" spans="1:4" x14ac:dyDescent="0.2">
      <c r="A11" s="27" t="str">
        <f>Rates!A68</f>
        <v>Rate Rider for Global Adjustment Sub-Account Disposition (2013) - effective until December 31, 2013</v>
      </c>
      <c r="B11" s="28" t="str">
        <f>Rates!B68</f>
        <v>$/kWh</v>
      </c>
      <c r="C11" s="31">
        <f>Rates!D68</f>
        <v>0</v>
      </c>
      <c r="D11" s="32">
        <f>Rates!F68</f>
        <v>1.4999999999999999E-2</v>
      </c>
    </row>
    <row r="12" spans="1:4" x14ac:dyDescent="0.2">
      <c r="A12" s="27" t="str">
        <f>Rates!A69</f>
        <v>Rate Rider for Tax Changes</v>
      </c>
      <c r="B12" s="28" t="str">
        <f>Rates!B69</f>
        <v>$/kWh</v>
      </c>
      <c r="C12" s="31">
        <f>Rates!D69</f>
        <v>0</v>
      </c>
      <c r="D12" s="32">
        <f>Rates!F69</f>
        <v>-2.9999999999999997E-4</v>
      </c>
    </row>
    <row r="13" spans="1:4" x14ac:dyDescent="0.2">
      <c r="A13" s="27" t="str">
        <f>Rates!A70</f>
        <v>Retail Transmission Rate - Network Service Rate</v>
      </c>
      <c r="B13" s="28" t="str">
        <f>Rates!B70</f>
        <v>$/kW</v>
      </c>
      <c r="C13" s="31">
        <f>Rates!D70</f>
        <v>1.9906999999999999</v>
      </c>
      <c r="D13" s="32">
        <f>Rates!F70</f>
        <v>1.9331</v>
      </c>
    </row>
    <row r="14" spans="1:4" x14ac:dyDescent="0.2">
      <c r="A14" s="27" t="str">
        <f>Rates!A71</f>
        <v>Retail Transmission Rate - Line and Transformation Connection Service Rate</v>
      </c>
      <c r="B14" s="28" t="str">
        <f>Rates!B71</f>
        <v>$/kW</v>
      </c>
      <c r="C14" s="31">
        <f>Rates!D71</f>
        <v>1.3992</v>
      </c>
      <c r="D14" s="32">
        <f>Rates!F71</f>
        <v>1.3469</v>
      </c>
    </row>
    <row r="15" spans="1:4" x14ac:dyDescent="0.2">
      <c r="A15" s="27" t="str">
        <f>Rates!A72</f>
        <v>Wholesale Market Service Rate</v>
      </c>
      <c r="B15" s="28" t="str">
        <f>Rates!B72</f>
        <v>$/kWh</v>
      </c>
      <c r="C15" s="31">
        <f>Rates!D72</f>
        <v>5.1999999999999998E-3</v>
      </c>
      <c r="D15" s="32">
        <f>Rates!F72</f>
        <v>4.4000000000000003E-3</v>
      </c>
    </row>
    <row r="16" spans="1:4" x14ac:dyDescent="0.2">
      <c r="A16" s="27" t="str">
        <f>Rates!A73</f>
        <v>Rural Rate Protection Charge</v>
      </c>
      <c r="B16" s="28" t="str">
        <f>Rates!B73</f>
        <v>$/kWh</v>
      </c>
      <c r="C16" s="31">
        <f>Rates!D73</f>
        <v>1.1000000000000001E-3</v>
      </c>
      <c r="D16" s="32">
        <f>Rates!F73</f>
        <v>1.1999999999999999E-3</v>
      </c>
    </row>
    <row r="17" spans="1:10" ht="12.75" thickBot="1" x14ac:dyDescent="0.25">
      <c r="A17" s="12" t="str">
        <f>Rates!A74</f>
        <v>Standard Supply Service - Administarive Charge (if applicable)</v>
      </c>
      <c r="B17" s="17" t="str">
        <f>Rates!B74</f>
        <v>$</v>
      </c>
      <c r="C17" s="18">
        <f>Rates!D74</f>
        <v>0.25</v>
      </c>
      <c r="D17" s="13">
        <f>Rates!F74</f>
        <v>0.25</v>
      </c>
    </row>
    <row r="19" spans="1:10" ht="12.75" thickBot="1" x14ac:dyDescent="0.25"/>
    <row r="20" spans="1:10" ht="13.5" thickBot="1" x14ac:dyDescent="0.25">
      <c r="A20" s="33" t="s">
        <v>26</v>
      </c>
      <c r="B20" s="34">
        <v>25000</v>
      </c>
      <c r="C20" s="35" t="s">
        <v>27</v>
      </c>
      <c r="D20" s="36">
        <v>71.459999999999994</v>
      </c>
      <c r="E20" s="35" t="s">
        <v>28</v>
      </c>
      <c r="G20" s="37" t="s">
        <v>23</v>
      </c>
      <c r="H20" s="53">
        <f>Rates!F82</f>
        <v>1.0864</v>
      </c>
    </row>
    <row r="21" spans="1:10" ht="13.5" thickBot="1" x14ac:dyDescent="0.25">
      <c r="A21" s="33" t="s">
        <v>29</v>
      </c>
      <c r="B21" s="34">
        <v>750</v>
      </c>
      <c r="C21" s="35" t="s">
        <v>27</v>
      </c>
      <c r="D21" s="37" t="s">
        <v>30</v>
      </c>
      <c r="E21" s="98">
        <f>IF(D20&gt;0,B20/(D20*24*30.4)," ")</f>
        <v>0.47950393055125928</v>
      </c>
    </row>
    <row r="22" spans="1:10" ht="12.75" thickBot="1" x14ac:dyDescent="0.25"/>
    <row r="23" spans="1:10" ht="12.75" customHeight="1" x14ac:dyDescent="0.2">
      <c r="A23" s="152" t="str">
        <f>A3</f>
        <v>Street Lighting</v>
      </c>
      <c r="B23" s="154" t="s">
        <v>31</v>
      </c>
      <c r="C23" s="141" t="s">
        <v>37</v>
      </c>
      <c r="D23" s="141" t="s">
        <v>38</v>
      </c>
      <c r="E23" s="154" t="s">
        <v>31</v>
      </c>
      <c r="F23" s="141" t="s">
        <v>37</v>
      </c>
      <c r="G23" s="141" t="s">
        <v>38</v>
      </c>
      <c r="H23" s="156" t="s">
        <v>44</v>
      </c>
      <c r="I23" s="156"/>
      <c r="J23" s="157"/>
    </row>
    <row r="24" spans="1:10" ht="12.75" thickBot="1" x14ac:dyDescent="0.25">
      <c r="A24" s="153"/>
      <c r="B24" s="155"/>
      <c r="C24" s="50" t="s">
        <v>15</v>
      </c>
      <c r="D24" s="50" t="s">
        <v>15</v>
      </c>
      <c r="E24" s="155"/>
      <c r="F24" s="50" t="s">
        <v>15</v>
      </c>
      <c r="G24" s="50" t="s">
        <v>15</v>
      </c>
      <c r="H24" s="50" t="s">
        <v>15</v>
      </c>
      <c r="I24" s="51" t="s">
        <v>22</v>
      </c>
      <c r="J24" s="52" t="s">
        <v>34</v>
      </c>
    </row>
    <row r="25" spans="1:10" x14ac:dyDescent="0.2">
      <c r="A25" s="54" t="s">
        <v>35</v>
      </c>
      <c r="B25" s="55">
        <f>IF(B20*Rates!D82&gt;B21,B21,B20*Rates!D82)</f>
        <v>750</v>
      </c>
      <c r="C25" s="56">
        <f>Rates!D78</f>
        <v>7.4999999999999997E-2</v>
      </c>
      <c r="D25" s="58">
        <f>B25*C25</f>
        <v>56.25</v>
      </c>
      <c r="E25" s="55">
        <f>IF(B20*H20&gt;B21,B21,B20*H20)</f>
        <v>750</v>
      </c>
      <c r="F25" s="56">
        <f>Rates!F78</f>
        <v>7.4999999999999997E-2</v>
      </c>
      <c r="G25" s="58">
        <f>E25*F25</f>
        <v>56.25</v>
      </c>
      <c r="H25" s="58">
        <f t="shared" ref="H25:H49" si="0">G25-D25</f>
        <v>0</v>
      </c>
      <c r="I25" s="59">
        <f>IF(ISERROR(H25/D25),1,H25/D25)</f>
        <v>0</v>
      </c>
      <c r="J25" s="60">
        <f t="shared" ref="J25:J49" si="1">IF(ISERROR(G25/G$49),0,G25/G$49)</f>
        <v>6.6533793289202062E-3</v>
      </c>
    </row>
    <row r="26" spans="1:10" ht="12.75" thickBot="1" x14ac:dyDescent="0.25">
      <c r="A26" s="63" t="s">
        <v>36</v>
      </c>
      <c r="B26" s="64">
        <f>IF(B20*Rates!D82&gt;=B21,B20*Rates!D82-B21,0)</f>
        <v>26410</v>
      </c>
      <c r="C26" s="65">
        <f>Rates!D79</f>
        <v>8.7999999999999995E-2</v>
      </c>
      <c r="D26" s="66">
        <f>B26*C26</f>
        <v>2324.08</v>
      </c>
      <c r="E26" s="64">
        <f>IF(B20*H20&gt;=B21,B20*H20-B21,0)</f>
        <v>26410</v>
      </c>
      <c r="F26" s="65">
        <f>Rates!F79</f>
        <v>8.7999999999999995E-2</v>
      </c>
      <c r="G26" s="66">
        <f>E26*F26</f>
        <v>2324.08</v>
      </c>
      <c r="H26" s="66">
        <f t="shared" si="0"/>
        <v>0</v>
      </c>
      <c r="I26" s="67">
        <f>IF(ISERROR(H26/D26),0,H26/D26)</f>
        <v>0</v>
      </c>
      <c r="J26" s="68">
        <f t="shared" si="1"/>
        <v>0.27489752588012217</v>
      </c>
    </row>
    <row r="27" spans="1:10" ht="12.75" thickBot="1" x14ac:dyDescent="0.25">
      <c r="A27" s="73" t="s">
        <v>39</v>
      </c>
      <c r="B27" s="74"/>
      <c r="C27" s="75"/>
      <c r="D27" s="76">
        <f>SUM(D25:D26)</f>
        <v>2380.33</v>
      </c>
      <c r="E27" s="75"/>
      <c r="F27" s="75"/>
      <c r="G27" s="76">
        <f>SUM(G25:G26)</f>
        <v>2380.33</v>
      </c>
      <c r="H27" s="76">
        <f t="shared" si="0"/>
        <v>0</v>
      </c>
      <c r="I27" s="77">
        <f>IF(ISERROR(H27/D27),0,H27/D27)</f>
        <v>0</v>
      </c>
      <c r="J27" s="78">
        <f t="shared" si="1"/>
        <v>0.28155090520904236</v>
      </c>
    </row>
    <row r="28" spans="1:10" x14ac:dyDescent="0.2">
      <c r="A28" s="69" t="str">
        <f t="shared" ref="A28:A35" si="2">A4</f>
        <v>Monthly Service Charge</v>
      </c>
      <c r="B28" s="70">
        <v>428</v>
      </c>
      <c r="C28" s="46">
        <f t="shared" ref="C28:C35" si="3">C4</f>
        <v>0.96</v>
      </c>
      <c r="D28" s="46">
        <f t="shared" ref="D28:D36" si="4">B28*C28</f>
        <v>410.88</v>
      </c>
      <c r="E28" s="71">
        <f>B28</f>
        <v>428</v>
      </c>
      <c r="F28" s="47">
        <f t="shared" ref="F28:F35" si="5">D4</f>
        <v>0.97</v>
      </c>
      <c r="G28" s="47">
        <f t="shared" ref="G28:G36" si="6">E28*F28</f>
        <v>415.15999999999997</v>
      </c>
      <c r="H28" s="47">
        <f t="shared" si="0"/>
        <v>4.2799999999999727</v>
      </c>
      <c r="I28" s="48">
        <f>IF(ISERROR(H28/D28),0,H28/D28)</f>
        <v>1.04166666666666E-2</v>
      </c>
      <c r="J28" s="72">
        <f t="shared" si="1"/>
        <v>4.9106079327902445E-2</v>
      </c>
    </row>
    <row r="29" spans="1:10" x14ac:dyDescent="0.2">
      <c r="A29" s="61" t="str">
        <f t="shared" si="2"/>
        <v>Distribution Volumetric Rate</v>
      </c>
      <c r="B29" s="43">
        <f>B20</f>
        <v>25000</v>
      </c>
      <c r="C29" s="40">
        <f t="shared" si="3"/>
        <v>0.15429999999999999</v>
      </c>
      <c r="D29" s="41">
        <f t="shared" si="4"/>
        <v>3857.5</v>
      </c>
      <c r="E29" s="43">
        <f>B20</f>
        <v>25000</v>
      </c>
      <c r="F29" s="40">
        <f t="shared" si="5"/>
        <v>0.15570000000000001</v>
      </c>
      <c r="G29" s="41">
        <f t="shared" si="6"/>
        <v>3892.5</v>
      </c>
      <c r="H29" s="41">
        <f t="shared" si="0"/>
        <v>35</v>
      </c>
      <c r="I29" s="42">
        <f t="shared" ref="I29:I49" si="7">IF(ISERROR(H29/D29),0,H29/D29)</f>
        <v>9.0732339598185354E-3</v>
      </c>
      <c r="J29" s="62">
        <f t="shared" si="1"/>
        <v>0.46041384956127829</v>
      </c>
    </row>
    <row r="30" spans="1:10" x14ac:dyDescent="0.2">
      <c r="A30" s="61" t="str">
        <f t="shared" si="2"/>
        <v>Rate Rider for Foregone Revenue Recovery - effective until December 31, 2012</v>
      </c>
      <c r="B30" s="43">
        <f>B20</f>
        <v>25000</v>
      </c>
      <c r="C30" s="40">
        <f t="shared" si="3"/>
        <v>0</v>
      </c>
      <c r="D30" s="41">
        <f t="shared" si="4"/>
        <v>0</v>
      </c>
      <c r="E30" s="43">
        <f>B20</f>
        <v>25000</v>
      </c>
      <c r="F30" s="40">
        <f t="shared" si="5"/>
        <v>0</v>
      </c>
      <c r="G30" s="41">
        <f>E30*F30</f>
        <v>0</v>
      </c>
      <c r="H30" s="41">
        <f>G30-D30</f>
        <v>0</v>
      </c>
      <c r="I30" s="42">
        <f>IF(ISERROR(H30/D30),0,H30/D30)</f>
        <v>0</v>
      </c>
      <c r="J30" s="62">
        <f t="shared" si="1"/>
        <v>0</v>
      </c>
    </row>
    <row r="31" spans="1:10" x14ac:dyDescent="0.2">
      <c r="A31" s="61" t="str">
        <f t="shared" si="2"/>
        <v>Rate Rider for Foregone Revenue Recovery - effective until December 31, 2014</v>
      </c>
      <c r="B31" s="43">
        <f>B20</f>
        <v>25000</v>
      </c>
      <c r="C31" s="40">
        <f t="shared" si="3"/>
        <v>0</v>
      </c>
      <c r="D31" s="41">
        <f t="shared" ref="D31" si="8">B31*C31</f>
        <v>0</v>
      </c>
      <c r="E31" s="43">
        <f>B20</f>
        <v>25000</v>
      </c>
      <c r="F31" s="40">
        <f t="shared" si="5"/>
        <v>2.9999999999999997E-4</v>
      </c>
      <c r="G31" s="41">
        <f>E31*F31</f>
        <v>7.4999999999999991</v>
      </c>
      <c r="H31" s="41">
        <f>G31-D31</f>
        <v>7.4999999999999991</v>
      </c>
      <c r="I31" s="42">
        <f>IF(ISERROR(H31/D31),0,H31/D31)</f>
        <v>0</v>
      </c>
      <c r="J31" s="62">
        <f t="shared" si="1"/>
        <v>8.8711724385602737E-4</v>
      </c>
    </row>
    <row r="32" spans="1:10" x14ac:dyDescent="0.2">
      <c r="A32" s="61" t="str">
        <f t="shared" si="2"/>
        <v>Rate Rider for Deferral/Variance Account Disposition (2010) - effective until May 31, 2013</v>
      </c>
      <c r="B32" s="43">
        <f>B20</f>
        <v>25000</v>
      </c>
      <c r="C32" s="40">
        <f t="shared" si="3"/>
        <v>4.7999999999999996E-3</v>
      </c>
      <c r="D32" s="41">
        <f t="shared" si="4"/>
        <v>119.99999999999999</v>
      </c>
      <c r="E32" s="43">
        <f>B20</f>
        <v>25000</v>
      </c>
      <c r="F32" s="40">
        <f t="shared" si="5"/>
        <v>4.7999999999999996E-3</v>
      </c>
      <c r="G32" s="41">
        <f t="shared" si="6"/>
        <v>119.99999999999999</v>
      </c>
      <c r="H32" s="41">
        <f t="shared" si="0"/>
        <v>0</v>
      </c>
      <c r="I32" s="42">
        <f t="shared" si="7"/>
        <v>0</v>
      </c>
      <c r="J32" s="62">
        <f t="shared" si="1"/>
        <v>1.4193875901696438E-2</v>
      </c>
    </row>
    <row r="33" spans="1:10" x14ac:dyDescent="0.2">
      <c r="A33" s="61" t="str">
        <f t="shared" si="2"/>
        <v>Rate Rider for Deferral/Variance Account Disposition (2012) - effective until May 31, 2013</v>
      </c>
      <c r="B33" s="43">
        <f>B20</f>
        <v>25000</v>
      </c>
      <c r="C33" s="40">
        <f t="shared" si="3"/>
        <v>-6.1000000000000004E-3</v>
      </c>
      <c r="D33" s="41">
        <f t="shared" si="4"/>
        <v>-152.5</v>
      </c>
      <c r="E33" s="43">
        <f>B20</f>
        <v>25000</v>
      </c>
      <c r="F33" s="40">
        <f t="shared" si="5"/>
        <v>-6.1000000000000004E-3</v>
      </c>
      <c r="G33" s="41">
        <f>E33*F33</f>
        <v>-152.5</v>
      </c>
      <c r="H33" s="41">
        <f>G33-D33</f>
        <v>0</v>
      </c>
      <c r="I33" s="42">
        <f>IF(ISERROR(H33/D33),0,H33/D33)</f>
        <v>0</v>
      </c>
      <c r="J33" s="62">
        <f t="shared" si="1"/>
        <v>-1.803805062507256E-2</v>
      </c>
    </row>
    <row r="34" spans="1:10" x14ac:dyDescent="0.2">
      <c r="A34" s="61" t="str">
        <f t="shared" si="2"/>
        <v>Rate Rider for Deferral/Variance Account Disposition (2013) - effective until December 31, 2013</v>
      </c>
      <c r="B34" s="43">
        <f>B20</f>
        <v>25000</v>
      </c>
      <c r="C34" s="40">
        <f t="shared" si="3"/>
        <v>0</v>
      </c>
      <c r="D34" s="41">
        <f t="shared" si="4"/>
        <v>0</v>
      </c>
      <c r="E34" s="43">
        <f>B20</f>
        <v>25000</v>
      </c>
      <c r="F34" s="40">
        <f t="shared" si="5"/>
        <v>-4.4999999999999997E-3</v>
      </c>
      <c r="G34" s="41">
        <f>E34*F34</f>
        <v>-112.49999999999999</v>
      </c>
      <c r="H34" s="41">
        <f>G34-D34</f>
        <v>-112.49999999999999</v>
      </c>
      <c r="I34" s="42">
        <f>IF(ISERROR(H34/D34),0,H34/D34)</f>
        <v>0</v>
      </c>
      <c r="J34" s="62">
        <f t="shared" si="1"/>
        <v>-1.3306758657840411E-2</v>
      </c>
    </row>
    <row r="35" spans="1:10" x14ac:dyDescent="0.2">
      <c r="A35" s="61" t="str">
        <f t="shared" si="2"/>
        <v>Rate Rider for Global Adjustment Sub-Account Disposition (2013) - effective until December 31, 2013</v>
      </c>
      <c r="B35" s="43">
        <f>B20</f>
        <v>25000</v>
      </c>
      <c r="C35" s="40">
        <f t="shared" si="3"/>
        <v>0</v>
      </c>
      <c r="D35" s="41">
        <f t="shared" si="4"/>
        <v>0</v>
      </c>
      <c r="E35" s="43">
        <f>B20</f>
        <v>25000</v>
      </c>
      <c r="F35" s="40">
        <f t="shared" si="5"/>
        <v>1.4999999999999999E-2</v>
      </c>
      <c r="G35" s="41">
        <f>E35*F35</f>
        <v>375</v>
      </c>
      <c r="H35" s="41">
        <f>G35-D35</f>
        <v>375</v>
      </c>
      <c r="I35" s="42">
        <f>IF(ISERROR(H35/D35),0,H35/D35)</f>
        <v>0</v>
      </c>
      <c r="J35" s="62">
        <f t="shared" si="1"/>
        <v>4.4355862192801375E-2</v>
      </c>
    </row>
    <row r="36" spans="1:10" ht="12.75" thickBot="1" x14ac:dyDescent="0.25">
      <c r="A36" s="61" t="str">
        <f t="shared" ref="A36" si="9">A12</f>
        <v>Rate Rider for Tax Changes</v>
      </c>
      <c r="B36" s="43">
        <f>B20</f>
        <v>25000</v>
      </c>
      <c r="C36" s="40">
        <f t="shared" ref="C36" si="10">C12</f>
        <v>0</v>
      </c>
      <c r="D36" s="41">
        <f t="shared" si="4"/>
        <v>0</v>
      </c>
      <c r="E36" s="43">
        <f>B20</f>
        <v>25000</v>
      </c>
      <c r="F36" s="40">
        <f t="shared" ref="F36" si="11">D12</f>
        <v>-2.9999999999999997E-4</v>
      </c>
      <c r="G36" s="41">
        <f t="shared" si="6"/>
        <v>-7.4999999999999991</v>
      </c>
      <c r="H36" s="41">
        <f t="shared" si="0"/>
        <v>-7.4999999999999991</v>
      </c>
      <c r="I36" s="42">
        <f t="shared" si="7"/>
        <v>0</v>
      </c>
      <c r="J36" s="62">
        <f t="shared" si="1"/>
        <v>-8.8711724385602737E-4</v>
      </c>
    </row>
    <row r="37" spans="1:10" ht="12.75" thickBot="1" x14ac:dyDescent="0.25">
      <c r="A37" s="73" t="s">
        <v>40</v>
      </c>
      <c r="B37" s="74"/>
      <c r="C37" s="75"/>
      <c r="D37" s="76">
        <f>SUM(D28:D36)</f>
        <v>4235.88</v>
      </c>
      <c r="E37" s="75"/>
      <c r="F37" s="75"/>
      <c r="G37" s="76">
        <f>SUM(G28:G36)</f>
        <v>4537.66</v>
      </c>
      <c r="H37" s="76">
        <f t="shared" si="0"/>
        <v>301.77999999999975</v>
      </c>
      <c r="I37" s="77">
        <f t="shared" si="7"/>
        <v>7.1243755724902436E-2</v>
      </c>
      <c r="J37" s="78">
        <f t="shared" si="1"/>
        <v>0.5367248577007655</v>
      </c>
    </row>
    <row r="38" spans="1:10" x14ac:dyDescent="0.2">
      <c r="A38" s="69" t="str">
        <f>A13</f>
        <v>Retail Transmission Rate - Network Service Rate</v>
      </c>
      <c r="B38" s="99">
        <f>D20*Rates!D82</f>
        <v>77.634143999999992</v>
      </c>
      <c r="C38" s="45">
        <f>C13</f>
        <v>1.9906999999999999</v>
      </c>
      <c r="D38" s="47">
        <f>B38*C38</f>
        <v>154.54629046079998</v>
      </c>
      <c r="E38" s="99">
        <f>D20*H20</f>
        <v>77.634143999999992</v>
      </c>
      <c r="F38" s="45">
        <f>D13</f>
        <v>1.9331</v>
      </c>
      <c r="G38" s="47">
        <f>E38*F38</f>
        <v>150.07456376639999</v>
      </c>
      <c r="H38" s="47">
        <f t="shared" si="0"/>
        <v>-4.4717266943999903</v>
      </c>
      <c r="I38" s="48">
        <f t="shared" si="7"/>
        <v>-2.8934545637212983E-2</v>
      </c>
      <c r="J38" s="72">
        <f t="shared" si="1"/>
        <v>1.7751164450845919E-2</v>
      </c>
    </row>
    <row r="39" spans="1:10" ht="12.75" thickBot="1" x14ac:dyDescent="0.25">
      <c r="A39" s="63" t="str">
        <f>A14</f>
        <v>Retail Transmission Rate - Line and Transformation Connection Service Rate</v>
      </c>
      <c r="B39" s="100">
        <f>D20*Rates!D82</f>
        <v>77.634143999999992</v>
      </c>
      <c r="C39" s="65">
        <f>C14</f>
        <v>1.3992</v>
      </c>
      <c r="D39" s="66">
        <f>B39*C39</f>
        <v>108.62569428479999</v>
      </c>
      <c r="E39" s="100">
        <f>D20*H20</f>
        <v>77.634143999999992</v>
      </c>
      <c r="F39" s="65">
        <f>D14</f>
        <v>1.3469</v>
      </c>
      <c r="G39" s="66">
        <f>E39*F39</f>
        <v>104.56542855359999</v>
      </c>
      <c r="H39" s="66">
        <f t="shared" si="0"/>
        <v>-4.0602657312000048</v>
      </c>
      <c r="I39" s="67">
        <f t="shared" si="7"/>
        <v>-3.7378502001143558E-2</v>
      </c>
      <c r="J39" s="68">
        <f t="shared" si="1"/>
        <v>1.2368239304145864E-2</v>
      </c>
    </row>
    <row r="40" spans="1:10" ht="12.75" thickBot="1" x14ac:dyDescent="0.25">
      <c r="A40" s="73" t="s">
        <v>32</v>
      </c>
      <c r="B40" s="74"/>
      <c r="C40" s="75"/>
      <c r="D40" s="76">
        <f>SUM(D38:D39)</f>
        <v>263.17198474559996</v>
      </c>
      <c r="E40" s="75"/>
      <c r="F40" s="75"/>
      <c r="G40" s="76">
        <f>SUM(G38:G39)</f>
        <v>254.63999231999998</v>
      </c>
      <c r="H40" s="76">
        <f t="shared" si="0"/>
        <v>-8.5319924255999808</v>
      </c>
      <c r="I40" s="77">
        <f t="shared" si="7"/>
        <v>-3.2419835393374369E-2</v>
      </c>
      <c r="J40" s="78">
        <f t="shared" si="1"/>
        <v>3.0119403754991784E-2</v>
      </c>
    </row>
    <row r="41" spans="1:10" ht="12.75" thickBot="1" x14ac:dyDescent="0.25">
      <c r="A41" s="81" t="s">
        <v>41</v>
      </c>
      <c r="B41" s="82"/>
      <c r="C41" s="83"/>
      <c r="D41" s="84">
        <f>D37+D40</f>
        <v>4499.0519847455998</v>
      </c>
      <c r="E41" s="83"/>
      <c r="F41" s="83"/>
      <c r="G41" s="84">
        <f>G37+G40</f>
        <v>4792.2999923199995</v>
      </c>
      <c r="H41" s="84">
        <f t="shared" si="0"/>
        <v>293.24800757439971</v>
      </c>
      <c r="I41" s="85">
        <f t="shared" si="7"/>
        <v>6.5179955370304868E-2</v>
      </c>
      <c r="J41" s="86">
        <f t="shared" si="1"/>
        <v>0.56684426145575728</v>
      </c>
    </row>
    <row r="42" spans="1:10" x14ac:dyDescent="0.2">
      <c r="A42" s="69" t="str">
        <f>A15</f>
        <v>Wholesale Market Service Rate</v>
      </c>
      <c r="B42" s="44">
        <f>B20*Rates!D82</f>
        <v>27160</v>
      </c>
      <c r="C42" s="45">
        <f>C15</f>
        <v>5.1999999999999998E-3</v>
      </c>
      <c r="D42" s="47">
        <f>B42*C42</f>
        <v>141.232</v>
      </c>
      <c r="E42" s="44">
        <f>B20*H20</f>
        <v>27160</v>
      </c>
      <c r="F42" s="45">
        <f>D15</f>
        <v>4.4000000000000003E-3</v>
      </c>
      <c r="G42" s="47">
        <f>E42*F42</f>
        <v>119.504</v>
      </c>
      <c r="H42" s="47">
        <f t="shared" si="0"/>
        <v>-21.727999999999994</v>
      </c>
      <c r="I42" s="48">
        <f t="shared" si="7"/>
        <v>-0.1538461538461538</v>
      </c>
      <c r="J42" s="72">
        <f t="shared" si="1"/>
        <v>1.4135207881302762E-2</v>
      </c>
    </row>
    <row r="43" spans="1:10" x14ac:dyDescent="0.2">
      <c r="A43" s="61" t="str">
        <f>A16</f>
        <v>Rural Rate Protection Charge</v>
      </c>
      <c r="B43" s="39">
        <f>B20*Rates!D82</f>
        <v>27160</v>
      </c>
      <c r="C43" s="40">
        <f>C16</f>
        <v>1.1000000000000001E-3</v>
      </c>
      <c r="D43" s="41">
        <f>B43*C43</f>
        <v>29.876000000000001</v>
      </c>
      <c r="E43" s="39">
        <f>B20*H20</f>
        <v>27160</v>
      </c>
      <c r="F43" s="40">
        <f>D16</f>
        <v>1.1999999999999999E-3</v>
      </c>
      <c r="G43" s="41">
        <f>E43*F43</f>
        <v>32.591999999999999</v>
      </c>
      <c r="H43" s="41">
        <f t="shared" si="0"/>
        <v>2.7159999999999975</v>
      </c>
      <c r="I43" s="42">
        <f t="shared" si="7"/>
        <v>9.0909090909090828E-2</v>
      </c>
      <c r="J43" s="62">
        <f t="shared" si="1"/>
        <v>3.8550566949007528E-3</v>
      </c>
    </row>
    <row r="44" spans="1:10" ht="12.75" thickBot="1" x14ac:dyDescent="0.25">
      <c r="A44" s="63" t="str">
        <f>A17</f>
        <v>Standard Supply Service - Administarive Charge (if applicable)</v>
      </c>
      <c r="B44" s="79">
        <f>B28</f>
        <v>428</v>
      </c>
      <c r="C44" s="66">
        <f>C17</f>
        <v>0.25</v>
      </c>
      <c r="D44" s="66">
        <f>B44*C44</f>
        <v>107</v>
      </c>
      <c r="E44" s="64">
        <f>B28</f>
        <v>428</v>
      </c>
      <c r="F44" s="66">
        <f>D17</f>
        <v>0.25</v>
      </c>
      <c r="G44" s="66">
        <f>E44*F44</f>
        <v>107</v>
      </c>
      <c r="H44" s="66">
        <f t="shared" si="0"/>
        <v>0</v>
      </c>
      <c r="I44" s="67">
        <f t="shared" si="7"/>
        <v>0</v>
      </c>
      <c r="J44" s="68">
        <f t="shared" si="1"/>
        <v>1.2656206012345992E-2</v>
      </c>
    </row>
    <row r="45" spans="1:10" ht="12.75" thickBot="1" x14ac:dyDescent="0.25">
      <c r="A45" s="73" t="s">
        <v>42</v>
      </c>
      <c r="B45" s="74"/>
      <c r="C45" s="75"/>
      <c r="D45" s="76">
        <f>SUM(D42:D44)</f>
        <v>278.108</v>
      </c>
      <c r="E45" s="75"/>
      <c r="F45" s="75"/>
      <c r="G45" s="76">
        <f>SUM(G42:G44)</f>
        <v>259.096</v>
      </c>
      <c r="H45" s="76">
        <f t="shared" si="0"/>
        <v>-19.012</v>
      </c>
      <c r="I45" s="77">
        <f t="shared" si="7"/>
        <v>-6.8361931336027734E-2</v>
      </c>
      <c r="J45" s="78">
        <f t="shared" si="1"/>
        <v>3.0646470588549506E-2</v>
      </c>
    </row>
    <row r="46" spans="1:10" ht="12.75" thickBot="1" x14ac:dyDescent="0.25">
      <c r="A46" s="87" t="s">
        <v>19</v>
      </c>
      <c r="B46" s="88">
        <f>B20</f>
        <v>25000</v>
      </c>
      <c r="C46" s="89">
        <f>Rates!D77</f>
        <v>2E-3</v>
      </c>
      <c r="D46" s="90">
        <f>B46*C46</f>
        <v>50</v>
      </c>
      <c r="E46" s="88">
        <f>B20</f>
        <v>25000</v>
      </c>
      <c r="F46" s="89">
        <f>Rates!F77</f>
        <v>2E-3</v>
      </c>
      <c r="G46" s="90">
        <f>E46*F46</f>
        <v>50</v>
      </c>
      <c r="H46" s="90">
        <f t="shared" si="0"/>
        <v>0</v>
      </c>
      <c r="I46" s="91">
        <f t="shared" si="7"/>
        <v>0</v>
      </c>
      <c r="J46" s="92">
        <f t="shared" si="1"/>
        <v>5.914114959040183E-3</v>
      </c>
    </row>
    <row r="47" spans="1:10" ht="12.75" thickBot="1" x14ac:dyDescent="0.25">
      <c r="A47" s="73" t="s">
        <v>43</v>
      </c>
      <c r="B47" s="74"/>
      <c r="C47" s="75"/>
      <c r="D47" s="76">
        <f>D27+D41+D45+D46</f>
        <v>7207.4899847455999</v>
      </c>
      <c r="E47" s="75"/>
      <c r="F47" s="75"/>
      <c r="G47" s="76">
        <f>G27+G41+G45+G46</f>
        <v>7481.7259923199999</v>
      </c>
      <c r="H47" s="76">
        <f t="shared" si="0"/>
        <v>274.23600757439999</v>
      </c>
      <c r="I47" s="77">
        <f t="shared" si="7"/>
        <v>3.8048753193526581E-2</v>
      </c>
      <c r="J47" s="78">
        <f t="shared" si="1"/>
        <v>0.88495575221238942</v>
      </c>
    </row>
    <row r="48" spans="1:10" ht="12.75" thickBot="1" x14ac:dyDescent="0.25">
      <c r="A48" s="93" t="s">
        <v>45</v>
      </c>
      <c r="B48" s="94"/>
      <c r="C48" s="95">
        <f>Rates!D83</f>
        <v>0.13</v>
      </c>
      <c r="D48" s="90">
        <f>C48*D47</f>
        <v>936.97369801692798</v>
      </c>
      <c r="E48" s="96"/>
      <c r="F48" s="95">
        <f>Rates!F83</f>
        <v>0.13</v>
      </c>
      <c r="G48" s="90">
        <f>F48*G47</f>
        <v>972.6243790016</v>
      </c>
      <c r="H48" s="90">
        <f t="shared" si="0"/>
        <v>35.650680984672022</v>
      </c>
      <c r="I48" s="91">
        <f t="shared" si="7"/>
        <v>3.8048753193526602E-2</v>
      </c>
      <c r="J48" s="92">
        <f t="shared" si="1"/>
        <v>0.11504424778761063</v>
      </c>
    </row>
    <row r="49" spans="1:10" ht="12.75" thickBot="1" x14ac:dyDescent="0.25">
      <c r="A49" s="81" t="s">
        <v>33</v>
      </c>
      <c r="B49" s="82"/>
      <c r="C49" s="83"/>
      <c r="D49" s="104">
        <f>D47+D48</f>
        <v>8144.4636827625282</v>
      </c>
      <c r="E49" s="83"/>
      <c r="F49" s="83"/>
      <c r="G49" s="104">
        <f>G47+G48</f>
        <v>8454.3503713215996</v>
      </c>
      <c r="H49" s="104">
        <f t="shared" si="0"/>
        <v>309.88668855907144</v>
      </c>
      <c r="I49" s="85">
        <f t="shared" si="7"/>
        <v>3.8048753193526512E-2</v>
      </c>
      <c r="J49" s="86">
        <f t="shared" si="1"/>
        <v>1</v>
      </c>
    </row>
  </sheetData>
  <mergeCells count="4">
    <mergeCell ref="A23:A24"/>
    <mergeCell ref="B23:B24"/>
    <mergeCell ref="E23:E24"/>
    <mergeCell ref="H23:J23"/>
  </mergeCells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showGridLines="0" zoomScaleNormal="100" workbookViewId="0">
      <selection activeCell="B3" sqref="B3:L10"/>
    </sheetView>
  </sheetViews>
  <sheetFormatPr defaultRowHeight="12.75" x14ac:dyDescent="0.2"/>
  <cols>
    <col min="2" max="2" width="14.42578125" bestFit="1" customWidth="1"/>
    <col min="5" max="5" width="1.5703125" customWidth="1"/>
    <col min="6" max="7" width="9.28515625" bestFit="1" customWidth="1"/>
    <col min="9" max="9" width="1.5703125" customWidth="1"/>
    <col min="10" max="11" width="10.28515625" bestFit="1" customWidth="1"/>
  </cols>
  <sheetData>
    <row r="2" spans="2:12" ht="13.5" thickBot="1" x14ac:dyDescent="0.25"/>
    <row r="3" spans="2:12" ht="13.5" thickBot="1" x14ac:dyDescent="0.25">
      <c r="B3" s="160" t="s">
        <v>78</v>
      </c>
      <c r="C3" s="161"/>
      <c r="D3" s="161"/>
      <c r="E3" s="161"/>
      <c r="F3" s="161"/>
      <c r="G3" s="161"/>
      <c r="H3" s="161"/>
      <c r="I3" s="161"/>
      <c r="J3" s="161"/>
      <c r="K3" s="161"/>
      <c r="L3" s="162"/>
    </row>
    <row r="4" spans="2:12" x14ac:dyDescent="0.2">
      <c r="B4" s="118" t="s">
        <v>48</v>
      </c>
      <c r="C4" s="158" t="s">
        <v>49</v>
      </c>
      <c r="D4" s="158"/>
      <c r="E4" s="119"/>
      <c r="F4" s="158" t="s">
        <v>50</v>
      </c>
      <c r="G4" s="158"/>
      <c r="H4" s="158"/>
      <c r="I4" s="119"/>
      <c r="J4" s="158" t="s">
        <v>33</v>
      </c>
      <c r="K4" s="158"/>
      <c r="L4" s="159"/>
    </row>
    <row r="5" spans="2:12" x14ac:dyDescent="0.2">
      <c r="B5" s="112"/>
      <c r="C5" s="109" t="s">
        <v>27</v>
      </c>
      <c r="D5" s="109" t="s">
        <v>28</v>
      </c>
      <c r="E5" s="120"/>
      <c r="F5" s="109" t="s">
        <v>51</v>
      </c>
      <c r="G5" s="109" t="s">
        <v>52</v>
      </c>
      <c r="H5" s="109" t="s">
        <v>53</v>
      </c>
      <c r="I5" s="120"/>
      <c r="J5" s="109" t="s">
        <v>51</v>
      </c>
      <c r="K5" s="109" t="s">
        <v>52</v>
      </c>
      <c r="L5" s="113" t="s">
        <v>53</v>
      </c>
    </row>
    <row r="6" spans="2:12" x14ac:dyDescent="0.2">
      <c r="B6" s="114" t="s">
        <v>54</v>
      </c>
      <c r="C6" s="110">
        <v>800</v>
      </c>
      <c r="D6" s="110">
        <v>0</v>
      </c>
      <c r="E6" s="121"/>
      <c r="F6" s="111">
        <f>'Residential R1 Impact'!D45</f>
        <v>55.073263999999995</v>
      </c>
      <c r="G6" s="111">
        <f>'Residential R1 Impact'!G45</f>
        <v>53.205616000000006</v>
      </c>
      <c r="H6" s="142">
        <f>(G6-F6)/F6</f>
        <v>-3.391206302934921E-2</v>
      </c>
      <c r="I6" s="123"/>
      <c r="J6" s="111">
        <f>'Residential R1 Impact'!D56</f>
        <v>131.32651176000002</v>
      </c>
      <c r="K6" s="111">
        <f>'Residential R1 Impact'!G56</f>
        <v>128.808387216</v>
      </c>
      <c r="L6" s="144">
        <f>(K6-J6)/J6</f>
        <v>-1.9174533079824009E-2</v>
      </c>
    </row>
    <row r="7" spans="2:12" x14ac:dyDescent="0.2">
      <c r="B7" s="114" t="s">
        <v>54</v>
      </c>
      <c r="C7" s="110">
        <v>2000</v>
      </c>
      <c r="D7" s="110">
        <v>0</v>
      </c>
      <c r="E7" s="121"/>
      <c r="F7" s="111">
        <f>'Residential R1 Impact (2)'!D45</f>
        <v>105.41816000000001</v>
      </c>
      <c r="G7" s="111">
        <f>'Residential R1 Impact (2)'!G45</f>
        <v>98.349040000000002</v>
      </c>
      <c r="H7" s="142">
        <f>(G7-F7)/F7</f>
        <v>-6.7057895907118956E-2</v>
      </c>
      <c r="I7" s="123"/>
      <c r="J7" s="111">
        <f>'Residential R1 Impact (2)'!D56</f>
        <v>309.99502440000003</v>
      </c>
      <c r="K7" s="111">
        <f>'Residential R1 Impact (2)'!G56</f>
        <v>301.25891304000004</v>
      </c>
      <c r="L7" s="144">
        <f>(K7-J7)/J7</f>
        <v>-2.8181456708567722E-2</v>
      </c>
    </row>
    <row r="8" spans="2:12" x14ac:dyDescent="0.2">
      <c r="B8" s="114" t="s">
        <v>55</v>
      </c>
      <c r="C8" s="110">
        <v>90000</v>
      </c>
      <c r="D8" s="110">
        <v>225</v>
      </c>
      <c r="E8" s="121"/>
      <c r="F8" s="111">
        <f>'Residential R2 Impact'!D45</f>
        <v>2168.2032800000002</v>
      </c>
      <c r="G8" s="111">
        <f>'Residential R2 Impact'!G45</f>
        <v>3329.2408639999994</v>
      </c>
      <c r="H8" s="142">
        <f>(G8-F8)/F8</f>
        <v>0.53548373194970866</v>
      </c>
      <c r="I8" s="123"/>
      <c r="J8" s="111">
        <f>'Residential R2 Impact'!D53</f>
        <v>13061.647490399997</v>
      </c>
      <c r="K8" s="111">
        <f>'Residential R2 Impact'!G53</f>
        <v>14296.279144319997</v>
      </c>
      <c r="L8" s="144">
        <f>(K8-J8)/J8</f>
        <v>9.4523424769151432E-2</v>
      </c>
    </row>
    <row r="9" spans="2:12" x14ac:dyDescent="0.2">
      <c r="B9" s="114" t="s">
        <v>13</v>
      </c>
      <c r="C9" s="110">
        <v>287</v>
      </c>
      <c r="D9" s="110">
        <v>0</v>
      </c>
      <c r="E9" s="121"/>
      <c r="F9" s="111">
        <f>'Seasonal Impact'!D51*0.9</f>
        <v>60.485868863999997</v>
      </c>
      <c r="G9" s="111">
        <f>'Seasonal Impact'!G51*0.9</f>
        <v>67.511612015999987</v>
      </c>
      <c r="H9" s="142">
        <f>(G9-F9)/F9</f>
        <v>0.11615511662396859</v>
      </c>
      <c r="I9" s="123"/>
      <c r="J9" s="111">
        <f>'Seasonal Impact'!D62</f>
        <v>94.967054013599977</v>
      </c>
      <c r="K9" s="111">
        <f>'Seasonal Impact'!G62</f>
        <v>102.68417563343999</v>
      </c>
      <c r="L9" s="144">
        <f>(K9-J9)/J9</f>
        <v>8.1261040473413718E-2</v>
      </c>
    </row>
    <row r="10" spans="2:12" ht="13.5" thickBot="1" x14ac:dyDescent="0.25">
      <c r="B10" s="115" t="s">
        <v>14</v>
      </c>
      <c r="C10" s="116">
        <v>25000</v>
      </c>
      <c r="D10" s="116">
        <v>71.459999999999994</v>
      </c>
      <c r="E10" s="122"/>
      <c r="F10" s="117">
        <f>'Street Light Impact'!D41</f>
        <v>4499.0519847455998</v>
      </c>
      <c r="G10" s="117">
        <f>'Street Light Impact'!G41</f>
        <v>4417.2999923199995</v>
      </c>
      <c r="H10" s="143">
        <f>(G10-F10)/F10</f>
        <v>-1.8170937500341638E-2</v>
      </c>
      <c r="I10" s="124"/>
      <c r="J10" s="117">
        <f>'Street Light Impact'!D49</f>
        <v>8144.4636827625282</v>
      </c>
      <c r="K10" s="117">
        <f>'Street Light Impact'!G49</f>
        <v>8030.6003713215996</v>
      </c>
      <c r="L10" s="145">
        <f>(K10-J10)/J10</f>
        <v>-1.398045542052281E-2</v>
      </c>
    </row>
  </sheetData>
  <mergeCells count="4">
    <mergeCell ref="C4:D4"/>
    <mergeCell ref="F4:H4"/>
    <mergeCell ref="J4:L4"/>
    <mergeCell ref="B3:L3"/>
  </mergeCells>
  <pageMargins left="0.75" right="0.75" top="1" bottom="1" header="0.5" footer="0.5"/>
  <pageSetup scale="75" orientation="portrait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opLeftCell="A7" zoomScaleNormal="100" workbookViewId="0">
      <selection activeCell="F52" sqref="F52"/>
    </sheetView>
  </sheetViews>
  <sheetFormatPr defaultRowHeight="12.75" x14ac:dyDescent="0.2"/>
  <cols>
    <col min="1" max="1" width="9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1" spans="1:7" ht="51" x14ac:dyDescent="0.2">
      <c r="A1" s="1" t="s">
        <v>0</v>
      </c>
      <c r="B1" s="9" t="s">
        <v>25</v>
      </c>
      <c r="C1" s="9"/>
      <c r="D1" s="10" t="s">
        <v>74</v>
      </c>
      <c r="E1" s="9"/>
      <c r="F1" s="10" t="s">
        <v>75</v>
      </c>
    </row>
    <row r="2" spans="1:7" x14ac:dyDescent="0.2">
      <c r="A2" s="1" t="s">
        <v>1</v>
      </c>
    </row>
    <row r="3" spans="1:7" x14ac:dyDescent="0.2">
      <c r="A3" t="s">
        <v>3</v>
      </c>
      <c r="B3" s="2" t="s">
        <v>15</v>
      </c>
      <c r="D3" s="3">
        <v>21.51</v>
      </c>
      <c r="E3" s="101"/>
      <c r="F3" s="3">
        <v>22.32</v>
      </c>
    </row>
    <row r="4" spans="1:7" x14ac:dyDescent="0.2">
      <c r="A4" t="s">
        <v>2</v>
      </c>
      <c r="B4" s="2" t="s">
        <v>15</v>
      </c>
      <c r="D4" s="6"/>
      <c r="E4" s="3"/>
      <c r="F4" s="6">
        <v>0</v>
      </c>
    </row>
    <row r="5" spans="1:7" x14ac:dyDescent="0.2">
      <c r="A5" t="s">
        <v>4</v>
      </c>
      <c r="B5" s="2" t="s">
        <v>16</v>
      </c>
      <c r="D5" s="4">
        <v>3.0200000000000001E-2</v>
      </c>
      <c r="E5" s="101"/>
      <c r="F5" s="4">
        <v>3.1300000000000001E-2</v>
      </c>
    </row>
    <row r="6" spans="1:7" x14ac:dyDescent="0.2">
      <c r="A6" t="s">
        <v>59</v>
      </c>
      <c r="B6" s="2" t="s">
        <v>16</v>
      </c>
      <c r="D6" s="4"/>
      <c r="E6" s="101"/>
      <c r="F6" s="4">
        <v>0</v>
      </c>
    </row>
    <row r="7" spans="1:7" x14ac:dyDescent="0.2">
      <c r="A7" t="s">
        <v>70</v>
      </c>
      <c r="B7" s="2" t="s">
        <v>16</v>
      </c>
      <c r="D7" s="4"/>
      <c r="E7" s="101"/>
      <c r="F7" s="4">
        <v>4.0000000000000002E-4</v>
      </c>
    </row>
    <row r="8" spans="1:7" x14ac:dyDescent="0.2">
      <c r="A8" s="108" t="s">
        <v>64</v>
      </c>
      <c r="B8" s="2" t="s">
        <v>16</v>
      </c>
      <c r="D8" s="107">
        <v>4.5999999999999999E-3</v>
      </c>
      <c r="F8" s="107">
        <v>4.5999999999999999E-3</v>
      </c>
    </row>
    <row r="9" spans="1:7" x14ac:dyDescent="0.2">
      <c r="A9" s="108" t="s">
        <v>65</v>
      </c>
      <c r="B9" s="2" t="s">
        <v>16</v>
      </c>
      <c r="D9" s="107">
        <v>-6.1000000000000004E-3</v>
      </c>
      <c r="F9" s="107">
        <v>-6.1000000000000004E-3</v>
      </c>
    </row>
    <row r="10" spans="1:7" x14ac:dyDescent="0.2">
      <c r="A10" s="108" t="s">
        <v>66</v>
      </c>
      <c r="B10" s="2" t="s">
        <v>16</v>
      </c>
      <c r="D10" s="107"/>
      <c r="F10" s="107">
        <v>-5.1999999999999998E-3</v>
      </c>
      <c r="G10" s="147"/>
    </row>
    <row r="11" spans="1:7" x14ac:dyDescent="0.2">
      <c r="A11" s="108" t="s">
        <v>67</v>
      </c>
      <c r="B11" s="2" t="s">
        <v>16</v>
      </c>
      <c r="D11" s="107"/>
      <c r="F11" s="107">
        <v>1.4999999999999999E-2</v>
      </c>
      <c r="G11" s="147"/>
    </row>
    <row r="12" spans="1:7" x14ac:dyDescent="0.2">
      <c r="A12" s="108" t="s">
        <v>68</v>
      </c>
      <c r="B12" s="2" t="s">
        <v>16</v>
      </c>
      <c r="D12" s="4"/>
      <c r="E12" s="3"/>
      <c r="F12" s="107">
        <v>-2.0000000000000001E-4</v>
      </c>
      <c r="G12" s="147"/>
    </row>
    <row r="13" spans="1:7" x14ac:dyDescent="0.2">
      <c r="A13" t="s">
        <v>5</v>
      </c>
      <c r="B13" s="2" t="s">
        <v>16</v>
      </c>
      <c r="D13" s="4">
        <v>7.1000000000000004E-3</v>
      </c>
      <c r="E13" s="5"/>
      <c r="F13" s="107">
        <v>6.8999999999999999E-3</v>
      </c>
      <c r="G13" s="147"/>
    </row>
    <row r="14" spans="1:7" x14ac:dyDescent="0.2">
      <c r="A14" t="s">
        <v>6</v>
      </c>
      <c r="B14" s="2" t="s">
        <v>16</v>
      </c>
      <c r="D14" s="4">
        <v>5.1000000000000004E-3</v>
      </c>
      <c r="E14" s="7"/>
      <c r="F14" s="107">
        <v>4.8999999999999998E-3</v>
      </c>
      <c r="G14" s="147"/>
    </row>
    <row r="15" spans="1:7" x14ac:dyDescent="0.2">
      <c r="A15" t="s">
        <v>7</v>
      </c>
      <c r="B15" s="2" t="s">
        <v>16</v>
      </c>
      <c r="D15" s="4">
        <v>5.1999999999999998E-3</v>
      </c>
      <c r="E15" s="3"/>
      <c r="F15" s="4">
        <v>4.4000000000000003E-3</v>
      </c>
    </row>
    <row r="16" spans="1:7" x14ac:dyDescent="0.2">
      <c r="A16" t="s">
        <v>8</v>
      </c>
      <c r="B16" s="2" t="s">
        <v>16</v>
      </c>
      <c r="D16" s="4">
        <v>1.1000000000000001E-3</v>
      </c>
      <c r="E16" s="4"/>
      <c r="F16" s="4">
        <v>1.1999999999999999E-3</v>
      </c>
    </row>
    <row r="17" spans="1:7" x14ac:dyDescent="0.2">
      <c r="A17" t="s">
        <v>71</v>
      </c>
      <c r="B17" s="2" t="s">
        <v>15</v>
      </c>
      <c r="D17" s="103"/>
      <c r="E17" s="4"/>
      <c r="F17" s="3">
        <v>0.79</v>
      </c>
    </row>
    <row r="18" spans="1:7" x14ac:dyDescent="0.2">
      <c r="A18" t="s">
        <v>9</v>
      </c>
      <c r="B18" s="2" t="s">
        <v>15</v>
      </c>
      <c r="D18" s="3">
        <v>0.25</v>
      </c>
      <c r="E18" s="3"/>
      <c r="F18" s="3">
        <v>0.25</v>
      </c>
    </row>
    <row r="20" spans="1:7" x14ac:dyDescent="0.2">
      <c r="A20" s="1" t="s">
        <v>10</v>
      </c>
    </row>
    <row r="21" spans="1:7" x14ac:dyDescent="0.2">
      <c r="A21" t="s">
        <v>3</v>
      </c>
      <c r="B21" s="2" t="s">
        <v>15</v>
      </c>
      <c r="D21" s="3">
        <v>596.12</v>
      </c>
      <c r="E21" s="101"/>
      <c r="F21" s="3">
        <v>596.12</v>
      </c>
    </row>
    <row r="22" spans="1:7" x14ac:dyDescent="0.2">
      <c r="A22" t="s">
        <v>2</v>
      </c>
      <c r="B22" s="2" t="s">
        <v>15</v>
      </c>
      <c r="D22" s="6"/>
      <c r="E22" s="3"/>
      <c r="F22" s="6">
        <v>0</v>
      </c>
    </row>
    <row r="23" spans="1:7" x14ac:dyDescent="0.2">
      <c r="A23" t="s">
        <v>4</v>
      </c>
      <c r="B23" s="2" t="s">
        <v>17</v>
      </c>
      <c r="D23" s="4">
        <v>2.7086000000000001</v>
      </c>
      <c r="E23" s="101"/>
      <c r="F23" s="4">
        <v>2.8948999999999998</v>
      </c>
    </row>
    <row r="24" spans="1:7" x14ac:dyDescent="0.2">
      <c r="A24" t="s">
        <v>59</v>
      </c>
      <c r="B24" s="2" t="s">
        <v>17</v>
      </c>
      <c r="D24" s="4"/>
      <c r="E24" s="101"/>
      <c r="F24" s="4">
        <v>0</v>
      </c>
    </row>
    <row r="25" spans="1:7" x14ac:dyDescent="0.2">
      <c r="A25" t="s">
        <v>70</v>
      </c>
      <c r="B25" s="2" t="s">
        <v>17</v>
      </c>
      <c r="D25" s="4"/>
      <c r="E25" s="101"/>
      <c r="F25" s="4">
        <v>3.73E-2</v>
      </c>
    </row>
    <row r="26" spans="1:7" x14ac:dyDescent="0.2">
      <c r="A26" s="108" t="s">
        <v>64</v>
      </c>
      <c r="B26" s="2" t="s">
        <v>17</v>
      </c>
      <c r="D26" s="107">
        <v>2.2664</v>
      </c>
      <c r="F26" s="107">
        <v>2.2664</v>
      </c>
    </row>
    <row r="27" spans="1:7" x14ac:dyDescent="0.2">
      <c r="A27" s="108" t="s">
        <v>65</v>
      </c>
      <c r="B27" s="2" t="s">
        <v>17</v>
      </c>
      <c r="D27" s="107">
        <v>-2.8218999999999999</v>
      </c>
      <c r="F27" s="107">
        <v>-2.8218999999999999</v>
      </c>
    </row>
    <row r="28" spans="1:7" x14ac:dyDescent="0.2">
      <c r="A28" s="108" t="s">
        <v>66</v>
      </c>
      <c r="B28" s="2" t="s">
        <v>17</v>
      </c>
      <c r="D28" s="107"/>
      <c r="F28" s="107">
        <v>-1.3006</v>
      </c>
      <c r="G28" s="147"/>
    </row>
    <row r="29" spans="1:7" x14ac:dyDescent="0.2">
      <c r="A29" s="108" t="s">
        <v>67</v>
      </c>
      <c r="B29" s="2" t="s">
        <v>17</v>
      </c>
      <c r="D29" s="107"/>
      <c r="F29" s="107">
        <v>6.4234999999999998</v>
      </c>
      <c r="G29" s="147"/>
    </row>
    <row r="30" spans="1:7" x14ac:dyDescent="0.2">
      <c r="A30" s="108" t="s">
        <v>69</v>
      </c>
      <c r="B30" s="2" t="s">
        <v>17</v>
      </c>
      <c r="D30" s="4"/>
      <c r="E30" s="3"/>
      <c r="F30" s="107">
        <v>-0.03</v>
      </c>
      <c r="G30" s="147"/>
    </row>
    <row r="31" spans="1:7" x14ac:dyDescent="0.2">
      <c r="A31" t="s">
        <v>5</v>
      </c>
      <c r="B31" s="2" t="s">
        <v>17</v>
      </c>
      <c r="D31" s="4">
        <v>2.6396000000000002</v>
      </c>
      <c r="E31" s="5"/>
      <c r="F31" s="107">
        <v>2.5632999999999999</v>
      </c>
      <c r="G31" s="147"/>
    </row>
    <row r="32" spans="1:7" x14ac:dyDescent="0.2">
      <c r="A32" t="s">
        <v>6</v>
      </c>
      <c r="B32" s="2" t="s">
        <v>17</v>
      </c>
      <c r="D32" s="4">
        <v>1.8099000000000001</v>
      </c>
      <c r="E32" s="7"/>
      <c r="F32" s="107">
        <v>1.7423</v>
      </c>
      <c r="G32" s="147"/>
    </row>
    <row r="33" spans="1:7" x14ac:dyDescent="0.2">
      <c r="A33" t="s">
        <v>11</v>
      </c>
      <c r="B33" s="2" t="s">
        <v>17</v>
      </c>
      <c r="D33" s="4">
        <v>2.8001</v>
      </c>
      <c r="E33" s="5"/>
      <c r="F33" s="107">
        <v>2.7191000000000001</v>
      </c>
      <c r="G33" s="147"/>
    </row>
    <row r="34" spans="1:7" x14ac:dyDescent="0.2">
      <c r="A34" t="s">
        <v>12</v>
      </c>
      <c r="B34" s="2" t="s">
        <v>17</v>
      </c>
      <c r="D34" s="4">
        <v>2.0003000000000002</v>
      </c>
      <c r="E34" s="7"/>
      <c r="F34" s="107">
        <v>1.9255</v>
      </c>
      <c r="G34" s="147"/>
    </row>
    <row r="35" spans="1:7" x14ac:dyDescent="0.2">
      <c r="A35" t="s">
        <v>7</v>
      </c>
      <c r="B35" s="2" t="s">
        <v>16</v>
      </c>
      <c r="D35" s="4">
        <v>5.1999999999999998E-3</v>
      </c>
      <c r="E35" s="3"/>
      <c r="F35" s="4">
        <v>4.4000000000000003E-3</v>
      </c>
    </row>
    <row r="36" spans="1:7" x14ac:dyDescent="0.2">
      <c r="A36" t="s">
        <v>8</v>
      </c>
      <c r="B36" s="2" t="s">
        <v>16</v>
      </c>
      <c r="D36" s="4">
        <v>1.1000000000000001E-3</v>
      </c>
      <c r="E36" s="4"/>
      <c r="F36" s="4">
        <v>1.1999999999999999E-3</v>
      </c>
    </row>
    <row r="37" spans="1:7" x14ac:dyDescent="0.2">
      <c r="A37" t="s">
        <v>9</v>
      </c>
      <c r="B37" s="2" t="s">
        <v>15</v>
      </c>
      <c r="D37" s="3">
        <v>0.25</v>
      </c>
      <c r="E37" s="3"/>
      <c r="F37" s="3">
        <v>0.25</v>
      </c>
    </row>
    <row r="39" spans="1:7" x14ac:dyDescent="0.2">
      <c r="A39" s="1" t="s">
        <v>13</v>
      </c>
    </row>
    <row r="40" spans="1:7" x14ac:dyDescent="0.2">
      <c r="A40" t="s">
        <v>3</v>
      </c>
      <c r="B40" s="2" t="s">
        <v>15</v>
      </c>
      <c r="D40" s="3">
        <v>26.15</v>
      </c>
      <c r="E40" s="101"/>
      <c r="F40" s="3">
        <v>26.38</v>
      </c>
    </row>
    <row r="41" spans="1:7" x14ac:dyDescent="0.2">
      <c r="A41" t="s">
        <v>2</v>
      </c>
      <c r="B41" s="2" t="s">
        <v>15</v>
      </c>
      <c r="D41" s="6"/>
      <c r="E41" s="3"/>
      <c r="F41" s="6">
        <v>0</v>
      </c>
    </row>
    <row r="42" spans="1:7" x14ac:dyDescent="0.2">
      <c r="A42" t="s">
        <v>4</v>
      </c>
      <c r="B42" s="2" t="s">
        <v>16</v>
      </c>
      <c r="D42" s="4">
        <v>0.10059999999999999</v>
      </c>
      <c r="E42" s="101"/>
      <c r="F42" s="4">
        <v>0.10150000000000001</v>
      </c>
    </row>
    <row r="43" spans="1:7" x14ac:dyDescent="0.2">
      <c r="A43" t="s">
        <v>59</v>
      </c>
      <c r="B43" s="2" t="s">
        <v>16</v>
      </c>
      <c r="D43" s="4"/>
      <c r="E43" s="101"/>
      <c r="F43" s="4">
        <v>0</v>
      </c>
    </row>
    <row r="44" spans="1:7" x14ac:dyDescent="0.2">
      <c r="A44" t="s">
        <v>70</v>
      </c>
      <c r="B44" s="2" t="s">
        <v>16</v>
      </c>
      <c r="D44" s="4"/>
      <c r="E44" s="101"/>
      <c r="F44" s="4">
        <v>2.9999999999999997E-4</v>
      </c>
    </row>
    <row r="45" spans="1:7" x14ac:dyDescent="0.2">
      <c r="A45" s="108" t="s">
        <v>64</v>
      </c>
      <c r="B45" s="2" t="s">
        <v>16</v>
      </c>
      <c r="D45" s="107">
        <v>4.5999999999999999E-3</v>
      </c>
      <c r="F45" s="107">
        <v>4.5999999999999999E-3</v>
      </c>
    </row>
    <row r="46" spans="1:7" x14ac:dyDescent="0.2">
      <c r="A46" s="108" t="s">
        <v>65</v>
      </c>
      <c r="B46" s="2" t="s">
        <v>16</v>
      </c>
      <c r="D46" s="107">
        <v>-6.1000000000000004E-3</v>
      </c>
      <c r="F46" s="107">
        <v>-6.1000000000000004E-3</v>
      </c>
    </row>
    <row r="47" spans="1:7" x14ac:dyDescent="0.2">
      <c r="A47" s="108" t="s">
        <v>47</v>
      </c>
      <c r="B47" s="2" t="s">
        <v>16</v>
      </c>
      <c r="D47" s="107">
        <v>3.0700000000000002E-2</v>
      </c>
      <c r="F47" s="107">
        <v>3.0700000000000002E-2</v>
      </c>
    </row>
    <row r="48" spans="1:7" x14ac:dyDescent="0.2">
      <c r="A48" s="108" t="s">
        <v>66</v>
      </c>
      <c r="B48" s="2" t="s">
        <v>16</v>
      </c>
      <c r="D48" s="107"/>
      <c r="F48" s="107">
        <v>-5.5999999999999999E-3</v>
      </c>
      <c r="G48" s="147"/>
    </row>
    <row r="49" spans="1:7" x14ac:dyDescent="0.2">
      <c r="A49" s="108" t="s">
        <v>67</v>
      </c>
      <c r="B49" s="2" t="s">
        <v>16</v>
      </c>
      <c r="D49" s="107"/>
      <c r="F49" s="107">
        <v>1.4999999999999999E-2</v>
      </c>
      <c r="G49" s="147"/>
    </row>
    <row r="50" spans="1:7" x14ac:dyDescent="0.2">
      <c r="A50" s="108" t="s">
        <v>72</v>
      </c>
      <c r="B50" s="2" t="s">
        <v>15</v>
      </c>
      <c r="D50" s="107"/>
      <c r="F50" s="3">
        <v>3.57</v>
      </c>
      <c r="G50" s="147"/>
    </row>
    <row r="51" spans="1:7" x14ac:dyDescent="0.2">
      <c r="A51" s="108" t="s">
        <v>73</v>
      </c>
      <c r="B51" s="2" t="s">
        <v>15</v>
      </c>
      <c r="D51" s="107"/>
      <c r="F51" s="3">
        <v>4.6900000000000004</v>
      </c>
      <c r="G51" s="147"/>
    </row>
    <row r="52" spans="1:7" x14ac:dyDescent="0.2">
      <c r="A52" s="108" t="s">
        <v>69</v>
      </c>
      <c r="B52" s="2" t="s">
        <v>16</v>
      </c>
      <c r="D52" s="4"/>
      <c r="E52" s="3"/>
      <c r="F52" s="107">
        <v>-2.9999999999999997E-4</v>
      </c>
      <c r="G52" s="147"/>
    </row>
    <row r="53" spans="1:7" x14ac:dyDescent="0.2">
      <c r="A53" t="s">
        <v>5</v>
      </c>
      <c r="B53" s="2" t="s">
        <v>16</v>
      </c>
      <c r="D53" s="4">
        <v>7.1000000000000004E-3</v>
      </c>
      <c r="E53" s="5"/>
      <c r="F53" s="107">
        <v>6.8999999999999999E-3</v>
      </c>
      <c r="G53" s="147"/>
    </row>
    <row r="54" spans="1:7" x14ac:dyDescent="0.2">
      <c r="A54" t="s">
        <v>6</v>
      </c>
      <c r="B54" s="2" t="s">
        <v>16</v>
      </c>
      <c r="D54" s="4">
        <v>5.1000000000000004E-3</v>
      </c>
      <c r="E54" s="7"/>
      <c r="F54" s="107">
        <v>4.8999999999999998E-3</v>
      </c>
      <c r="G54" s="147"/>
    </row>
    <row r="55" spans="1:7" x14ac:dyDescent="0.2">
      <c r="A55" t="s">
        <v>7</v>
      </c>
      <c r="B55" s="2" t="s">
        <v>16</v>
      </c>
      <c r="D55" s="4">
        <v>5.1999999999999998E-3</v>
      </c>
      <c r="E55" s="3"/>
      <c r="F55" s="4">
        <v>4.4000000000000003E-3</v>
      </c>
    </row>
    <row r="56" spans="1:7" x14ac:dyDescent="0.2">
      <c r="A56" t="s">
        <v>8</v>
      </c>
      <c r="B56" s="2" t="s">
        <v>16</v>
      </c>
      <c r="D56" s="4">
        <v>1.1000000000000001E-3</v>
      </c>
      <c r="E56" s="4"/>
      <c r="F56" s="4">
        <v>1.1999999999999999E-3</v>
      </c>
    </row>
    <row r="57" spans="1:7" x14ac:dyDescent="0.2">
      <c r="A57" t="s">
        <v>71</v>
      </c>
      <c r="B57" s="2" t="s">
        <v>15</v>
      </c>
      <c r="D57" s="103"/>
      <c r="E57" s="4"/>
      <c r="F57" s="3">
        <v>0.79</v>
      </c>
    </row>
    <row r="58" spans="1:7" x14ac:dyDescent="0.2">
      <c r="A58" t="s">
        <v>9</v>
      </c>
      <c r="B58" s="2" t="s">
        <v>15</v>
      </c>
      <c r="D58" s="3">
        <v>0.25</v>
      </c>
      <c r="E58" s="3"/>
      <c r="F58" s="3">
        <v>0.25</v>
      </c>
    </row>
    <row r="60" spans="1:7" x14ac:dyDescent="0.2">
      <c r="A60" s="1" t="s">
        <v>14</v>
      </c>
    </row>
    <row r="61" spans="1:7" x14ac:dyDescent="0.2">
      <c r="A61" t="s">
        <v>3</v>
      </c>
      <c r="B61" s="2" t="s">
        <v>15</v>
      </c>
      <c r="D61" s="3">
        <v>0.96</v>
      </c>
      <c r="E61" s="101"/>
      <c r="F61" s="3">
        <v>0.97</v>
      </c>
    </row>
    <row r="62" spans="1:7" x14ac:dyDescent="0.2">
      <c r="A62" t="s">
        <v>4</v>
      </c>
      <c r="B62" s="2" t="s">
        <v>16</v>
      </c>
      <c r="D62" s="4">
        <v>0.15429999999999999</v>
      </c>
      <c r="E62" s="101"/>
      <c r="F62" s="4">
        <v>0.15570000000000001</v>
      </c>
    </row>
    <row r="63" spans="1:7" x14ac:dyDescent="0.2">
      <c r="A63" t="s">
        <v>59</v>
      </c>
      <c r="B63" s="2" t="s">
        <v>16</v>
      </c>
      <c r="D63" s="4"/>
      <c r="E63" s="101"/>
      <c r="F63" s="4">
        <v>0</v>
      </c>
    </row>
    <row r="64" spans="1:7" x14ac:dyDescent="0.2">
      <c r="A64" t="s">
        <v>70</v>
      </c>
      <c r="B64" s="2" t="s">
        <v>16</v>
      </c>
      <c r="D64" s="4"/>
      <c r="E64" s="101"/>
      <c r="F64" s="4">
        <v>2.9999999999999997E-4</v>
      </c>
    </row>
    <row r="65" spans="1:7" x14ac:dyDescent="0.2">
      <c r="A65" s="108" t="s">
        <v>64</v>
      </c>
      <c r="B65" s="2" t="s">
        <v>16</v>
      </c>
      <c r="D65" s="107">
        <v>4.7999999999999996E-3</v>
      </c>
      <c r="F65" s="107">
        <v>4.7999999999999996E-3</v>
      </c>
    </row>
    <row r="66" spans="1:7" x14ac:dyDescent="0.2">
      <c r="A66" s="108" t="s">
        <v>65</v>
      </c>
      <c r="B66" s="2" t="s">
        <v>16</v>
      </c>
      <c r="D66" s="107">
        <v>-6.1000000000000004E-3</v>
      </c>
      <c r="F66" s="107">
        <v>-6.1000000000000004E-3</v>
      </c>
    </row>
    <row r="67" spans="1:7" x14ac:dyDescent="0.2">
      <c r="A67" s="108" t="s">
        <v>66</v>
      </c>
      <c r="B67" s="2" t="s">
        <v>16</v>
      </c>
      <c r="D67" s="107"/>
      <c r="F67" s="107">
        <v>-4.4999999999999997E-3</v>
      </c>
      <c r="G67" s="147"/>
    </row>
    <row r="68" spans="1:7" x14ac:dyDescent="0.2">
      <c r="A68" s="108" t="s">
        <v>67</v>
      </c>
      <c r="B68" s="2" t="s">
        <v>16</v>
      </c>
      <c r="D68" s="107"/>
      <c r="F68" s="107">
        <v>1.4999999999999999E-2</v>
      </c>
      <c r="G68" s="147"/>
    </row>
    <row r="69" spans="1:7" x14ac:dyDescent="0.2">
      <c r="A69" s="108" t="s">
        <v>69</v>
      </c>
      <c r="B69" s="2" t="s">
        <v>16</v>
      </c>
      <c r="D69" s="4"/>
      <c r="E69" s="3"/>
      <c r="F69" s="107">
        <v>-2.9999999999999997E-4</v>
      </c>
      <c r="G69" s="147"/>
    </row>
    <row r="70" spans="1:7" x14ac:dyDescent="0.2">
      <c r="A70" t="s">
        <v>5</v>
      </c>
      <c r="B70" s="2" t="s">
        <v>17</v>
      </c>
      <c r="D70" s="4">
        <v>1.9906999999999999</v>
      </c>
      <c r="E70" s="5"/>
      <c r="F70" s="107">
        <v>1.9331</v>
      </c>
      <c r="G70" s="147"/>
    </row>
    <row r="71" spans="1:7" x14ac:dyDescent="0.2">
      <c r="A71" t="s">
        <v>6</v>
      </c>
      <c r="B71" s="2" t="s">
        <v>17</v>
      </c>
      <c r="D71" s="4">
        <v>1.3992</v>
      </c>
      <c r="E71" s="7"/>
      <c r="F71" s="107">
        <v>1.3469</v>
      </c>
      <c r="G71" s="147"/>
    </row>
    <row r="72" spans="1:7" x14ac:dyDescent="0.2">
      <c r="A72" t="s">
        <v>7</v>
      </c>
      <c r="B72" s="2" t="s">
        <v>16</v>
      </c>
      <c r="D72" s="4">
        <v>5.1999999999999998E-3</v>
      </c>
      <c r="E72" s="3"/>
      <c r="F72" s="4">
        <v>4.4000000000000003E-3</v>
      </c>
    </row>
    <row r="73" spans="1:7" x14ac:dyDescent="0.2">
      <c r="A73" t="s">
        <v>8</v>
      </c>
      <c r="B73" s="2" t="s">
        <v>16</v>
      </c>
      <c r="D73" s="4">
        <v>1.1000000000000001E-3</v>
      </c>
      <c r="E73" s="4"/>
      <c r="F73" s="4">
        <v>1.1999999999999999E-3</v>
      </c>
    </row>
    <row r="74" spans="1:7" x14ac:dyDescent="0.2">
      <c r="A74" t="s">
        <v>9</v>
      </c>
      <c r="B74" s="2" t="s">
        <v>15</v>
      </c>
      <c r="D74" s="3">
        <v>0.25</v>
      </c>
      <c r="E74" s="3"/>
      <c r="F74" s="3">
        <v>0.25</v>
      </c>
    </row>
    <row r="76" spans="1:7" x14ac:dyDescent="0.2">
      <c r="A76" s="1" t="s">
        <v>18</v>
      </c>
    </row>
    <row r="77" spans="1:7" x14ac:dyDescent="0.2">
      <c r="A77" t="s">
        <v>19</v>
      </c>
      <c r="B77" s="2" t="s">
        <v>16</v>
      </c>
      <c r="D77" s="4">
        <v>2E-3</v>
      </c>
      <c r="F77" s="4">
        <v>2E-3</v>
      </c>
    </row>
    <row r="78" spans="1:7" x14ac:dyDescent="0.2">
      <c r="A78" t="s">
        <v>20</v>
      </c>
      <c r="B78" s="2" t="s">
        <v>16</v>
      </c>
      <c r="D78" s="4">
        <v>7.4999999999999997E-2</v>
      </c>
      <c r="F78" s="4">
        <v>7.4999999999999997E-2</v>
      </c>
    </row>
    <row r="79" spans="1:7" x14ac:dyDescent="0.2">
      <c r="A79" t="s">
        <v>21</v>
      </c>
      <c r="B79" s="2" t="s">
        <v>16</v>
      </c>
      <c r="D79" s="4">
        <v>8.7999999999999995E-2</v>
      </c>
      <c r="F79" s="4">
        <v>8.7999999999999995E-2</v>
      </c>
    </row>
    <row r="81" spans="1:6" x14ac:dyDescent="0.2">
      <c r="A81" s="1" t="s">
        <v>23</v>
      </c>
      <c r="E81" s="3"/>
    </row>
    <row r="82" spans="1:6" x14ac:dyDescent="0.2">
      <c r="A82" t="s">
        <v>24</v>
      </c>
      <c r="D82" s="4">
        <v>1.0864</v>
      </c>
      <c r="F82" s="4">
        <v>1.0864</v>
      </c>
    </row>
    <row r="83" spans="1:6" x14ac:dyDescent="0.2">
      <c r="A83" t="s">
        <v>45</v>
      </c>
      <c r="D83" s="105">
        <v>0.13</v>
      </c>
      <c r="F83" s="105">
        <v>0.13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scale="60" orientation="portrait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6"/>
  <sheetViews>
    <sheetView zoomScaleNormal="100" workbookViewId="0">
      <selection activeCell="O35" sqref="O35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</f>
        <v>Residential - R1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Rates!A3</f>
        <v>Monthly Service Charge</v>
      </c>
      <c r="B4" s="24" t="str">
        <f>Rates!B3</f>
        <v>$</v>
      </c>
      <c r="C4" s="25">
        <f>Rates!D3</f>
        <v>21.51</v>
      </c>
      <c r="D4" s="26">
        <f>Rates!F3</f>
        <v>22.32</v>
      </c>
    </row>
    <row r="5" spans="1:4" x14ac:dyDescent="0.2">
      <c r="A5" s="27" t="str">
        <f>Rates!A4</f>
        <v>Smart Meter Rate Adder</v>
      </c>
      <c r="B5" s="28" t="str">
        <f>Rates!B4</f>
        <v>$</v>
      </c>
      <c r="C5" s="29">
        <f>Rates!D4</f>
        <v>0</v>
      </c>
      <c r="D5" s="30">
        <f>Rates!F4</f>
        <v>0</v>
      </c>
    </row>
    <row r="6" spans="1:4" x14ac:dyDescent="0.2">
      <c r="A6" s="106" t="str">
        <f>Rates!A17</f>
        <v>Smart Meter Entity Charge - effective May 1, 2013 until October 31, 2018</v>
      </c>
      <c r="B6" s="28" t="str">
        <f>Rates!B17</f>
        <v>$</v>
      </c>
      <c r="C6" s="31">
        <f>Rates!D17</f>
        <v>0</v>
      </c>
      <c r="D6" s="32">
        <f>Rates!F17</f>
        <v>0.79</v>
      </c>
    </row>
    <row r="7" spans="1:4" x14ac:dyDescent="0.2">
      <c r="A7" s="27" t="str">
        <f>Rates!A5</f>
        <v>Distribution Volumetric Rate</v>
      </c>
      <c r="B7" s="28" t="str">
        <f>Rates!B5</f>
        <v>$/kWh</v>
      </c>
      <c r="C7" s="31">
        <f>Rates!D5</f>
        <v>3.0200000000000001E-2</v>
      </c>
      <c r="D7" s="32">
        <f>Rates!F5</f>
        <v>3.1300000000000001E-2</v>
      </c>
    </row>
    <row r="8" spans="1:4" x14ac:dyDescent="0.2">
      <c r="A8" s="27" t="str">
        <f>Rates!A6</f>
        <v>Rate Rider for Foregone Revenue Recovery - effective until December 31, 2012</v>
      </c>
      <c r="B8" s="28" t="str">
        <f>Rates!B6</f>
        <v>$/kWh</v>
      </c>
      <c r="C8" s="31">
        <f>Rates!D6</f>
        <v>0</v>
      </c>
      <c r="D8" s="32">
        <f>Rates!F6</f>
        <v>0</v>
      </c>
    </row>
    <row r="9" spans="1:4" x14ac:dyDescent="0.2">
      <c r="A9" s="27" t="str">
        <f>Rates!A7</f>
        <v>Rate Rider for Foregone Revenue Recovery - effective until December 31, 2014</v>
      </c>
      <c r="B9" s="28" t="str">
        <f>Rates!B7</f>
        <v>$/kWh</v>
      </c>
      <c r="C9" s="31">
        <f>Rates!D7</f>
        <v>0</v>
      </c>
      <c r="D9" s="32">
        <f>Rates!F7</f>
        <v>4.0000000000000002E-4</v>
      </c>
    </row>
    <row r="10" spans="1:4" x14ac:dyDescent="0.2">
      <c r="A10" s="27" t="str">
        <f>Rates!A8</f>
        <v>Rate Rider for Deferral/Variance Account Disposition (2010) - effective until May 31, 2013</v>
      </c>
      <c r="B10" s="28" t="str">
        <f>Rates!B8</f>
        <v>$/kWh</v>
      </c>
      <c r="C10" s="31">
        <f>Rates!D8</f>
        <v>4.5999999999999999E-3</v>
      </c>
      <c r="D10" s="32">
        <f>Rates!F8</f>
        <v>4.5999999999999999E-3</v>
      </c>
    </row>
    <row r="11" spans="1:4" x14ac:dyDescent="0.2">
      <c r="A11" s="27" t="str">
        <f>Rates!A9</f>
        <v>Rate Rider for Deferral/Variance Account Disposition (2012) - effective until May 31, 2013</v>
      </c>
      <c r="B11" s="28" t="str">
        <f>Rates!B9</f>
        <v>$/kWh</v>
      </c>
      <c r="C11" s="31">
        <f>Rates!D9</f>
        <v>-6.1000000000000004E-3</v>
      </c>
      <c r="D11" s="32">
        <f>Rates!F9</f>
        <v>-6.1000000000000004E-3</v>
      </c>
    </row>
    <row r="12" spans="1:4" x14ac:dyDescent="0.2">
      <c r="A12" s="27" t="str">
        <f>Rates!A10</f>
        <v>Rate Rider for Deferral/Variance Account Disposition (2013) - effective until December 31, 2013</v>
      </c>
      <c r="B12" s="28" t="str">
        <f>Rates!B10</f>
        <v>$/kWh</v>
      </c>
      <c r="C12" s="31">
        <f>Rates!D10</f>
        <v>0</v>
      </c>
      <c r="D12" s="32">
        <f>Rates!F10</f>
        <v>-5.1999999999999998E-3</v>
      </c>
    </row>
    <row r="13" spans="1:4" x14ac:dyDescent="0.2">
      <c r="A13" s="27" t="str">
        <f>Rates!A11</f>
        <v>Rate Rider for Global Adjustment Sub-Account Disposition (2013) - effective until December 31, 2013</v>
      </c>
      <c r="B13" s="28" t="str">
        <f>Rates!B11</f>
        <v>$/kWh</v>
      </c>
      <c r="C13" s="31">
        <f>Rates!D11</f>
        <v>0</v>
      </c>
      <c r="D13" s="32"/>
    </row>
    <row r="14" spans="1:4" x14ac:dyDescent="0.2">
      <c r="A14" s="27" t="str">
        <f>Rates!A12</f>
        <v xml:space="preserve">Rate Rider for Tax Changes </v>
      </c>
      <c r="B14" s="28" t="str">
        <f>Rates!B12</f>
        <v>$/kWh</v>
      </c>
      <c r="C14" s="31">
        <f>Rates!D12</f>
        <v>0</v>
      </c>
      <c r="D14" s="32">
        <f>Rates!F12</f>
        <v>-2.0000000000000001E-4</v>
      </c>
    </row>
    <row r="15" spans="1:4" x14ac:dyDescent="0.2">
      <c r="A15" s="27" t="str">
        <f>Rates!A13</f>
        <v>Retail Transmission Rate - Network Service Rate</v>
      </c>
      <c r="B15" s="28" t="str">
        <f>Rates!B13</f>
        <v>$/kWh</v>
      </c>
      <c r="C15" s="31">
        <f>Rates!D13</f>
        <v>7.1000000000000004E-3</v>
      </c>
      <c r="D15" s="32">
        <f>Rates!F13</f>
        <v>6.8999999999999999E-3</v>
      </c>
    </row>
    <row r="16" spans="1:4" x14ac:dyDescent="0.2">
      <c r="A16" s="27" t="str">
        <f>Rates!A14</f>
        <v>Retail Transmission Rate - Line and Transformation Connection Service Rate</v>
      </c>
      <c r="B16" s="28" t="str">
        <f>Rates!B14</f>
        <v>$/kWh</v>
      </c>
      <c r="C16" s="31">
        <f>Rates!D14</f>
        <v>5.1000000000000004E-3</v>
      </c>
      <c r="D16" s="32">
        <f>Rates!F14</f>
        <v>4.8999999999999998E-3</v>
      </c>
    </row>
    <row r="17" spans="1:10" x14ac:dyDescent="0.2">
      <c r="A17" s="19" t="str">
        <f>Rates!A15</f>
        <v>Wholesale Market Service Rate</v>
      </c>
      <c r="B17" s="20" t="str">
        <f>Rates!B15</f>
        <v>$/kWh</v>
      </c>
      <c r="C17" s="21">
        <f>Rates!D15</f>
        <v>5.1999999999999998E-3</v>
      </c>
      <c r="D17" s="22">
        <f>Rates!F15</f>
        <v>4.4000000000000003E-3</v>
      </c>
    </row>
    <row r="18" spans="1:10" x14ac:dyDescent="0.2">
      <c r="A18" s="27" t="str">
        <f>Rates!A16</f>
        <v>Rural Rate Protection Charge</v>
      </c>
      <c r="B18" s="28" t="str">
        <f>Rates!B16</f>
        <v>$/kWh</v>
      </c>
      <c r="C18" s="31">
        <f>Rates!D16</f>
        <v>1.1000000000000001E-3</v>
      </c>
      <c r="D18" s="32">
        <f>Rates!F16</f>
        <v>1.1999999999999999E-3</v>
      </c>
    </row>
    <row r="19" spans="1:10" ht="12.75" thickBot="1" x14ac:dyDescent="0.25">
      <c r="A19" s="12" t="str">
        <f>Rates!A18</f>
        <v>Standard Supply Service - Administarive Charge (if applicable)</v>
      </c>
      <c r="B19" s="17" t="str">
        <f>Rates!B18</f>
        <v>$</v>
      </c>
      <c r="C19" s="18">
        <f>Rates!D18</f>
        <v>0.25</v>
      </c>
      <c r="D19" s="13">
        <f>Rates!F18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800</v>
      </c>
      <c r="C22" s="35" t="s">
        <v>27</v>
      </c>
      <c r="D22" s="36"/>
      <c r="E22" s="35" t="s">
        <v>28</v>
      </c>
      <c r="G22" s="102" t="s">
        <v>23</v>
      </c>
      <c r="H22" s="53">
        <f>Rates!F82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38" t="str">
        <f>IF(D22&gt;0,B22/(D22*24*30.4)," ")</f>
        <v xml:space="preserve"> </v>
      </c>
    </row>
    <row r="24" spans="1:10" ht="12.75" thickBot="1" x14ac:dyDescent="0.25"/>
    <row r="25" spans="1:10" ht="12.75" customHeight="1" x14ac:dyDescent="0.2">
      <c r="A25" s="152" t="str">
        <f>A3</f>
        <v>Residential - R1</v>
      </c>
      <c r="B25" s="154" t="s">
        <v>31</v>
      </c>
      <c r="C25" s="49" t="s">
        <v>37</v>
      </c>
      <c r="D25" s="49" t="s">
        <v>38</v>
      </c>
      <c r="E25" s="154" t="s">
        <v>31</v>
      </c>
      <c r="F25" s="49" t="s">
        <v>37</v>
      </c>
      <c r="G25" s="49" t="s">
        <v>38</v>
      </c>
      <c r="H25" s="156" t="s">
        <v>44</v>
      </c>
      <c r="I25" s="156"/>
      <c r="J25" s="157"/>
    </row>
    <row r="26" spans="1:10" ht="12.75" thickBot="1" x14ac:dyDescent="0.25">
      <c r="A26" s="153"/>
      <c r="B26" s="155"/>
      <c r="C26" s="50" t="s">
        <v>15</v>
      </c>
      <c r="D26" s="50" t="s">
        <v>15</v>
      </c>
      <c r="E26" s="155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IF(B22*Rates!D82&gt;B23,B23,B22*Rates!D82)</f>
        <v>750</v>
      </c>
      <c r="C27" s="56">
        <f>Rates!D78</f>
        <v>7.4999999999999997E-2</v>
      </c>
      <c r="D27" s="57">
        <f>B27*C27</f>
        <v>56.25</v>
      </c>
      <c r="E27" s="55">
        <f>IF(B22*H22&gt;B23,B23,B22*H22)</f>
        <v>750</v>
      </c>
      <c r="F27" s="56">
        <f>Rates!F78</f>
        <v>7.4999999999999997E-2</v>
      </c>
      <c r="G27" s="57">
        <f>E27*F27</f>
        <v>56.25</v>
      </c>
      <c r="H27" s="58">
        <f>G27-D27</f>
        <v>0</v>
      </c>
      <c r="I27" s="59">
        <f>IF(ISERROR(H27/D27),1,H27/D27)</f>
        <v>0</v>
      </c>
      <c r="J27" s="60">
        <f t="shared" ref="J27:J53" si="0">IF(ISERROR(G27/G$53),0,G27/G$53)</f>
        <v>0.39302564913809895</v>
      </c>
    </row>
    <row r="28" spans="1:10" ht="12.75" thickBot="1" x14ac:dyDescent="0.25">
      <c r="A28" s="63" t="s">
        <v>36</v>
      </c>
      <c r="B28" s="64">
        <f>IF(B22*Rates!D82&gt;=B23,B22*Rates!D82-B23,0)</f>
        <v>119.12</v>
      </c>
      <c r="C28" s="65">
        <f>Rates!D79</f>
        <v>8.7999999999999995E-2</v>
      </c>
      <c r="D28" s="66">
        <f>B28*C28</f>
        <v>10.482559999999999</v>
      </c>
      <c r="E28" s="64">
        <f>IF(B22*H22&gt;=B23,B22*H22-B23,0)</f>
        <v>119.12</v>
      </c>
      <c r="F28" s="65">
        <f>Rates!F79</f>
        <v>8.7999999999999995E-2</v>
      </c>
      <c r="G28" s="66">
        <f>E28*F28</f>
        <v>10.482559999999999</v>
      </c>
      <c r="H28" s="66">
        <f t="shared" ref="H28:H53" si="1">G28-D28</f>
        <v>0</v>
      </c>
      <c r="I28" s="67">
        <f t="shared" ref="I28:I53" si="2">IF(ISERROR(H28/D28),0,H28/D28)</f>
        <v>0</v>
      </c>
      <c r="J28" s="68">
        <f t="shared" si="0"/>
        <v>7.3242932420072362E-2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66.732560000000007</v>
      </c>
      <c r="E29" s="75"/>
      <c r="F29" s="75"/>
      <c r="G29" s="76">
        <f>SUM(G27:G28)</f>
        <v>66.732560000000007</v>
      </c>
      <c r="H29" s="76">
        <f t="shared" si="1"/>
        <v>0</v>
      </c>
      <c r="I29" s="77">
        <f t="shared" si="2"/>
        <v>0</v>
      </c>
      <c r="J29" s="78">
        <f t="shared" si="0"/>
        <v>0.46626858155817136</v>
      </c>
    </row>
    <row r="30" spans="1:10" x14ac:dyDescent="0.2">
      <c r="A30" s="69" t="str">
        <f t="shared" ref="A30:A31" si="3">A4</f>
        <v>Monthly Service Charge</v>
      </c>
      <c r="B30" s="70">
        <v>1</v>
      </c>
      <c r="C30" s="46">
        <f t="shared" ref="C30:C31" si="4">C4</f>
        <v>21.51</v>
      </c>
      <c r="D30" s="46">
        <f>B30*C30</f>
        <v>21.51</v>
      </c>
      <c r="E30" s="71">
        <f>B30</f>
        <v>1</v>
      </c>
      <c r="F30" s="47">
        <f t="shared" ref="F30:F31" si="5">D4</f>
        <v>22.32</v>
      </c>
      <c r="G30" s="47">
        <f>E30*F30</f>
        <v>22.32</v>
      </c>
      <c r="H30" s="47">
        <f t="shared" si="1"/>
        <v>0.80999999999999872</v>
      </c>
      <c r="I30" s="48">
        <f t="shared" si="2"/>
        <v>3.7656903765690315E-2</v>
      </c>
      <c r="J30" s="72">
        <f t="shared" si="0"/>
        <v>0.15595257757799766</v>
      </c>
    </row>
    <row r="31" spans="1:10" x14ac:dyDescent="0.2">
      <c r="A31" s="61" t="str">
        <f t="shared" si="3"/>
        <v>Smart Meter Rate Adder</v>
      </c>
      <c r="B31" s="43">
        <f>B30</f>
        <v>1</v>
      </c>
      <c r="C31" s="41">
        <f t="shared" si="4"/>
        <v>0</v>
      </c>
      <c r="D31" s="41">
        <f t="shared" ref="D31:D40" si="6">B31*C31</f>
        <v>0</v>
      </c>
      <c r="E31" s="43">
        <f>B31</f>
        <v>1</v>
      </c>
      <c r="F31" s="41">
        <f t="shared" si="5"/>
        <v>0</v>
      </c>
      <c r="G31" s="41">
        <f t="shared" ref="G31:G40" si="7">E31*F31</f>
        <v>0</v>
      </c>
      <c r="H31" s="41">
        <f t="shared" si="1"/>
        <v>0</v>
      </c>
      <c r="I31" s="42">
        <f>IF(ISERROR(H31/D31),1,H31/D31)</f>
        <v>1</v>
      </c>
      <c r="J31" s="62">
        <f t="shared" si="0"/>
        <v>0</v>
      </c>
    </row>
    <row r="32" spans="1:10" x14ac:dyDescent="0.2">
      <c r="A32" s="63" t="str">
        <f t="shared" ref="A32:A40" si="8">A6</f>
        <v>Smart Meter Entity Charge - effective May 1, 2013 until October 31, 2018</v>
      </c>
      <c r="B32" s="64">
        <f>B30</f>
        <v>1</v>
      </c>
      <c r="C32" s="65">
        <f>Rates!D17</f>
        <v>0</v>
      </c>
      <c r="D32" s="66">
        <f>B32*C32</f>
        <v>0</v>
      </c>
      <c r="E32" s="64">
        <f>B30</f>
        <v>1</v>
      </c>
      <c r="F32" s="65">
        <f>Rates!F17</f>
        <v>0.79</v>
      </c>
      <c r="G32" s="66">
        <f>E32*F32</f>
        <v>0.79</v>
      </c>
      <c r="H32" s="41">
        <f>G32-D32</f>
        <v>0.79</v>
      </c>
      <c r="I32" s="42">
        <f>IF(ISERROR(H32/D32),0,H32/D32)</f>
        <v>0</v>
      </c>
      <c r="J32" s="62">
        <f t="shared" si="0"/>
        <v>5.5198268945617452E-3</v>
      </c>
    </row>
    <row r="33" spans="1:10" x14ac:dyDescent="0.2">
      <c r="A33" s="61" t="str">
        <f t="shared" si="8"/>
        <v>Distribution Volumetric Rate</v>
      </c>
      <c r="B33" s="43">
        <f>B22</f>
        <v>800</v>
      </c>
      <c r="C33" s="40">
        <f t="shared" ref="C33:C40" si="9">C7</f>
        <v>3.0200000000000001E-2</v>
      </c>
      <c r="D33" s="41">
        <f t="shared" si="6"/>
        <v>24.16</v>
      </c>
      <c r="E33" s="43">
        <f>B22</f>
        <v>800</v>
      </c>
      <c r="F33" s="40">
        <f t="shared" ref="F33:F40" si="10">D7</f>
        <v>3.1300000000000001E-2</v>
      </c>
      <c r="G33" s="41">
        <f t="shared" si="7"/>
        <v>25.040000000000003</v>
      </c>
      <c r="H33" s="41">
        <f t="shared" si="1"/>
        <v>0.88000000000000256</v>
      </c>
      <c r="I33" s="42">
        <f t="shared" si="2"/>
        <v>3.6423841059602752E-2</v>
      </c>
      <c r="J33" s="62">
        <f t="shared" si="0"/>
        <v>0.17495755118965331</v>
      </c>
    </row>
    <row r="34" spans="1:10" x14ac:dyDescent="0.2">
      <c r="A34" s="61" t="str">
        <f t="shared" si="8"/>
        <v>Rate Rider for Foregone Revenue Recovery - effective until December 31, 2012</v>
      </c>
      <c r="B34" s="43">
        <f>B22</f>
        <v>800</v>
      </c>
      <c r="C34" s="40">
        <f t="shared" si="9"/>
        <v>0</v>
      </c>
      <c r="D34" s="41">
        <f t="shared" si="6"/>
        <v>0</v>
      </c>
      <c r="E34" s="43">
        <f>B22</f>
        <v>800</v>
      </c>
      <c r="F34" s="40">
        <f t="shared" si="10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0"/>
        <v>0</v>
      </c>
    </row>
    <row r="35" spans="1:10" x14ac:dyDescent="0.2">
      <c r="A35" s="61" t="str">
        <f t="shared" si="8"/>
        <v>Rate Rider for Foregone Revenue Recovery - effective until December 31, 2014</v>
      </c>
      <c r="B35" s="43">
        <f>B22</f>
        <v>800</v>
      </c>
      <c r="C35" s="40">
        <f t="shared" si="9"/>
        <v>0</v>
      </c>
      <c r="D35" s="41">
        <f t="shared" ref="D35" si="11">B35*C35</f>
        <v>0</v>
      </c>
      <c r="E35" s="43">
        <f>B22</f>
        <v>800</v>
      </c>
      <c r="F35" s="40">
        <f t="shared" si="10"/>
        <v>4.0000000000000002E-4</v>
      </c>
      <c r="G35" s="41">
        <f>E35*F35</f>
        <v>0.32</v>
      </c>
      <c r="H35" s="41">
        <f>G35-D35</f>
        <v>0.32</v>
      </c>
      <c r="I35" s="42">
        <f>IF(ISERROR(H35/D35),0,H35/D35)</f>
        <v>0</v>
      </c>
      <c r="J35" s="62">
        <f t="shared" si="0"/>
        <v>2.2358792484300739E-3</v>
      </c>
    </row>
    <row r="36" spans="1:10" x14ac:dyDescent="0.2">
      <c r="A36" s="61" t="str">
        <f t="shared" si="8"/>
        <v>Rate Rider for Deferral/Variance Account Disposition (2010) - effective until May 31, 2013</v>
      </c>
      <c r="B36" s="43">
        <f>B22</f>
        <v>800</v>
      </c>
      <c r="C36" s="40">
        <f t="shared" si="9"/>
        <v>4.5999999999999999E-3</v>
      </c>
      <c r="D36" s="41">
        <f t="shared" si="6"/>
        <v>3.6799999999999997</v>
      </c>
      <c r="E36" s="43">
        <f>B22</f>
        <v>800</v>
      </c>
      <c r="F36" s="40">
        <f t="shared" si="10"/>
        <v>4.5999999999999999E-3</v>
      </c>
      <c r="G36" s="41">
        <f t="shared" si="7"/>
        <v>3.6799999999999997</v>
      </c>
      <c r="H36" s="41">
        <f t="shared" si="1"/>
        <v>0</v>
      </c>
      <c r="I36" s="42">
        <f t="shared" si="2"/>
        <v>0</v>
      </c>
      <c r="J36" s="62">
        <f t="shared" si="0"/>
        <v>2.5712611356945848E-2</v>
      </c>
    </row>
    <row r="37" spans="1:10" x14ac:dyDescent="0.2">
      <c r="A37" s="61" t="str">
        <f t="shared" si="8"/>
        <v>Rate Rider for Deferral/Variance Account Disposition (2012) - effective until May 31, 2013</v>
      </c>
      <c r="B37" s="43">
        <f>B22</f>
        <v>800</v>
      </c>
      <c r="C37" s="40">
        <f t="shared" si="9"/>
        <v>-6.1000000000000004E-3</v>
      </c>
      <c r="D37" s="41">
        <f t="shared" si="6"/>
        <v>-4.88</v>
      </c>
      <c r="E37" s="43">
        <f>B22</f>
        <v>800</v>
      </c>
      <c r="F37" s="40">
        <f t="shared" si="10"/>
        <v>-6.1000000000000004E-3</v>
      </c>
      <c r="G37" s="41">
        <f t="shared" si="7"/>
        <v>-4.88</v>
      </c>
      <c r="H37" s="41">
        <f t="shared" si="1"/>
        <v>0</v>
      </c>
      <c r="I37" s="42">
        <f t="shared" si="2"/>
        <v>0</v>
      </c>
      <c r="J37" s="62">
        <f t="shared" si="0"/>
        <v>-3.4097158538558624E-2</v>
      </c>
    </row>
    <row r="38" spans="1:10" x14ac:dyDescent="0.2">
      <c r="A38" s="61" t="str">
        <f t="shared" si="8"/>
        <v>Rate Rider for Deferral/Variance Account Disposition (2013) - effective until December 31, 2013</v>
      </c>
      <c r="B38" s="43">
        <f>B22</f>
        <v>800</v>
      </c>
      <c r="C38" s="40">
        <f t="shared" si="9"/>
        <v>0</v>
      </c>
      <c r="D38" s="41">
        <f t="shared" si="6"/>
        <v>0</v>
      </c>
      <c r="E38" s="43">
        <f>B22</f>
        <v>800</v>
      </c>
      <c r="F38" s="40">
        <f t="shared" si="10"/>
        <v>-5.1999999999999998E-3</v>
      </c>
      <c r="G38" s="41">
        <f t="shared" si="7"/>
        <v>-4.16</v>
      </c>
      <c r="H38" s="41">
        <f t="shared" si="1"/>
        <v>-4.16</v>
      </c>
      <c r="I38" s="42">
        <f t="shared" si="2"/>
        <v>0</v>
      </c>
      <c r="J38" s="62">
        <f t="shared" si="0"/>
        <v>-2.9066430229590962E-2</v>
      </c>
    </row>
    <row r="39" spans="1:10" x14ac:dyDescent="0.2">
      <c r="A39" s="61" t="str">
        <f t="shared" si="8"/>
        <v>Rate Rider for Global Adjustment Sub-Account Disposition (2013) - effective until December 31, 2013</v>
      </c>
      <c r="B39" s="43">
        <f>B22</f>
        <v>800</v>
      </c>
      <c r="C39" s="40">
        <f t="shared" si="9"/>
        <v>0</v>
      </c>
      <c r="D39" s="41">
        <f t="shared" si="6"/>
        <v>0</v>
      </c>
      <c r="E39" s="43">
        <f>B22</f>
        <v>800</v>
      </c>
      <c r="F39" s="40">
        <f t="shared" si="10"/>
        <v>0</v>
      </c>
      <c r="G39" s="41">
        <f t="shared" si="7"/>
        <v>0</v>
      </c>
      <c r="H39" s="41">
        <f t="shared" si="1"/>
        <v>0</v>
      </c>
      <c r="I39" s="42">
        <f t="shared" si="2"/>
        <v>0</v>
      </c>
      <c r="J39" s="62">
        <f t="shared" si="0"/>
        <v>0</v>
      </c>
    </row>
    <row r="40" spans="1:10" ht="12.75" thickBot="1" x14ac:dyDescent="0.25">
      <c r="A40" s="61" t="str">
        <f t="shared" si="8"/>
        <v xml:space="preserve">Rate Rider for Tax Changes </v>
      </c>
      <c r="B40" s="43">
        <f>B22</f>
        <v>800</v>
      </c>
      <c r="C40" s="40">
        <f t="shared" si="9"/>
        <v>0</v>
      </c>
      <c r="D40" s="41">
        <f t="shared" si="6"/>
        <v>0</v>
      </c>
      <c r="E40" s="43">
        <f>B22</f>
        <v>800</v>
      </c>
      <c r="F40" s="40">
        <f t="shared" si="10"/>
        <v>-2.0000000000000001E-4</v>
      </c>
      <c r="G40" s="41">
        <f t="shared" si="7"/>
        <v>-0.16</v>
      </c>
      <c r="H40" s="41">
        <f t="shared" si="1"/>
        <v>-0.16</v>
      </c>
      <c r="I40" s="42">
        <f t="shared" si="2"/>
        <v>0</v>
      </c>
      <c r="J40" s="62">
        <f t="shared" si="0"/>
        <v>-1.1179396242150369E-3</v>
      </c>
    </row>
    <row r="41" spans="1:10" ht="12.75" thickBot="1" x14ac:dyDescent="0.25">
      <c r="A41" s="73" t="s">
        <v>40</v>
      </c>
      <c r="B41" s="74"/>
      <c r="C41" s="75"/>
      <c r="D41" s="80">
        <f>SUM(D30:D40)</f>
        <v>44.47</v>
      </c>
      <c r="E41" s="75"/>
      <c r="F41" s="75"/>
      <c r="G41" s="76">
        <f>SUM(G30:G40)</f>
        <v>42.95</v>
      </c>
      <c r="H41" s="76">
        <f t="shared" si="1"/>
        <v>-1.519999999999996</v>
      </c>
      <c r="I41" s="77">
        <f t="shared" si="2"/>
        <v>-3.4180346300876907E-2</v>
      </c>
      <c r="J41" s="78">
        <f t="shared" si="0"/>
        <v>0.30009691787522402</v>
      </c>
    </row>
    <row r="42" spans="1:10" x14ac:dyDescent="0.2">
      <c r="A42" s="69" t="str">
        <f>A15</f>
        <v>Retail Transmission Rate - Network Service Rate</v>
      </c>
      <c r="B42" s="44">
        <f>B22*Rates!D82</f>
        <v>869.12</v>
      </c>
      <c r="C42" s="45">
        <f>C15</f>
        <v>7.1000000000000004E-3</v>
      </c>
      <c r="D42" s="47">
        <f>B42*C42</f>
        <v>6.1707520000000002</v>
      </c>
      <c r="E42" s="44">
        <f>B22*H22</f>
        <v>869.12</v>
      </c>
      <c r="F42" s="45">
        <f>D15</f>
        <v>6.8999999999999999E-3</v>
      </c>
      <c r="G42" s="47">
        <f>E42*F42</f>
        <v>5.9969279999999996</v>
      </c>
      <c r="H42" s="47">
        <f t="shared" si="1"/>
        <v>-0.17382400000000064</v>
      </c>
      <c r="I42" s="48">
        <f t="shared" si="2"/>
        <v>-2.8169014084507147E-2</v>
      </c>
      <c r="J42" s="72">
        <f t="shared" si="0"/>
        <v>4.1901271467278955E-2</v>
      </c>
    </row>
    <row r="43" spans="1:10" ht="12.75" thickBot="1" x14ac:dyDescent="0.25">
      <c r="A43" s="63" t="str">
        <f>A16</f>
        <v>Retail Transmission Rate - Line and Transformation Connection Service Rate</v>
      </c>
      <c r="B43" s="64">
        <f>B22*Rates!D82</f>
        <v>869.12</v>
      </c>
      <c r="C43" s="65">
        <f>C16</f>
        <v>5.1000000000000004E-3</v>
      </c>
      <c r="D43" s="66">
        <f>B43*C43</f>
        <v>4.432512</v>
      </c>
      <c r="E43" s="64">
        <f>B22*H22</f>
        <v>869.12</v>
      </c>
      <c r="F43" s="65">
        <f>D16</f>
        <v>4.8999999999999998E-3</v>
      </c>
      <c r="G43" s="66">
        <f>E43*F43</f>
        <v>4.2586880000000003</v>
      </c>
      <c r="H43" s="66">
        <f t="shared" si="1"/>
        <v>-0.17382399999999976</v>
      </c>
      <c r="I43" s="67">
        <f t="shared" si="2"/>
        <v>-3.9215686274509748E-2</v>
      </c>
      <c r="J43" s="68">
        <f t="shared" si="0"/>
        <v>2.9755975389806798E-2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10.603263999999999</v>
      </c>
      <c r="E44" s="75"/>
      <c r="F44" s="75"/>
      <c r="G44" s="76">
        <f>SUM(G42:G43)</f>
        <v>10.255616</v>
      </c>
      <c r="H44" s="76">
        <f t="shared" si="1"/>
        <v>-0.34764799999999951</v>
      </c>
      <c r="I44" s="77">
        <f t="shared" si="2"/>
        <v>-3.2786885245901592E-2</v>
      </c>
      <c r="J44" s="78">
        <f t="shared" si="0"/>
        <v>7.1657246857085757E-2</v>
      </c>
    </row>
    <row r="45" spans="1:10" ht="12.75" thickBot="1" x14ac:dyDescent="0.25">
      <c r="A45" s="81" t="s">
        <v>41</v>
      </c>
      <c r="B45" s="82"/>
      <c r="C45" s="83"/>
      <c r="D45" s="84">
        <f>D41+D44</f>
        <v>55.073263999999995</v>
      </c>
      <c r="E45" s="83"/>
      <c r="F45" s="83"/>
      <c r="G45" s="84">
        <f>G41+G44</f>
        <v>53.205616000000006</v>
      </c>
      <c r="H45" s="84">
        <f t="shared" si="1"/>
        <v>-1.8676479999999884</v>
      </c>
      <c r="I45" s="85">
        <f t="shared" si="2"/>
        <v>-3.391206302934921E-2</v>
      </c>
      <c r="J45" s="86">
        <f t="shared" si="0"/>
        <v>0.37175416473230977</v>
      </c>
    </row>
    <row r="46" spans="1:10" x14ac:dyDescent="0.2">
      <c r="A46" s="69" t="str">
        <f>A17</f>
        <v>Wholesale Market Service Rate</v>
      </c>
      <c r="B46" s="44">
        <f>B22*Rates!D82</f>
        <v>869.12</v>
      </c>
      <c r="C46" s="45">
        <f>C17</f>
        <v>5.1999999999999998E-3</v>
      </c>
      <c r="D46" s="47">
        <f>B46*C46</f>
        <v>4.5194239999999999</v>
      </c>
      <c r="E46" s="44">
        <f>B22*H22</f>
        <v>869.12</v>
      </c>
      <c r="F46" s="45">
        <f>D17</f>
        <v>4.4000000000000003E-3</v>
      </c>
      <c r="G46" s="47">
        <f>E46*F46</f>
        <v>3.8241280000000004</v>
      </c>
      <c r="H46" s="47">
        <f t="shared" si="1"/>
        <v>-0.69529599999999947</v>
      </c>
      <c r="I46" s="48">
        <f t="shared" si="2"/>
        <v>-0.15384615384615374</v>
      </c>
      <c r="J46" s="72">
        <f t="shared" si="0"/>
        <v>2.6719651370438757E-2</v>
      </c>
    </row>
    <row r="47" spans="1:10" x14ac:dyDescent="0.2">
      <c r="A47" s="61" t="str">
        <f>A18</f>
        <v>Rural Rate Protection Charge</v>
      </c>
      <c r="B47" s="39">
        <f>B22*Rates!D82</f>
        <v>869.12</v>
      </c>
      <c r="C47" s="40">
        <f>C18</f>
        <v>1.1000000000000001E-3</v>
      </c>
      <c r="D47" s="41">
        <f>B47*C47</f>
        <v>0.9560320000000001</v>
      </c>
      <c r="E47" s="39">
        <f>B22*H22</f>
        <v>869.12</v>
      </c>
      <c r="F47" s="40">
        <f>D18</f>
        <v>1.1999999999999999E-3</v>
      </c>
      <c r="G47" s="41">
        <f>E47*F47</f>
        <v>1.0429439999999999</v>
      </c>
      <c r="H47" s="41">
        <f t="shared" si="1"/>
        <v>8.6911999999999767E-2</v>
      </c>
      <c r="I47" s="42">
        <f t="shared" si="2"/>
        <v>9.0909090909090662E-2</v>
      </c>
      <c r="J47" s="62">
        <f t="shared" si="0"/>
        <v>7.2871776464832963E-3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1</v>
      </c>
      <c r="C48" s="66">
        <f>C19</f>
        <v>0.25</v>
      </c>
      <c r="D48" s="66">
        <f>B48*C48</f>
        <v>0.25</v>
      </c>
      <c r="E48" s="64">
        <f>B30</f>
        <v>1</v>
      </c>
      <c r="F48" s="66">
        <f>D19</f>
        <v>0.25</v>
      </c>
      <c r="G48" s="66">
        <f>E48*F48</f>
        <v>0.25</v>
      </c>
      <c r="H48" s="66">
        <f t="shared" si="1"/>
        <v>0</v>
      </c>
      <c r="I48" s="67">
        <f t="shared" si="2"/>
        <v>0</v>
      </c>
      <c r="J48" s="68">
        <f t="shared" si="0"/>
        <v>1.7467806628359952E-3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5.7254560000000003</v>
      </c>
      <c r="E49" s="75"/>
      <c r="F49" s="75"/>
      <c r="G49" s="76">
        <f>SUM(G46:G48)</f>
        <v>5.1170720000000003</v>
      </c>
      <c r="H49" s="76">
        <f t="shared" si="1"/>
        <v>-0.60838400000000004</v>
      </c>
      <c r="I49" s="77">
        <f t="shared" si="2"/>
        <v>-0.10625948396075352</v>
      </c>
      <c r="J49" s="78">
        <f t="shared" si="0"/>
        <v>3.5753609679758047E-2</v>
      </c>
    </row>
    <row r="50" spans="1:10" ht="12.75" thickBot="1" x14ac:dyDescent="0.25">
      <c r="A50" s="87" t="s">
        <v>19</v>
      </c>
      <c r="B50" s="88">
        <f>B22</f>
        <v>800</v>
      </c>
      <c r="C50" s="89">
        <f>Rates!D77</f>
        <v>2E-3</v>
      </c>
      <c r="D50" s="90">
        <f>B50*C50</f>
        <v>1.6</v>
      </c>
      <c r="E50" s="88">
        <f>B22</f>
        <v>800</v>
      </c>
      <c r="F50" s="89">
        <f>Rates!F77</f>
        <v>2E-3</v>
      </c>
      <c r="G50" s="90">
        <f>E50*F50</f>
        <v>1.6</v>
      </c>
      <c r="H50" s="90">
        <f t="shared" si="1"/>
        <v>0</v>
      </c>
      <c r="I50" s="91">
        <f t="shared" si="2"/>
        <v>0</v>
      </c>
      <c r="J50" s="92">
        <f t="shared" si="0"/>
        <v>1.117939624215037E-2</v>
      </c>
    </row>
    <row r="51" spans="1:10" ht="12.75" thickBot="1" x14ac:dyDescent="0.25">
      <c r="A51" s="73" t="s">
        <v>43</v>
      </c>
      <c r="B51" s="74"/>
      <c r="C51" s="75"/>
      <c r="D51" s="76">
        <f>D29+D45+D49+D50</f>
        <v>129.13128</v>
      </c>
      <c r="E51" s="75"/>
      <c r="F51" s="75"/>
      <c r="G51" s="76">
        <f>G29+G45+G49+G50</f>
        <v>126.655248</v>
      </c>
      <c r="H51" s="76">
        <f t="shared" si="1"/>
        <v>-2.4760320000000036</v>
      </c>
      <c r="I51" s="77">
        <f t="shared" si="2"/>
        <v>-1.9174533079823908E-2</v>
      </c>
      <c r="J51" s="78">
        <f t="shared" si="0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16.7870664</v>
      </c>
      <c r="E52" s="96"/>
      <c r="F52" s="95">
        <f>Rates!F83</f>
        <v>0.13</v>
      </c>
      <c r="G52" s="90">
        <f>F52*G51</f>
        <v>16.465182240000001</v>
      </c>
      <c r="H52" s="90">
        <f t="shared" si="1"/>
        <v>-0.32188415999999975</v>
      </c>
      <c r="I52" s="91">
        <f t="shared" si="2"/>
        <v>-1.9174533079823867E-2</v>
      </c>
      <c r="J52" s="92">
        <f t="shared" si="0"/>
        <v>0.11504424778761063</v>
      </c>
    </row>
    <row r="53" spans="1:10" ht="12.75" thickBot="1" x14ac:dyDescent="0.25">
      <c r="A53" s="81" t="s">
        <v>33</v>
      </c>
      <c r="B53" s="82"/>
      <c r="C53" s="83"/>
      <c r="D53" s="104">
        <f>D51+D52</f>
        <v>145.91834640000002</v>
      </c>
      <c r="E53" s="83"/>
      <c r="F53" s="83"/>
      <c r="G53" s="104">
        <f>G51+G52</f>
        <v>143.12043023999999</v>
      </c>
      <c r="H53" s="104">
        <f t="shared" si="1"/>
        <v>-2.7979161600000282</v>
      </c>
      <c r="I53" s="85">
        <f t="shared" si="2"/>
        <v>-1.9174533079824072E-2</v>
      </c>
      <c r="J53" s="86">
        <f t="shared" si="0"/>
        <v>1</v>
      </c>
    </row>
    <row r="54" spans="1:10" x14ac:dyDescent="0.2">
      <c r="A54" s="125"/>
      <c r="B54" s="126"/>
      <c r="C54" s="127"/>
      <c r="D54" s="127"/>
      <c r="E54" s="127"/>
      <c r="F54" s="127"/>
      <c r="G54" s="127"/>
      <c r="H54" s="127"/>
      <c r="I54" s="127"/>
      <c r="J54" s="128"/>
    </row>
    <row r="55" spans="1:10" x14ac:dyDescent="0.2">
      <c r="A55" s="129" t="s">
        <v>57</v>
      </c>
      <c r="B55" s="130"/>
      <c r="C55" s="131"/>
      <c r="D55" s="132">
        <f>D53*0.1</f>
        <v>14.591834640000002</v>
      </c>
      <c r="E55" s="131"/>
      <c r="F55" s="131"/>
      <c r="G55" s="132">
        <f>G53*0.1</f>
        <v>14.312043023999999</v>
      </c>
      <c r="H55" s="131"/>
      <c r="I55" s="131"/>
      <c r="J55" s="133"/>
    </row>
    <row r="56" spans="1:10" ht="12.75" thickBot="1" x14ac:dyDescent="0.25">
      <c r="A56" s="134" t="s">
        <v>58</v>
      </c>
      <c r="B56" s="135"/>
      <c r="C56" s="136"/>
      <c r="D56" s="137">
        <f>D53-D55</f>
        <v>131.32651176000002</v>
      </c>
      <c r="E56" s="136"/>
      <c r="F56" s="136"/>
      <c r="G56" s="137">
        <f>G53-G55</f>
        <v>128.808387216</v>
      </c>
      <c r="H56" s="139">
        <f>G56-D56</f>
        <v>-2.5181245440000168</v>
      </c>
      <c r="I56" s="140">
        <f>H56/D56</f>
        <v>-1.9174533079824009E-2</v>
      </c>
      <c r="J56" s="138"/>
    </row>
  </sheetData>
  <mergeCells count="4">
    <mergeCell ref="A25:A26"/>
    <mergeCell ref="B25:B26"/>
    <mergeCell ref="E25:E26"/>
    <mergeCell ref="H25:J25"/>
  </mergeCells>
  <phoneticPr fontId="2" type="noConversion"/>
  <pageMargins left="0.75" right="0.75" top="1" bottom="1" header="0.5" footer="0.5"/>
  <pageSetup scale="66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6"/>
  <sheetViews>
    <sheetView topLeftCell="A7" zoomScaleNormal="100" workbookViewId="0">
      <selection activeCell="N43" sqref="N43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</f>
        <v>Residential - R1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Rates!A3</f>
        <v>Monthly Service Charge</v>
      </c>
      <c r="B4" s="24" t="str">
        <f>Rates!B3</f>
        <v>$</v>
      </c>
      <c r="C4" s="25">
        <f>Rates!D3</f>
        <v>21.51</v>
      </c>
      <c r="D4" s="26">
        <f>Rates!F3</f>
        <v>22.32</v>
      </c>
    </row>
    <row r="5" spans="1:4" x14ac:dyDescent="0.2">
      <c r="A5" s="27" t="str">
        <f>Rates!A4</f>
        <v>Smart Meter Rate Adder</v>
      </c>
      <c r="B5" s="28" t="str">
        <f>Rates!B4</f>
        <v>$</v>
      </c>
      <c r="C5" s="29">
        <f>Rates!D4</f>
        <v>0</v>
      </c>
      <c r="D5" s="30">
        <f>Rates!F4</f>
        <v>0</v>
      </c>
    </row>
    <row r="6" spans="1:4" x14ac:dyDescent="0.2">
      <c r="A6" s="106" t="str">
        <f>Rates!A17</f>
        <v>Smart Meter Entity Charge - effective May 1, 2013 until October 31, 2018</v>
      </c>
      <c r="B6" s="28" t="str">
        <f>Rates!B17</f>
        <v>$</v>
      </c>
      <c r="C6" s="31">
        <f>Rates!D17</f>
        <v>0</v>
      </c>
      <c r="D6" s="32">
        <f>Rates!F17</f>
        <v>0.79</v>
      </c>
    </row>
    <row r="7" spans="1:4" x14ac:dyDescent="0.2">
      <c r="A7" s="27" t="str">
        <f>Rates!A5</f>
        <v>Distribution Volumetric Rate</v>
      </c>
      <c r="B7" s="28" t="str">
        <f>Rates!B5</f>
        <v>$/kWh</v>
      </c>
      <c r="C7" s="31">
        <f>Rates!D5</f>
        <v>3.0200000000000001E-2</v>
      </c>
      <c r="D7" s="32">
        <f>Rates!F5</f>
        <v>3.1300000000000001E-2</v>
      </c>
    </row>
    <row r="8" spans="1:4" x14ac:dyDescent="0.2">
      <c r="A8" s="27" t="str">
        <f>Rates!A6</f>
        <v>Rate Rider for Foregone Revenue Recovery - effective until December 31, 2012</v>
      </c>
      <c r="B8" s="28" t="str">
        <f>Rates!B6</f>
        <v>$/kWh</v>
      </c>
      <c r="C8" s="31">
        <f>Rates!D6</f>
        <v>0</v>
      </c>
      <c r="D8" s="32">
        <f>Rates!F6</f>
        <v>0</v>
      </c>
    </row>
    <row r="9" spans="1:4" x14ac:dyDescent="0.2">
      <c r="A9" s="27" t="str">
        <f>Rates!A7</f>
        <v>Rate Rider for Foregone Revenue Recovery - effective until December 31, 2014</v>
      </c>
      <c r="B9" s="28" t="str">
        <f>Rates!B7</f>
        <v>$/kWh</v>
      </c>
      <c r="C9" s="31">
        <f>Rates!D7</f>
        <v>0</v>
      </c>
      <c r="D9" s="32">
        <f>Rates!F7</f>
        <v>4.0000000000000002E-4</v>
      </c>
    </row>
    <row r="10" spans="1:4" x14ac:dyDescent="0.2">
      <c r="A10" s="27" t="str">
        <f>Rates!A8</f>
        <v>Rate Rider for Deferral/Variance Account Disposition (2010) - effective until May 31, 2013</v>
      </c>
      <c r="B10" s="28" t="str">
        <f>Rates!B8</f>
        <v>$/kWh</v>
      </c>
      <c r="C10" s="31">
        <f>Rates!D8</f>
        <v>4.5999999999999999E-3</v>
      </c>
      <c r="D10" s="32">
        <f>Rates!F8</f>
        <v>4.5999999999999999E-3</v>
      </c>
    </row>
    <row r="11" spans="1:4" x14ac:dyDescent="0.2">
      <c r="A11" s="27" t="str">
        <f>Rates!A9</f>
        <v>Rate Rider for Deferral/Variance Account Disposition (2012) - effective until May 31, 2013</v>
      </c>
      <c r="B11" s="28" t="str">
        <f>Rates!B9</f>
        <v>$/kWh</v>
      </c>
      <c r="C11" s="31">
        <f>Rates!D9</f>
        <v>-6.1000000000000004E-3</v>
      </c>
      <c r="D11" s="32">
        <f>Rates!F9</f>
        <v>-6.1000000000000004E-3</v>
      </c>
    </row>
    <row r="12" spans="1:4" x14ac:dyDescent="0.2">
      <c r="A12" s="27" t="str">
        <f>Rates!A10</f>
        <v>Rate Rider for Deferral/Variance Account Disposition (2013) - effective until December 31, 2013</v>
      </c>
      <c r="B12" s="28" t="str">
        <f>Rates!B10</f>
        <v>$/kWh</v>
      </c>
      <c r="C12" s="31">
        <f>Rates!D10</f>
        <v>0</v>
      </c>
      <c r="D12" s="32">
        <f>Rates!F10</f>
        <v>-5.1999999999999998E-3</v>
      </c>
    </row>
    <row r="13" spans="1:4" x14ac:dyDescent="0.2">
      <c r="A13" s="27" t="str">
        <f>Rates!A11</f>
        <v>Rate Rider for Global Adjustment Sub-Account Disposition (2013) - effective until December 31, 2013</v>
      </c>
      <c r="B13" s="28" t="str">
        <f>Rates!B11</f>
        <v>$/kWh</v>
      </c>
      <c r="C13" s="31">
        <f>Rates!D11</f>
        <v>0</v>
      </c>
      <c r="D13" s="32">
        <f>Rates!F11</f>
        <v>1.4999999999999999E-2</v>
      </c>
    </row>
    <row r="14" spans="1:4" x14ac:dyDescent="0.2">
      <c r="A14" s="27" t="str">
        <f>Rates!A12</f>
        <v xml:space="preserve">Rate Rider for Tax Changes </v>
      </c>
      <c r="B14" s="28" t="str">
        <f>Rates!B12</f>
        <v>$/kWh</v>
      </c>
      <c r="C14" s="31">
        <f>Rates!D12</f>
        <v>0</v>
      </c>
      <c r="D14" s="32">
        <f>Rates!F12</f>
        <v>-2.0000000000000001E-4</v>
      </c>
    </row>
    <row r="15" spans="1:4" x14ac:dyDescent="0.2">
      <c r="A15" s="27" t="str">
        <f>Rates!A13</f>
        <v>Retail Transmission Rate - Network Service Rate</v>
      </c>
      <c r="B15" s="28" t="str">
        <f>Rates!B13</f>
        <v>$/kWh</v>
      </c>
      <c r="C15" s="31">
        <f>Rates!D13</f>
        <v>7.1000000000000004E-3</v>
      </c>
      <c r="D15" s="32">
        <f>Rates!F13</f>
        <v>6.8999999999999999E-3</v>
      </c>
    </row>
    <row r="16" spans="1:4" x14ac:dyDescent="0.2">
      <c r="A16" s="27" t="str">
        <f>Rates!A14</f>
        <v>Retail Transmission Rate - Line and Transformation Connection Service Rate</v>
      </c>
      <c r="B16" s="28" t="str">
        <f>Rates!B14</f>
        <v>$/kWh</v>
      </c>
      <c r="C16" s="31">
        <f>Rates!D14</f>
        <v>5.1000000000000004E-3</v>
      </c>
      <c r="D16" s="32">
        <f>Rates!F14</f>
        <v>4.8999999999999998E-3</v>
      </c>
    </row>
    <row r="17" spans="1:10" x14ac:dyDescent="0.2">
      <c r="A17" s="19" t="str">
        <f>Rates!A15</f>
        <v>Wholesale Market Service Rate</v>
      </c>
      <c r="B17" s="20" t="str">
        <f>Rates!B15</f>
        <v>$/kWh</v>
      </c>
      <c r="C17" s="21">
        <f>Rates!D15</f>
        <v>5.1999999999999998E-3</v>
      </c>
      <c r="D17" s="22">
        <f>Rates!F15</f>
        <v>4.4000000000000003E-3</v>
      </c>
    </row>
    <row r="18" spans="1:10" x14ac:dyDescent="0.2">
      <c r="A18" s="27" t="str">
        <f>Rates!A16</f>
        <v>Rural Rate Protection Charge</v>
      </c>
      <c r="B18" s="28" t="str">
        <f>Rates!B16</f>
        <v>$/kWh</v>
      </c>
      <c r="C18" s="31">
        <f>Rates!D16</f>
        <v>1.1000000000000001E-3</v>
      </c>
      <c r="D18" s="32">
        <f>Rates!F16</f>
        <v>1.1999999999999999E-3</v>
      </c>
    </row>
    <row r="19" spans="1:10" ht="12.75" thickBot="1" x14ac:dyDescent="0.25">
      <c r="A19" s="12" t="str">
        <f>Rates!A18</f>
        <v>Standard Supply Service - Administarive Charge (if applicable)</v>
      </c>
      <c r="B19" s="17" t="str">
        <f>Rates!B18</f>
        <v>$</v>
      </c>
      <c r="C19" s="18">
        <f>Rates!D18</f>
        <v>0.25</v>
      </c>
      <c r="D19" s="13">
        <f>Rates!F18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800</v>
      </c>
      <c r="C22" s="35" t="s">
        <v>27</v>
      </c>
      <c r="D22" s="36"/>
      <c r="E22" s="35" t="s">
        <v>28</v>
      </c>
      <c r="G22" s="102" t="s">
        <v>23</v>
      </c>
      <c r="H22" s="53">
        <f>Rates!F82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38" t="str">
        <f>IF(D22&gt;0,B22/(D22*24*30.4)," ")</f>
        <v xml:space="preserve"> </v>
      </c>
    </row>
    <row r="24" spans="1:10" ht="12.75" thickBot="1" x14ac:dyDescent="0.25"/>
    <row r="25" spans="1:10" ht="12.75" customHeight="1" x14ac:dyDescent="0.2">
      <c r="A25" s="152" t="str">
        <f>A3</f>
        <v>Residential - R1</v>
      </c>
      <c r="B25" s="154" t="s">
        <v>31</v>
      </c>
      <c r="C25" s="141" t="s">
        <v>37</v>
      </c>
      <c r="D25" s="141" t="s">
        <v>38</v>
      </c>
      <c r="E25" s="154" t="s">
        <v>31</v>
      </c>
      <c r="F25" s="141" t="s">
        <v>37</v>
      </c>
      <c r="G25" s="141" t="s">
        <v>38</v>
      </c>
      <c r="H25" s="156" t="s">
        <v>44</v>
      </c>
      <c r="I25" s="156"/>
      <c r="J25" s="157"/>
    </row>
    <row r="26" spans="1:10" ht="12.75" thickBot="1" x14ac:dyDescent="0.25">
      <c r="A26" s="153"/>
      <c r="B26" s="155"/>
      <c r="C26" s="50" t="s">
        <v>15</v>
      </c>
      <c r="D26" s="50" t="s">
        <v>15</v>
      </c>
      <c r="E26" s="155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IF(B22*Rates!D82&gt;B23,B23,B22*Rates!D82)</f>
        <v>750</v>
      </c>
      <c r="C27" s="56">
        <f>Rates!D78</f>
        <v>7.4999999999999997E-2</v>
      </c>
      <c r="D27" s="57">
        <f>B27*C27</f>
        <v>56.25</v>
      </c>
      <c r="E27" s="55">
        <f>IF(B22*H22&gt;B23,B23,B22*H22)</f>
        <v>750</v>
      </c>
      <c r="F27" s="56">
        <f>Rates!F78</f>
        <v>7.4999999999999997E-2</v>
      </c>
      <c r="G27" s="57">
        <f>E27*F27</f>
        <v>56.25</v>
      </c>
      <c r="H27" s="58">
        <f>G27-D27</f>
        <v>0</v>
      </c>
      <c r="I27" s="59">
        <f>IF(ISERROR(H27/D27),1,H27/D27)</f>
        <v>0</v>
      </c>
      <c r="J27" s="60">
        <f t="shared" ref="J27:J53" si="0">IF(ISERROR(G27/G$53),0,G27/G$53)</f>
        <v>0.35901101314208395</v>
      </c>
    </row>
    <row r="28" spans="1:10" ht="12.75" thickBot="1" x14ac:dyDescent="0.25">
      <c r="A28" s="63" t="s">
        <v>36</v>
      </c>
      <c r="B28" s="64">
        <f>IF(B22*Rates!D82&gt;=B23,B22*Rates!D82-B23,0)</f>
        <v>119.12</v>
      </c>
      <c r="C28" s="65">
        <f>Rates!D79</f>
        <v>8.7999999999999995E-2</v>
      </c>
      <c r="D28" s="66">
        <f>B28*C28</f>
        <v>10.482559999999999</v>
      </c>
      <c r="E28" s="64">
        <f>IF(B22*H22&gt;=B23,B22*H22-B23,0)</f>
        <v>119.12</v>
      </c>
      <c r="F28" s="65">
        <f>Rates!F79</f>
        <v>8.7999999999999995E-2</v>
      </c>
      <c r="G28" s="66">
        <f>E28*F28</f>
        <v>10.482559999999999</v>
      </c>
      <c r="H28" s="66">
        <f t="shared" ref="H28:H53" si="1">G28-D28</f>
        <v>0</v>
      </c>
      <c r="I28" s="67">
        <f t="shared" ref="I28:I53" si="2">IF(ISERROR(H28/D28),0,H28/D28)</f>
        <v>0</v>
      </c>
      <c r="J28" s="68">
        <f t="shared" si="0"/>
        <v>6.6904079749736584E-2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66.732560000000007</v>
      </c>
      <c r="E29" s="75"/>
      <c r="F29" s="75"/>
      <c r="G29" s="76">
        <f>SUM(G27:G28)</f>
        <v>66.732560000000007</v>
      </c>
      <c r="H29" s="76">
        <f t="shared" si="1"/>
        <v>0</v>
      </c>
      <c r="I29" s="77">
        <f t="shared" si="2"/>
        <v>0</v>
      </c>
      <c r="J29" s="78">
        <f t="shared" si="0"/>
        <v>0.42591509289182056</v>
      </c>
    </row>
    <row r="30" spans="1:10" x14ac:dyDescent="0.2">
      <c r="A30" s="69" t="str">
        <f>A4</f>
        <v>Monthly Service Charge</v>
      </c>
      <c r="B30" s="70">
        <v>1</v>
      </c>
      <c r="C30" s="46">
        <f>C4</f>
        <v>21.51</v>
      </c>
      <c r="D30" s="46">
        <f>B30*C30</f>
        <v>21.51</v>
      </c>
      <c r="E30" s="71">
        <f>B30</f>
        <v>1</v>
      </c>
      <c r="F30" s="47">
        <f>D4</f>
        <v>22.32</v>
      </c>
      <c r="G30" s="47">
        <f>E30*F30</f>
        <v>22.32</v>
      </c>
      <c r="H30" s="47">
        <f t="shared" si="1"/>
        <v>0.80999999999999872</v>
      </c>
      <c r="I30" s="48">
        <f t="shared" si="2"/>
        <v>3.7656903765690315E-2</v>
      </c>
      <c r="J30" s="72">
        <f t="shared" si="0"/>
        <v>0.1424555700147789</v>
      </c>
    </row>
    <row r="31" spans="1:10" x14ac:dyDescent="0.2">
      <c r="A31" s="61" t="str">
        <f>A5</f>
        <v>Smart Meter Rate Adder</v>
      </c>
      <c r="B31" s="43">
        <f>B30</f>
        <v>1</v>
      </c>
      <c r="C31" s="41">
        <f>C5</f>
        <v>0</v>
      </c>
      <c r="D31" s="41">
        <f t="shared" ref="D31:D40" si="3">B31*C31</f>
        <v>0</v>
      </c>
      <c r="E31" s="43">
        <f>B31</f>
        <v>1</v>
      </c>
      <c r="F31" s="41">
        <f>D5</f>
        <v>0</v>
      </c>
      <c r="G31" s="41">
        <f t="shared" ref="G31:G40" si="4">E31*F31</f>
        <v>0</v>
      </c>
      <c r="H31" s="41">
        <f t="shared" si="1"/>
        <v>0</v>
      </c>
      <c r="I31" s="42">
        <f>IF(ISERROR(H31/D31),1,H31/D31)</f>
        <v>1</v>
      </c>
      <c r="J31" s="62">
        <f t="shared" si="0"/>
        <v>0</v>
      </c>
    </row>
    <row r="32" spans="1:10" x14ac:dyDescent="0.2">
      <c r="A32" s="63" t="str">
        <f>A6</f>
        <v>Smart Meter Entity Charge - effective May 1, 2013 until October 31, 2018</v>
      </c>
      <c r="B32" s="64">
        <f>B30</f>
        <v>1</v>
      </c>
      <c r="C32" s="65">
        <f>Rates!D17</f>
        <v>0</v>
      </c>
      <c r="D32" s="66">
        <f>B32*C32</f>
        <v>0</v>
      </c>
      <c r="E32" s="64">
        <f>B30</f>
        <v>1</v>
      </c>
      <c r="F32" s="65">
        <f>Rates!F17</f>
        <v>0.79</v>
      </c>
      <c r="G32" s="66">
        <f>E32*F32</f>
        <v>0.79</v>
      </c>
      <c r="H32" s="41">
        <f>G32-D32</f>
        <v>0.79</v>
      </c>
      <c r="I32" s="42">
        <f>IF(ISERROR(H32/D32),0,H32/D32)</f>
        <v>0</v>
      </c>
      <c r="J32" s="62">
        <f t="shared" si="0"/>
        <v>5.0421102290177117E-3</v>
      </c>
    </row>
    <row r="33" spans="1:10" x14ac:dyDescent="0.2">
      <c r="A33" s="61" t="str">
        <f t="shared" ref="A33:A39" si="5">A7</f>
        <v>Distribution Volumetric Rate</v>
      </c>
      <c r="B33" s="43">
        <f>B22</f>
        <v>800</v>
      </c>
      <c r="C33" s="40">
        <f t="shared" ref="C33:C39" si="6">C7</f>
        <v>3.0200000000000001E-2</v>
      </c>
      <c r="D33" s="41">
        <f t="shared" si="3"/>
        <v>24.16</v>
      </c>
      <c r="E33" s="43">
        <f>B22</f>
        <v>800</v>
      </c>
      <c r="F33" s="40">
        <f t="shared" ref="F33:F39" si="7">D7</f>
        <v>3.1300000000000001E-2</v>
      </c>
      <c r="G33" s="41">
        <f t="shared" si="4"/>
        <v>25.040000000000003</v>
      </c>
      <c r="H33" s="41">
        <f t="shared" si="1"/>
        <v>0.88000000000000256</v>
      </c>
      <c r="I33" s="42">
        <f t="shared" si="2"/>
        <v>3.6423841059602752E-2</v>
      </c>
      <c r="J33" s="62">
        <f t="shared" si="0"/>
        <v>0.15981574700582724</v>
      </c>
    </row>
    <row r="34" spans="1:10" x14ac:dyDescent="0.2">
      <c r="A34" s="61" t="str">
        <f t="shared" si="5"/>
        <v>Rate Rider for Foregone Revenue Recovery - effective until December 31, 2012</v>
      </c>
      <c r="B34" s="43">
        <f>B22</f>
        <v>800</v>
      </c>
      <c r="C34" s="40">
        <f t="shared" si="6"/>
        <v>0</v>
      </c>
      <c r="D34" s="41">
        <f t="shared" si="3"/>
        <v>0</v>
      </c>
      <c r="E34" s="43">
        <f>B22</f>
        <v>800</v>
      </c>
      <c r="F34" s="40">
        <f t="shared" si="7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0"/>
        <v>0</v>
      </c>
    </row>
    <row r="35" spans="1:10" x14ac:dyDescent="0.2">
      <c r="A35" s="61" t="str">
        <f t="shared" si="5"/>
        <v>Rate Rider for Foregone Revenue Recovery - effective until December 31, 2014</v>
      </c>
      <c r="B35" s="43">
        <f>B22</f>
        <v>800</v>
      </c>
      <c r="C35" s="40">
        <f t="shared" si="6"/>
        <v>0</v>
      </c>
      <c r="D35" s="41">
        <f t="shared" ref="D35" si="8">B35*C35</f>
        <v>0</v>
      </c>
      <c r="E35" s="43">
        <f>B22</f>
        <v>800</v>
      </c>
      <c r="F35" s="40">
        <f t="shared" si="7"/>
        <v>4.0000000000000002E-4</v>
      </c>
      <c r="G35" s="41">
        <f>E35*F35</f>
        <v>0.32</v>
      </c>
      <c r="H35" s="41">
        <f>G35-D35</f>
        <v>0.32</v>
      </c>
      <c r="I35" s="42">
        <f>IF(ISERROR(H35/D35),0,H35/D35)</f>
        <v>0</v>
      </c>
      <c r="J35" s="62">
        <f t="shared" si="0"/>
        <v>2.042373763652744E-3</v>
      </c>
    </row>
    <row r="36" spans="1:10" x14ac:dyDescent="0.2">
      <c r="A36" s="61" t="str">
        <f t="shared" si="5"/>
        <v>Rate Rider for Deferral/Variance Account Disposition (2010) - effective until May 31, 2013</v>
      </c>
      <c r="B36" s="43">
        <f>B22</f>
        <v>800</v>
      </c>
      <c r="C36" s="40">
        <f t="shared" si="6"/>
        <v>4.5999999999999999E-3</v>
      </c>
      <c r="D36" s="41">
        <f t="shared" si="3"/>
        <v>3.6799999999999997</v>
      </c>
      <c r="E36" s="43">
        <f>B22</f>
        <v>800</v>
      </c>
      <c r="F36" s="40">
        <f t="shared" si="7"/>
        <v>4.5999999999999999E-3</v>
      </c>
      <c r="G36" s="41">
        <f t="shared" si="4"/>
        <v>3.6799999999999997</v>
      </c>
      <c r="H36" s="41">
        <f t="shared" si="1"/>
        <v>0</v>
      </c>
      <c r="I36" s="42">
        <f t="shared" si="2"/>
        <v>0</v>
      </c>
      <c r="J36" s="62">
        <f t="shared" si="0"/>
        <v>2.3487298282006554E-2</v>
      </c>
    </row>
    <row r="37" spans="1:10" x14ac:dyDescent="0.2">
      <c r="A37" s="61" t="str">
        <f t="shared" si="5"/>
        <v>Rate Rider for Deferral/Variance Account Disposition (2012) - effective until May 31, 2013</v>
      </c>
      <c r="B37" s="43">
        <f>B22</f>
        <v>800</v>
      </c>
      <c r="C37" s="40">
        <f t="shared" si="6"/>
        <v>-6.1000000000000004E-3</v>
      </c>
      <c r="D37" s="41">
        <f t="shared" si="3"/>
        <v>-4.88</v>
      </c>
      <c r="E37" s="43">
        <f>B22</f>
        <v>800</v>
      </c>
      <c r="F37" s="40">
        <f t="shared" si="7"/>
        <v>-6.1000000000000004E-3</v>
      </c>
      <c r="G37" s="41">
        <f t="shared" si="4"/>
        <v>-4.88</v>
      </c>
      <c r="H37" s="41">
        <f t="shared" si="1"/>
        <v>0</v>
      </c>
      <c r="I37" s="42">
        <f t="shared" si="2"/>
        <v>0</v>
      </c>
      <c r="J37" s="62">
        <f t="shared" si="0"/>
        <v>-3.1146199895704347E-2</v>
      </c>
    </row>
    <row r="38" spans="1:10" x14ac:dyDescent="0.2">
      <c r="A38" s="61" t="str">
        <f t="shared" si="5"/>
        <v>Rate Rider for Deferral/Variance Account Disposition (2013) - effective until December 31, 2013</v>
      </c>
      <c r="B38" s="43">
        <f>B22</f>
        <v>800</v>
      </c>
      <c r="C38" s="40">
        <f t="shared" si="6"/>
        <v>0</v>
      </c>
      <c r="D38" s="41">
        <f t="shared" si="3"/>
        <v>0</v>
      </c>
      <c r="E38" s="43">
        <f>B22</f>
        <v>800</v>
      </c>
      <c r="F38" s="40">
        <f t="shared" si="7"/>
        <v>-5.1999999999999998E-3</v>
      </c>
      <c r="G38" s="41">
        <f t="shared" si="4"/>
        <v>-4.16</v>
      </c>
      <c r="H38" s="41">
        <f t="shared" si="1"/>
        <v>-4.16</v>
      </c>
      <c r="I38" s="42">
        <f t="shared" si="2"/>
        <v>0</v>
      </c>
      <c r="J38" s="62">
        <f t="shared" si="0"/>
        <v>-2.6550858927485675E-2</v>
      </c>
    </row>
    <row r="39" spans="1:10" x14ac:dyDescent="0.2">
      <c r="A39" s="61" t="str">
        <f t="shared" si="5"/>
        <v>Rate Rider for Global Adjustment Sub-Account Disposition (2013) - effective until December 31, 2013</v>
      </c>
      <c r="B39" s="43">
        <f>B22</f>
        <v>800</v>
      </c>
      <c r="C39" s="40">
        <f t="shared" si="6"/>
        <v>0</v>
      </c>
      <c r="D39" s="41">
        <f t="shared" si="3"/>
        <v>0</v>
      </c>
      <c r="E39" s="43">
        <f>B22</f>
        <v>800</v>
      </c>
      <c r="F39" s="40">
        <f t="shared" si="7"/>
        <v>1.4999999999999999E-2</v>
      </c>
      <c r="G39" s="41">
        <f t="shared" si="4"/>
        <v>12</v>
      </c>
      <c r="H39" s="41">
        <f t="shared" si="1"/>
        <v>12</v>
      </c>
      <c r="I39" s="42">
        <f t="shared" si="2"/>
        <v>0</v>
      </c>
      <c r="J39" s="62">
        <f t="shared" si="0"/>
        <v>7.6589016136977897E-2</v>
      </c>
    </row>
    <row r="40" spans="1:10" ht="12.75" thickBot="1" x14ac:dyDescent="0.25">
      <c r="A40" s="61" t="str">
        <f t="shared" ref="A40" si="9">A14</f>
        <v xml:space="preserve">Rate Rider for Tax Changes </v>
      </c>
      <c r="B40" s="43">
        <f>B22</f>
        <v>800</v>
      </c>
      <c r="C40" s="40">
        <f t="shared" ref="C40" si="10">C14</f>
        <v>0</v>
      </c>
      <c r="D40" s="41">
        <f t="shared" si="3"/>
        <v>0</v>
      </c>
      <c r="E40" s="43">
        <f>B22</f>
        <v>800</v>
      </c>
      <c r="F40" s="40">
        <f t="shared" ref="F40" si="11">D14</f>
        <v>-2.0000000000000001E-4</v>
      </c>
      <c r="G40" s="41">
        <f t="shared" si="4"/>
        <v>-0.16</v>
      </c>
      <c r="H40" s="41">
        <f t="shared" si="1"/>
        <v>-0.16</v>
      </c>
      <c r="I40" s="42">
        <f t="shared" si="2"/>
        <v>0</v>
      </c>
      <c r="J40" s="62">
        <f t="shared" si="0"/>
        <v>-1.021186881826372E-3</v>
      </c>
    </row>
    <row r="41" spans="1:10" ht="12.75" thickBot="1" x14ac:dyDescent="0.25">
      <c r="A41" s="73" t="s">
        <v>40</v>
      </c>
      <c r="B41" s="74"/>
      <c r="C41" s="75"/>
      <c r="D41" s="80">
        <f>SUM(D30:D40)</f>
        <v>44.47</v>
      </c>
      <c r="E41" s="75"/>
      <c r="F41" s="75"/>
      <c r="G41" s="76">
        <f>SUM(G30:G40)</f>
        <v>54.95</v>
      </c>
      <c r="H41" s="76">
        <f t="shared" si="1"/>
        <v>10.480000000000004</v>
      </c>
      <c r="I41" s="77">
        <f t="shared" si="2"/>
        <v>0.23566449291657307</v>
      </c>
      <c r="J41" s="78">
        <f t="shared" si="0"/>
        <v>0.35071386972724466</v>
      </c>
    </row>
    <row r="42" spans="1:10" x14ac:dyDescent="0.2">
      <c r="A42" s="69" t="str">
        <f>A15</f>
        <v>Retail Transmission Rate - Network Service Rate</v>
      </c>
      <c r="B42" s="44">
        <f>B22*Rates!D82</f>
        <v>869.12</v>
      </c>
      <c r="C42" s="45">
        <f>C15</f>
        <v>7.1000000000000004E-3</v>
      </c>
      <c r="D42" s="47">
        <f>B42*C42</f>
        <v>6.1707520000000002</v>
      </c>
      <c r="E42" s="44">
        <f>B22*H22</f>
        <v>869.12</v>
      </c>
      <c r="F42" s="45">
        <f>D15</f>
        <v>6.8999999999999999E-3</v>
      </c>
      <c r="G42" s="47">
        <f>E42*F42</f>
        <v>5.9969279999999996</v>
      </c>
      <c r="H42" s="47">
        <f t="shared" si="1"/>
        <v>-0.17382400000000064</v>
      </c>
      <c r="I42" s="48">
        <f t="shared" si="2"/>
        <v>-2.8169014084507147E-2</v>
      </c>
      <c r="J42" s="72">
        <f t="shared" si="0"/>
        <v>3.8274901280357883E-2</v>
      </c>
    </row>
    <row r="43" spans="1:10" ht="12.75" thickBot="1" x14ac:dyDescent="0.25">
      <c r="A43" s="63" t="str">
        <f>A16</f>
        <v>Retail Transmission Rate - Line and Transformation Connection Service Rate</v>
      </c>
      <c r="B43" s="64">
        <f>B22*Rates!D82</f>
        <v>869.12</v>
      </c>
      <c r="C43" s="65">
        <f>C16</f>
        <v>5.1000000000000004E-3</v>
      </c>
      <c r="D43" s="66">
        <f>B43*C43</f>
        <v>4.432512</v>
      </c>
      <c r="E43" s="64">
        <f>B22*H22</f>
        <v>869.12</v>
      </c>
      <c r="F43" s="65">
        <f>D16</f>
        <v>4.8999999999999998E-3</v>
      </c>
      <c r="G43" s="66">
        <f>E43*F43</f>
        <v>4.2586880000000003</v>
      </c>
      <c r="H43" s="66">
        <f t="shared" si="1"/>
        <v>-0.17382399999999976</v>
      </c>
      <c r="I43" s="67">
        <f t="shared" si="2"/>
        <v>-3.9215686274509748E-2</v>
      </c>
      <c r="J43" s="68">
        <f t="shared" si="0"/>
        <v>2.718072699619618E-2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10.603263999999999</v>
      </c>
      <c r="E44" s="75"/>
      <c r="F44" s="75"/>
      <c r="G44" s="76">
        <f>SUM(G42:G43)</f>
        <v>10.255616</v>
      </c>
      <c r="H44" s="76">
        <f t="shared" si="1"/>
        <v>-0.34764799999999951</v>
      </c>
      <c r="I44" s="77">
        <f t="shared" si="2"/>
        <v>-3.2786885245901592E-2</v>
      </c>
      <c r="J44" s="78">
        <f t="shared" si="0"/>
        <v>6.5455628276554059E-2</v>
      </c>
    </row>
    <row r="45" spans="1:10" ht="12.75" thickBot="1" x14ac:dyDescent="0.25">
      <c r="A45" s="81" t="s">
        <v>41</v>
      </c>
      <c r="B45" s="82"/>
      <c r="C45" s="83"/>
      <c r="D45" s="84">
        <f>D41+D44</f>
        <v>55.073263999999995</v>
      </c>
      <c r="E45" s="83"/>
      <c r="F45" s="83"/>
      <c r="G45" s="84">
        <f>G41+G44</f>
        <v>65.205616000000006</v>
      </c>
      <c r="H45" s="84">
        <f t="shared" si="1"/>
        <v>10.132352000000012</v>
      </c>
      <c r="I45" s="85">
        <f t="shared" si="2"/>
        <v>0.18397950773355312</v>
      </c>
      <c r="J45" s="86">
        <f t="shared" si="0"/>
        <v>0.41616949800379877</v>
      </c>
    </row>
    <row r="46" spans="1:10" x14ac:dyDescent="0.2">
      <c r="A46" s="69" t="str">
        <f>A17</f>
        <v>Wholesale Market Service Rate</v>
      </c>
      <c r="B46" s="44">
        <f>B22*Rates!D82</f>
        <v>869.12</v>
      </c>
      <c r="C46" s="45">
        <f>C17</f>
        <v>5.1999999999999998E-3</v>
      </c>
      <c r="D46" s="47">
        <f>B46*C46</f>
        <v>4.5194239999999999</v>
      </c>
      <c r="E46" s="44">
        <f>B22*H22</f>
        <v>869.12</v>
      </c>
      <c r="F46" s="45">
        <f>D17</f>
        <v>4.4000000000000003E-3</v>
      </c>
      <c r="G46" s="47">
        <f>E46*F46</f>
        <v>3.8241280000000004</v>
      </c>
      <c r="H46" s="47">
        <f t="shared" si="1"/>
        <v>-0.69529599999999947</v>
      </c>
      <c r="I46" s="48">
        <f t="shared" si="2"/>
        <v>-0.15384615384615374</v>
      </c>
      <c r="J46" s="72">
        <f t="shared" si="0"/>
        <v>2.4407183425155757E-2</v>
      </c>
    </row>
    <row r="47" spans="1:10" x14ac:dyDescent="0.2">
      <c r="A47" s="61" t="str">
        <f>A18</f>
        <v>Rural Rate Protection Charge</v>
      </c>
      <c r="B47" s="39">
        <f>B22*Rates!D82</f>
        <v>869.12</v>
      </c>
      <c r="C47" s="40">
        <f>C18</f>
        <v>1.1000000000000001E-3</v>
      </c>
      <c r="D47" s="41">
        <f>B47*C47</f>
        <v>0.9560320000000001</v>
      </c>
      <c r="E47" s="39">
        <f>B22*H22</f>
        <v>869.12</v>
      </c>
      <c r="F47" s="40">
        <f>D18</f>
        <v>1.1999999999999999E-3</v>
      </c>
      <c r="G47" s="41">
        <f>E47*F47</f>
        <v>1.0429439999999999</v>
      </c>
      <c r="H47" s="41">
        <f t="shared" si="1"/>
        <v>8.6911999999999767E-2</v>
      </c>
      <c r="I47" s="42">
        <f t="shared" si="2"/>
        <v>9.0909090909090662E-2</v>
      </c>
      <c r="J47" s="62">
        <f t="shared" si="0"/>
        <v>6.6565045704970226E-3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1</v>
      </c>
      <c r="C48" s="66">
        <f>C19</f>
        <v>0.25</v>
      </c>
      <c r="D48" s="66">
        <f>B48*C48</f>
        <v>0.25</v>
      </c>
      <c r="E48" s="64">
        <f>B30</f>
        <v>1</v>
      </c>
      <c r="F48" s="66">
        <f>D19</f>
        <v>0.25</v>
      </c>
      <c r="G48" s="66">
        <f>E48*F48</f>
        <v>0.25</v>
      </c>
      <c r="H48" s="66">
        <f t="shared" si="1"/>
        <v>0</v>
      </c>
      <c r="I48" s="67">
        <f t="shared" si="2"/>
        <v>0</v>
      </c>
      <c r="J48" s="68">
        <f t="shared" si="0"/>
        <v>1.5956045028537064E-3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5.7254560000000003</v>
      </c>
      <c r="E49" s="75"/>
      <c r="F49" s="75"/>
      <c r="G49" s="76">
        <f>SUM(G46:G48)</f>
        <v>5.1170720000000003</v>
      </c>
      <c r="H49" s="76">
        <f t="shared" si="1"/>
        <v>-0.60838400000000004</v>
      </c>
      <c r="I49" s="77">
        <f t="shared" si="2"/>
        <v>-0.10625948396075352</v>
      </c>
      <c r="J49" s="78">
        <f t="shared" si="0"/>
        <v>3.2659292498506486E-2</v>
      </c>
    </row>
    <row r="50" spans="1:10" ht="12.75" thickBot="1" x14ac:dyDescent="0.25">
      <c r="A50" s="87" t="s">
        <v>19</v>
      </c>
      <c r="B50" s="88">
        <f>B22</f>
        <v>800</v>
      </c>
      <c r="C50" s="89">
        <f>Rates!D77</f>
        <v>2E-3</v>
      </c>
      <c r="D50" s="90">
        <f>B50*C50</f>
        <v>1.6</v>
      </c>
      <c r="E50" s="88">
        <f>B22</f>
        <v>800</v>
      </c>
      <c r="F50" s="89">
        <f>Rates!F77</f>
        <v>2E-3</v>
      </c>
      <c r="G50" s="90">
        <f>E50*F50</f>
        <v>1.6</v>
      </c>
      <c r="H50" s="90">
        <f t="shared" si="1"/>
        <v>0</v>
      </c>
      <c r="I50" s="91">
        <f t="shared" si="2"/>
        <v>0</v>
      </c>
      <c r="J50" s="92">
        <f t="shared" si="0"/>
        <v>1.0211868818263721E-2</v>
      </c>
    </row>
    <row r="51" spans="1:10" ht="12.75" thickBot="1" x14ac:dyDescent="0.25">
      <c r="A51" s="73" t="s">
        <v>43</v>
      </c>
      <c r="B51" s="74"/>
      <c r="C51" s="75"/>
      <c r="D51" s="76">
        <f>D29+D45+D49+D50</f>
        <v>129.13128</v>
      </c>
      <c r="E51" s="75"/>
      <c r="F51" s="75"/>
      <c r="G51" s="76">
        <f>G29+G45+G49+G50</f>
        <v>138.655248</v>
      </c>
      <c r="H51" s="76">
        <f t="shared" si="1"/>
        <v>9.5239679999999964</v>
      </c>
      <c r="I51" s="77">
        <f t="shared" si="2"/>
        <v>7.3754151588987543E-2</v>
      </c>
      <c r="J51" s="78">
        <f t="shared" si="0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16.7870664</v>
      </c>
      <c r="E52" s="96"/>
      <c r="F52" s="95">
        <f>Rates!F83</f>
        <v>0.13</v>
      </c>
      <c r="G52" s="90">
        <f>F52*G51</f>
        <v>18.025182239999999</v>
      </c>
      <c r="H52" s="90">
        <f t="shared" si="1"/>
        <v>1.238115839999999</v>
      </c>
      <c r="I52" s="91">
        <f t="shared" si="2"/>
        <v>7.3754151588987515E-2</v>
      </c>
      <c r="J52" s="92">
        <f t="shared" si="0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145.91834640000002</v>
      </c>
      <c r="E53" s="83"/>
      <c r="F53" s="83"/>
      <c r="G53" s="104">
        <f>G51+G52</f>
        <v>156.68043023999999</v>
      </c>
      <c r="H53" s="104">
        <f t="shared" si="1"/>
        <v>10.762083839999974</v>
      </c>
      <c r="I53" s="85">
        <f t="shared" si="2"/>
        <v>7.3754151588987391E-2</v>
      </c>
      <c r="J53" s="86">
        <f t="shared" si="0"/>
        <v>1</v>
      </c>
    </row>
    <row r="54" spans="1:10" x14ac:dyDescent="0.2">
      <c r="A54" s="125"/>
      <c r="B54" s="126"/>
      <c r="C54" s="127"/>
      <c r="D54" s="127"/>
      <c r="E54" s="127"/>
      <c r="F54" s="127"/>
      <c r="G54" s="127"/>
      <c r="H54" s="127"/>
      <c r="I54" s="127"/>
      <c r="J54" s="128"/>
    </row>
    <row r="55" spans="1:10" x14ac:dyDescent="0.2">
      <c r="A55" s="129" t="s">
        <v>57</v>
      </c>
      <c r="B55" s="130"/>
      <c r="C55" s="131"/>
      <c r="D55" s="132">
        <f>D53*0.1</f>
        <v>14.591834640000002</v>
      </c>
      <c r="E55" s="131"/>
      <c r="F55" s="131"/>
      <c r="G55" s="132">
        <f>G53*0.1</f>
        <v>15.668043023999999</v>
      </c>
      <c r="H55" s="131"/>
      <c r="I55" s="131"/>
      <c r="J55" s="133"/>
    </row>
    <row r="56" spans="1:10" ht="12.75" thickBot="1" x14ac:dyDescent="0.25">
      <c r="A56" s="134" t="s">
        <v>58</v>
      </c>
      <c r="B56" s="135"/>
      <c r="C56" s="136"/>
      <c r="D56" s="137">
        <f>D53-D55</f>
        <v>131.32651176000002</v>
      </c>
      <c r="E56" s="136"/>
      <c r="F56" s="136"/>
      <c r="G56" s="137">
        <f>G53-G55</f>
        <v>141.01238721599998</v>
      </c>
      <c r="H56" s="139">
        <f>G56-D56</f>
        <v>9.6858754559999625</v>
      </c>
      <c r="I56" s="140">
        <f>H56/D56</f>
        <v>7.375415158898728E-2</v>
      </c>
      <c r="J56" s="138"/>
    </row>
  </sheetData>
  <mergeCells count="4">
    <mergeCell ref="A25:A26"/>
    <mergeCell ref="B25:B26"/>
    <mergeCell ref="E25:E26"/>
    <mergeCell ref="H25:J25"/>
  </mergeCells>
  <pageMargins left="0.75" right="0.75" top="1" bottom="1" header="0.5" footer="0.5"/>
  <pageSetup scale="66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6"/>
  <sheetViews>
    <sheetView topLeftCell="A13" zoomScaleNormal="100" workbookViewId="0">
      <selection activeCell="L46" sqref="L46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</f>
        <v>Residential - R1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Rates!A3</f>
        <v>Monthly Service Charge</v>
      </c>
      <c r="B4" s="24" t="str">
        <f>Rates!B3</f>
        <v>$</v>
      </c>
      <c r="C4" s="25">
        <f>Rates!D3</f>
        <v>21.51</v>
      </c>
      <c r="D4" s="26">
        <f>Rates!F3</f>
        <v>22.32</v>
      </c>
    </row>
    <row r="5" spans="1:4" x14ac:dyDescent="0.2">
      <c r="A5" s="27" t="str">
        <f>Rates!A4</f>
        <v>Smart Meter Rate Adder</v>
      </c>
      <c r="B5" s="28" t="str">
        <f>Rates!B4</f>
        <v>$</v>
      </c>
      <c r="C5" s="29">
        <f>Rates!D4</f>
        <v>0</v>
      </c>
      <c r="D5" s="30">
        <f>Rates!F4</f>
        <v>0</v>
      </c>
    </row>
    <row r="6" spans="1:4" x14ac:dyDescent="0.2">
      <c r="A6" s="106" t="str">
        <f>Rates!A17</f>
        <v>Smart Meter Entity Charge - effective May 1, 2013 until October 31, 2018</v>
      </c>
      <c r="B6" s="28" t="str">
        <f>Rates!B17</f>
        <v>$</v>
      </c>
      <c r="C6" s="31">
        <f>Rates!D17</f>
        <v>0</v>
      </c>
      <c r="D6" s="32">
        <f>Rates!F17</f>
        <v>0.79</v>
      </c>
    </row>
    <row r="7" spans="1:4" x14ac:dyDescent="0.2">
      <c r="A7" s="27" t="str">
        <f>Rates!A5</f>
        <v>Distribution Volumetric Rate</v>
      </c>
      <c r="B7" s="28" t="str">
        <f>Rates!B5</f>
        <v>$/kWh</v>
      </c>
      <c r="C7" s="31">
        <f>Rates!D5</f>
        <v>3.0200000000000001E-2</v>
      </c>
      <c r="D7" s="32">
        <f>Rates!F5</f>
        <v>3.1300000000000001E-2</v>
      </c>
    </row>
    <row r="8" spans="1:4" x14ac:dyDescent="0.2">
      <c r="A8" s="27" t="str">
        <f>Rates!A6</f>
        <v>Rate Rider for Foregone Revenue Recovery - effective until December 31, 2012</v>
      </c>
      <c r="B8" s="28" t="str">
        <f>Rates!B6</f>
        <v>$/kWh</v>
      </c>
      <c r="C8" s="31">
        <f>Rates!D6</f>
        <v>0</v>
      </c>
      <c r="D8" s="32">
        <f>Rates!F6</f>
        <v>0</v>
      </c>
    </row>
    <row r="9" spans="1:4" x14ac:dyDescent="0.2">
      <c r="A9" s="27" t="str">
        <f>Rates!A7</f>
        <v>Rate Rider for Foregone Revenue Recovery - effective until December 31, 2014</v>
      </c>
      <c r="B9" s="28" t="str">
        <f>Rates!B7</f>
        <v>$/kWh</v>
      </c>
      <c r="C9" s="31">
        <f>Rates!D7</f>
        <v>0</v>
      </c>
      <c r="D9" s="32">
        <f>Rates!F7</f>
        <v>4.0000000000000002E-4</v>
      </c>
    </row>
    <row r="10" spans="1:4" x14ac:dyDescent="0.2">
      <c r="A10" s="27" t="str">
        <f>Rates!A8</f>
        <v>Rate Rider for Deferral/Variance Account Disposition (2010) - effective until May 31, 2013</v>
      </c>
      <c r="B10" s="28" t="str">
        <f>Rates!B8</f>
        <v>$/kWh</v>
      </c>
      <c r="C10" s="31">
        <f>Rates!D8</f>
        <v>4.5999999999999999E-3</v>
      </c>
      <c r="D10" s="32">
        <f>Rates!F8</f>
        <v>4.5999999999999999E-3</v>
      </c>
    </row>
    <row r="11" spans="1:4" x14ac:dyDescent="0.2">
      <c r="A11" s="27" t="str">
        <f>Rates!A9</f>
        <v>Rate Rider for Deferral/Variance Account Disposition (2012) - effective until May 31, 2013</v>
      </c>
      <c r="B11" s="28" t="str">
        <f>Rates!B9</f>
        <v>$/kWh</v>
      </c>
      <c r="C11" s="31">
        <f>Rates!D9</f>
        <v>-6.1000000000000004E-3</v>
      </c>
      <c r="D11" s="32">
        <f>Rates!F9</f>
        <v>-6.1000000000000004E-3</v>
      </c>
    </row>
    <row r="12" spans="1:4" x14ac:dyDescent="0.2">
      <c r="A12" s="27" t="str">
        <f>Rates!A10</f>
        <v>Rate Rider for Deferral/Variance Account Disposition (2013) - effective until December 31, 2013</v>
      </c>
      <c r="B12" s="28" t="str">
        <f>Rates!B10</f>
        <v>$/kWh</v>
      </c>
      <c r="C12" s="31">
        <f>Rates!D10</f>
        <v>0</v>
      </c>
      <c r="D12" s="32">
        <f>Rates!F10</f>
        <v>-5.1999999999999998E-3</v>
      </c>
    </row>
    <row r="13" spans="1:4" x14ac:dyDescent="0.2">
      <c r="A13" s="27" t="str">
        <f>Rates!A11</f>
        <v>Rate Rider for Global Adjustment Sub-Account Disposition (2013) - effective until December 31, 2013</v>
      </c>
      <c r="B13" s="28" t="str">
        <f>Rates!B11</f>
        <v>$/kWh</v>
      </c>
      <c r="C13" s="31">
        <f>Rates!D11</f>
        <v>0</v>
      </c>
      <c r="D13" s="32"/>
    </row>
    <row r="14" spans="1:4" x14ac:dyDescent="0.2">
      <c r="A14" s="27" t="str">
        <f>Rates!A12</f>
        <v xml:space="preserve">Rate Rider for Tax Changes </v>
      </c>
      <c r="B14" s="28" t="str">
        <f>Rates!B12</f>
        <v>$/kWh</v>
      </c>
      <c r="C14" s="31">
        <f>Rates!D12</f>
        <v>0</v>
      </c>
      <c r="D14" s="32">
        <f>Rates!F12</f>
        <v>-2.0000000000000001E-4</v>
      </c>
    </row>
    <row r="15" spans="1:4" x14ac:dyDescent="0.2">
      <c r="A15" s="27" t="str">
        <f>Rates!A13</f>
        <v>Retail Transmission Rate - Network Service Rate</v>
      </c>
      <c r="B15" s="28" t="str">
        <f>Rates!B13</f>
        <v>$/kWh</v>
      </c>
      <c r="C15" s="31">
        <f>Rates!D13</f>
        <v>7.1000000000000004E-3</v>
      </c>
      <c r="D15" s="32">
        <f>Rates!F13</f>
        <v>6.8999999999999999E-3</v>
      </c>
    </row>
    <row r="16" spans="1:4" x14ac:dyDescent="0.2">
      <c r="A16" s="27" t="str">
        <f>Rates!A14</f>
        <v>Retail Transmission Rate - Line and Transformation Connection Service Rate</v>
      </c>
      <c r="B16" s="28" t="str">
        <f>Rates!B14</f>
        <v>$/kWh</v>
      </c>
      <c r="C16" s="31">
        <f>Rates!D14</f>
        <v>5.1000000000000004E-3</v>
      </c>
      <c r="D16" s="32">
        <f>Rates!F14</f>
        <v>4.8999999999999998E-3</v>
      </c>
    </row>
    <row r="17" spans="1:10" x14ac:dyDescent="0.2">
      <c r="A17" s="19" t="str">
        <f>Rates!A15</f>
        <v>Wholesale Market Service Rate</v>
      </c>
      <c r="B17" s="20" t="str">
        <f>Rates!B15</f>
        <v>$/kWh</v>
      </c>
      <c r="C17" s="21">
        <f>Rates!D15</f>
        <v>5.1999999999999998E-3</v>
      </c>
      <c r="D17" s="22">
        <f>Rates!F15</f>
        <v>4.4000000000000003E-3</v>
      </c>
    </row>
    <row r="18" spans="1:10" x14ac:dyDescent="0.2">
      <c r="A18" s="27" t="str">
        <f>Rates!A16</f>
        <v>Rural Rate Protection Charge</v>
      </c>
      <c r="B18" s="28" t="str">
        <f>Rates!B16</f>
        <v>$/kWh</v>
      </c>
      <c r="C18" s="31">
        <f>Rates!D16</f>
        <v>1.1000000000000001E-3</v>
      </c>
      <c r="D18" s="32">
        <f>Rates!F16</f>
        <v>1.1999999999999999E-3</v>
      </c>
    </row>
    <row r="19" spans="1:10" ht="12.75" thickBot="1" x14ac:dyDescent="0.25">
      <c r="A19" s="12" t="str">
        <f>Rates!A18</f>
        <v>Standard Supply Service - Administarive Charge (if applicable)</v>
      </c>
      <c r="B19" s="17" t="str">
        <f>Rates!B18</f>
        <v>$</v>
      </c>
      <c r="C19" s="18">
        <f>Rates!D18</f>
        <v>0.25</v>
      </c>
      <c r="D19" s="13">
        <f>Rates!F18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2000</v>
      </c>
      <c r="C22" s="35" t="s">
        <v>27</v>
      </c>
      <c r="D22" s="36"/>
      <c r="E22" s="35" t="s">
        <v>28</v>
      </c>
      <c r="G22" s="102" t="s">
        <v>23</v>
      </c>
      <c r="H22" s="53">
        <f>Rates!F82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38" t="str">
        <f>IF(D22&gt;0,B22/(D22*24*30.4)," ")</f>
        <v xml:space="preserve"> </v>
      </c>
    </row>
    <row r="24" spans="1:10" ht="12.75" thickBot="1" x14ac:dyDescent="0.25"/>
    <row r="25" spans="1:10" ht="12.75" customHeight="1" x14ac:dyDescent="0.2">
      <c r="A25" s="152" t="str">
        <f>A3</f>
        <v>Residential - R1</v>
      </c>
      <c r="B25" s="154" t="s">
        <v>31</v>
      </c>
      <c r="C25" s="146" t="s">
        <v>37</v>
      </c>
      <c r="D25" s="146" t="s">
        <v>38</v>
      </c>
      <c r="E25" s="154" t="s">
        <v>31</v>
      </c>
      <c r="F25" s="146" t="s">
        <v>37</v>
      </c>
      <c r="G25" s="146" t="s">
        <v>38</v>
      </c>
      <c r="H25" s="156" t="s">
        <v>44</v>
      </c>
      <c r="I25" s="156"/>
      <c r="J25" s="157"/>
    </row>
    <row r="26" spans="1:10" ht="12.75" thickBot="1" x14ac:dyDescent="0.25">
      <c r="A26" s="153"/>
      <c r="B26" s="155"/>
      <c r="C26" s="50" t="s">
        <v>15</v>
      </c>
      <c r="D26" s="50" t="s">
        <v>15</v>
      </c>
      <c r="E26" s="155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IF(B22*Rates!D82&gt;B23,B23,B22*Rates!D82)</f>
        <v>750</v>
      </c>
      <c r="C27" s="56">
        <f>Rates!D78</f>
        <v>7.4999999999999997E-2</v>
      </c>
      <c r="D27" s="57">
        <f>B27*C27</f>
        <v>56.25</v>
      </c>
      <c r="E27" s="55">
        <f>IF(B22*H22&gt;B23,B23,B22*H22)</f>
        <v>750</v>
      </c>
      <c r="F27" s="56">
        <f>Rates!F78</f>
        <v>7.4999999999999997E-2</v>
      </c>
      <c r="G27" s="57">
        <f>E27*F27</f>
        <v>56.25</v>
      </c>
      <c r="H27" s="58">
        <f>G27-D27</f>
        <v>0</v>
      </c>
      <c r="I27" s="59">
        <f>IF(ISERROR(H27/D27),1,H27/D27)</f>
        <v>0</v>
      </c>
      <c r="J27" s="60">
        <f t="shared" ref="J27:J53" si="0">IF(ISERROR(G27/G$53),0,G27/G$53)</f>
        <v>0.16804482061341769</v>
      </c>
    </row>
    <row r="28" spans="1:10" ht="12.75" thickBot="1" x14ac:dyDescent="0.25">
      <c r="A28" s="63" t="s">
        <v>36</v>
      </c>
      <c r="B28" s="64">
        <f>IF(B22*Rates!D82&gt;=B23,B22*Rates!D82-B23,0)</f>
        <v>1422.8000000000002</v>
      </c>
      <c r="C28" s="65">
        <f>Rates!D79</f>
        <v>8.7999999999999995E-2</v>
      </c>
      <c r="D28" s="66">
        <f>B28*C28</f>
        <v>125.2064</v>
      </c>
      <c r="E28" s="64">
        <f>IF(B22*H22&gt;=B23,B22*H22-B23,0)</f>
        <v>1422.8000000000002</v>
      </c>
      <c r="F28" s="65">
        <f>Rates!F79</f>
        <v>8.7999999999999995E-2</v>
      </c>
      <c r="G28" s="66">
        <f>E28*F28</f>
        <v>125.2064</v>
      </c>
      <c r="H28" s="66">
        <f t="shared" ref="H28:H53" si="1">G28-D28</f>
        <v>0</v>
      </c>
      <c r="I28" s="67">
        <f t="shared" ref="I28:I53" si="2">IF(ISERROR(H28/D28),0,H28/D28)</f>
        <v>0</v>
      </c>
      <c r="J28" s="68">
        <f t="shared" si="0"/>
        <v>0.37404954715825456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181.4564</v>
      </c>
      <c r="E29" s="75"/>
      <c r="F29" s="75"/>
      <c r="G29" s="76">
        <f>SUM(G27:G28)</f>
        <v>181.4564</v>
      </c>
      <c r="H29" s="76">
        <f t="shared" si="1"/>
        <v>0</v>
      </c>
      <c r="I29" s="77">
        <f t="shared" si="2"/>
        <v>0</v>
      </c>
      <c r="J29" s="78">
        <f t="shared" si="0"/>
        <v>0.5420943677716723</v>
      </c>
    </row>
    <row r="30" spans="1:10" x14ac:dyDescent="0.2">
      <c r="A30" s="69" t="str">
        <f>A4</f>
        <v>Monthly Service Charge</v>
      </c>
      <c r="B30" s="70">
        <v>1</v>
      </c>
      <c r="C30" s="46">
        <f>C4</f>
        <v>21.51</v>
      </c>
      <c r="D30" s="46">
        <f>B30*C30</f>
        <v>21.51</v>
      </c>
      <c r="E30" s="71">
        <f>B30</f>
        <v>1</v>
      </c>
      <c r="F30" s="47">
        <f>D4</f>
        <v>22.32</v>
      </c>
      <c r="G30" s="47">
        <f>E30*F30</f>
        <v>22.32</v>
      </c>
      <c r="H30" s="47">
        <f t="shared" si="1"/>
        <v>0.80999999999999872</v>
      </c>
      <c r="I30" s="48">
        <f t="shared" si="2"/>
        <v>3.7656903765690315E-2</v>
      </c>
      <c r="J30" s="72">
        <f t="shared" si="0"/>
        <v>6.6680184819404131E-2</v>
      </c>
    </row>
    <row r="31" spans="1:10" x14ac:dyDescent="0.2">
      <c r="A31" s="61" t="str">
        <f>A5</f>
        <v>Smart Meter Rate Adder</v>
      </c>
      <c r="B31" s="43">
        <f>B30</f>
        <v>1</v>
      </c>
      <c r="C31" s="41">
        <f>C5</f>
        <v>0</v>
      </c>
      <c r="D31" s="41">
        <f t="shared" ref="D31:D40" si="3">B31*C31</f>
        <v>0</v>
      </c>
      <c r="E31" s="43">
        <f>B31</f>
        <v>1</v>
      </c>
      <c r="F31" s="41">
        <f>D5</f>
        <v>0</v>
      </c>
      <c r="G31" s="41">
        <f t="shared" ref="G31:G40" si="4">E31*F31</f>
        <v>0</v>
      </c>
      <c r="H31" s="41">
        <f t="shared" si="1"/>
        <v>0</v>
      </c>
      <c r="I31" s="42">
        <f>IF(ISERROR(H31/D31),1,H31/D31)</f>
        <v>1</v>
      </c>
      <c r="J31" s="62">
        <f t="shared" si="0"/>
        <v>0</v>
      </c>
    </row>
    <row r="32" spans="1:10" x14ac:dyDescent="0.2">
      <c r="A32" s="63" t="str">
        <f>A6</f>
        <v>Smart Meter Entity Charge - effective May 1, 2013 until October 31, 2018</v>
      </c>
      <c r="B32" s="64">
        <f>B30</f>
        <v>1</v>
      </c>
      <c r="C32" s="65">
        <f>Rates!D17</f>
        <v>0</v>
      </c>
      <c r="D32" s="66">
        <f>B32*C32</f>
        <v>0</v>
      </c>
      <c r="E32" s="64">
        <f>B30</f>
        <v>1</v>
      </c>
      <c r="F32" s="65">
        <f>Rates!F17</f>
        <v>0.79</v>
      </c>
      <c r="G32" s="66">
        <f>E32*F32</f>
        <v>0.79</v>
      </c>
      <c r="H32" s="41">
        <f>G32-D32</f>
        <v>0.79</v>
      </c>
      <c r="I32" s="42">
        <f>IF(ISERROR(H32/D32),0,H32/D32)</f>
        <v>0</v>
      </c>
      <c r="J32" s="62">
        <f t="shared" si="0"/>
        <v>2.3600961472817774E-3</v>
      </c>
    </row>
    <row r="33" spans="1:10" x14ac:dyDescent="0.2">
      <c r="A33" s="61" t="str">
        <f t="shared" ref="A33:A40" si="5">A7</f>
        <v>Distribution Volumetric Rate</v>
      </c>
      <c r="B33" s="43">
        <f>B22</f>
        <v>2000</v>
      </c>
      <c r="C33" s="40">
        <f t="shared" ref="C33:C40" si="6">C7</f>
        <v>3.0200000000000001E-2</v>
      </c>
      <c r="D33" s="41">
        <f t="shared" si="3"/>
        <v>60.400000000000006</v>
      </c>
      <c r="E33" s="43">
        <f>B22</f>
        <v>2000</v>
      </c>
      <c r="F33" s="40">
        <f t="shared" ref="F33:F40" si="7">D7</f>
        <v>3.1300000000000001E-2</v>
      </c>
      <c r="G33" s="41">
        <f t="shared" si="4"/>
        <v>62.6</v>
      </c>
      <c r="H33" s="41">
        <f t="shared" si="1"/>
        <v>2.1999999999999957</v>
      </c>
      <c r="I33" s="42">
        <f t="shared" si="2"/>
        <v>3.6423841059602578E-2</v>
      </c>
      <c r="J33" s="62">
        <f t="shared" si="0"/>
        <v>0.18701521369599905</v>
      </c>
    </row>
    <row r="34" spans="1:10" x14ac:dyDescent="0.2">
      <c r="A34" s="61" t="str">
        <f t="shared" si="5"/>
        <v>Rate Rider for Foregone Revenue Recovery - effective until December 31, 2012</v>
      </c>
      <c r="B34" s="43">
        <f>B22</f>
        <v>2000</v>
      </c>
      <c r="C34" s="40">
        <f t="shared" si="6"/>
        <v>0</v>
      </c>
      <c r="D34" s="41">
        <f t="shared" si="3"/>
        <v>0</v>
      </c>
      <c r="E34" s="43">
        <f>B22</f>
        <v>2000</v>
      </c>
      <c r="F34" s="40">
        <f t="shared" si="7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0"/>
        <v>0</v>
      </c>
    </row>
    <row r="35" spans="1:10" x14ac:dyDescent="0.2">
      <c r="A35" s="61" t="str">
        <f t="shared" si="5"/>
        <v>Rate Rider for Foregone Revenue Recovery - effective until December 31, 2014</v>
      </c>
      <c r="B35" s="43">
        <f>B22</f>
        <v>2000</v>
      </c>
      <c r="C35" s="40">
        <f t="shared" si="6"/>
        <v>0</v>
      </c>
      <c r="D35" s="41">
        <f t="shared" si="3"/>
        <v>0</v>
      </c>
      <c r="E35" s="43">
        <f>B22</f>
        <v>2000</v>
      </c>
      <c r="F35" s="40">
        <f t="shared" si="7"/>
        <v>4.0000000000000002E-4</v>
      </c>
      <c r="G35" s="41">
        <f>E35*F35</f>
        <v>0.8</v>
      </c>
      <c r="H35" s="41">
        <f>G35-D35</f>
        <v>0.8</v>
      </c>
      <c r="I35" s="42">
        <f>IF(ISERROR(H35/D35),0,H35/D35)</f>
        <v>0</v>
      </c>
      <c r="J35" s="62">
        <f t="shared" si="0"/>
        <v>2.389970782057496E-3</v>
      </c>
    </row>
    <row r="36" spans="1:10" x14ac:dyDescent="0.2">
      <c r="A36" s="61" t="str">
        <f t="shared" si="5"/>
        <v>Rate Rider for Deferral/Variance Account Disposition (2010) - effective until May 31, 2013</v>
      </c>
      <c r="B36" s="43">
        <f>B22</f>
        <v>2000</v>
      </c>
      <c r="C36" s="40">
        <f t="shared" si="6"/>
        <v>4.5999999999999999E-3</v>
      </c>
      <c r="D36" s="41">
        <f t="shared" si="3"/>
        <v>9.1999999999999993</v>
      </c>
      <c r="E36" s="43">
        <f>B22</f>
        <v>2000</v>
      </c>
      <c r="F36" s="40">
        <f t="shared" si="7"/>
        <v>4.5999999999999999E-3</v>
      </c>
      <c r="G36" s="41">
        <f t="shared" si="4"/>
        <v>9.1999999999999993</v>
      </c>
      <c r="H36" s="41">
        <f t="shared" si="1"/>
        <v>0</v>
      </c>
      <c r="I36" s="42">
        <f t="shared" si="2"/>
        <v>0</v>
      </c>
      <c r="J36" s="62">
        <f t="shared" si="0"/>
        <v>2.7484663993661201E-2</v>
      </c>
    </row>
    <row r="37" spans="1:10" x14ac:dyDescent="0.2">
      <c r="A37" s="61" t="str">
        <f t="shared" si="5"/>
        <v>Rate Rider for Deferral/Variance Account Disposition (2012) - effective until May 31, 2013</v>
      </c>
      <c r="B37" s="43">
        <f>B22</f>
        <v>2000</v>
      </c>
      <c r="C37" s="40">
        <f t="shared" si="6"/>
        <v>-6.1000000000000004E-3</v>
      </c>
      <c r="D37" s="41">
        <f t="shared" si="3"/>
        <v>-12.200000000000001</v>
      </c>
      <c r="E37" s="43">
        <f>B22</f>
        <v>2000</v>
      </c>
      <c r="F37" s="40">
        <f t="shared" si="7"/>
        <v>-6.1000000000000004E-3</v>
      </c>
      <c r="G37" s="41">
        <f t="shared" si="4"/>
        <v>-12.200000000000001</v>
      </c>
      <c r="H37" s="41">
        <f t="shared" si="1"/>
        <v>0</v>
      </c>
      <c r="I37" s="42">
        <f t="shared" si="2"/>
        <v>0</v>
      </c>
      <c r="J37" s="62">
        <f t="shared" si="0"/>
        <v>-3.6447054426376815E-2</v>
      </c>
    </row>
    <row r="38" spans="1:10" x14ac:dyDescent="0.2">
      <c r="A38" s="61" t="str">
        <f t="shared" si="5"/>
        <v>Rate Rider for Deferral/Variance Account Disposition (2013) - effective until December 31, 2013</v>
      </c>
      <c r="B38" s="43">
        <f>B22</f>
        <v>2000</v>
      </c>
      <c r="C38" s="40">
        <f t="shared" si="6"/>
        <v>0</v>
      </c>
      <c r="D38" s="41">
        <f t="shared" si="3"/>
        <v>0</v>
      </c>
      <c r="E38" s="43">
        <f>B22</f>
        <v>2000</v>
      </c>
      <c r="F38" s="40">
        <f t="shared" si="7"/>
        <v>-5.1999999999999998E-3</v>
      </c>
      <c r="G38" s="41">
        <f t="shared" si="4"/>
        <v>-10.4</v>
      </c>
      <c r="H38" s="41">
        <f t="shared" si="1"/>
        <v>-10.4</v>
      </c>
      <c r="I38" s="42">
        <f t="shared" si="2"/>
        <v>0</v>
      </c>
      <c r="J38" s="62">
        <f t="shared" si="0"/>
        <v>-3.1069620166747448E-2</v>
      </c>
    </row>
    <row r="39" spans="1:10" x14ac:dyDescent="0.2">
      <c r="A39" s="61" t="str">
        <f t="shared" si="5"/>
        <v>Rate Rider for Global Adjustment Sub-Account Disposition (2013) - effective until December 31, 2013</v>
      </c>
      <c r="B39" s="43">
        <f>B22</f>
        <v>2000</v>
      </c>
      <c r="C39" s="40">
        <f t="shared" si="6"/>
        <v>0</v>
      </c>
      <c r="D39" s="41">
        <f t="shared" si="3"/>
        <v>0</v>
      </c>
      <c r="E39" s="43">
        <f>B22</f>
        <v>2000</v>
      </c>
      <c r="F39" s="40">
        <f t="shared" si="7"/>
        <v>0</v>
      </c>
      <c r="G39" s="41">
        <f t="shared" si="4"/>
        <v>0</v>
      </c>
      <c r="H39" s="41">
        <f t="shared" si="1"/>
        <v>0</v>
      </c>
      <c r="I39" s="42">
        <f t="shared" si="2"/>
        <v>0</v>
      </c>
      <c r="J39" s="62">
        <f t="shared" si="0"/>
        <v>0</v>
      </c>
    </row>
    <row r="40" spans="1:10" ht="12.75" thickBot="1" x14ac:dyDescent="0.25">
      <c r="A40" s="61" t="str">
        <f t="shared" si="5"/>
        <v xml:space="preserve">Rate Rider for Tax Changes </v>
      </c>
      <c r="B40" s="43">
        <f>B22</f>
        <v>2000</v>
      </c>
      <c r="C40" s="40">
        <f t="shared" si="6"/>
        <v>0</v>
      </c>
      <c r="D40" s="41">
        <f t="shared" si="3"/>
        <v>0</v>
      </c>
      <c r="E40" s="43">
        <f>B22</f>
        <v>2000</v>
      </c>
      <c r="F40" s="40">
        <f t="shared" si="7"/>
        <v>-2.0000000000000001E-4</v>
      </c>
      <c r="G40" s="41">
        <f t="shared" si="4"/>
        <v>-0.4</v>
      </c>
      <c r="H40" s="41">
        <f t="shared" si="1"/>
        <v>-0.4</v>
      </c>
      <c r="I40" s="42">
        <f t="shared" si="2"/>
        <v>0</v>
      </c>
      <c r="J40" s="62">
        <f t="shared" si="0"/>
        <v>-1.194985391028748E-3</v>
      </c>
    </row>
    <row r="41" spans="1:10" ht="12.75" thickBot="1" x14ac:dyDescent="0.25">
      <c r="A41" s="73" t="s">
        <v>40</v>
      </c>
      <c r="B41" s="74"/>
      <c r="C41" s="75"/>
      <c r="D41" s="80">
        <f>SUM(D30:D40)</f>
        <v>78.910000000000011</v>
      </c>
      <c r="E41" s="75"/>
      <c r="F41" s="75"/>
      <c r="G41" s="76">
        <f>SUM(G30:G40)</f>
        <v>72.709999999999994</v>
      </c>
      <c r="H41" s="76">
        <f t="shared" si="1"/>
        <v>-6.2000000000000171</v>
      </c>
      <c r="I41" s="77">
        <f t="shared" si="2"/>
        <v>-7.857052338106725E-2</v>
      </c>
      <c r="J41" s="78">
        <f t="shared" si="0"/>
        <v>0.21721846945425063</v>
      </c>
    </row>
    <row r="42" spans="1:10" x14ac:dyDescent="0.2">
      <c r="A42" s="69" t="str">
        <f>A15</f>
        <v>Retail Transmission Rate - Network Service Rate</v>
      </c>
      <c r="B42" s="44">
        <f>B22*Rates!D82</f>
        <v>2172.8000000000002</v>
      </c>
      <c r="C42" s="45">
        <f>C15</f>
        <v>7.1000000000000004E-3</v>
      </c>
      <c r="D42" s="47">
        <f>B42*C42</f>
        <v>15.426880000000002</v>
      </c>
      <c r="E42" s="44">
        <f>B22*H22</f>
        <v>2172.8000000000002</v>
      </c>
      <c r="F42" s="45">
        <f>D15</f>
        <v>6.8999999999999999E-3</v>
      </c>
      <c r="G42" s="47">
        <f>E42*F42</f>
        <v>14.992320000000001</v>
      </c>
      <c r="H42" s="47">
        <f t="shared" si="1"/>
        <v>-0.43456000000000117</v>
      </c>
      <c r="I42" s="48">
        <f t="shared" si="2"/>
        <v>-2.8169014084507112E-2</v>
      </c>
      <c r="J42" s="72">
        <f t="shared" si="0"/>
        <v>4.47890084440703E-2</v>
      </c>
    </row>
    <row r="43" spans="1:10" ht="12.75" thickBot="1" x14ac:dyDescent="0.25">
      <c r="A43" s="63" t="str">
        <f>A16</f>
        <v>Retail Transmission Rate - Line and Transformation Connection Service Rate</v>
      </c>
      <c r="B43" s="64">
        <f>B22*Rates!D82</f>
        <v>2172.8000000000002</v>
      </c>
      <c r="C43" s="65">
        <f>C16</f>
        <v>5.1000000000000004E-3</v>
      </c>
      <c r="D43" s="66">
        <f>B43*C43</f>
        <v>11.081280000000001</v>
      </c>
      <c r="E43" s="64">
        <f>B22*H22</f>
        <v>2172.8000000000002</v>
      </c>
      <c r="F43" s="65">
        <f>D16</f>
        <v>4.8999999999999998E-3</v>
      </c>
      <c r="G43" s="66">
        <f>E43*F43</f>
        <v>10.64672</v>
      </c>
      <c r="H43" s="66">
        <f t="shared" si="1"/>
        <v>-0.43456000000000117</v>
      </c>
      <c r="I43" s="67">
        <f t="shared" si="2"/>
        <v>-3.9215686274509907E-2</v>
      </c>
      <c r="J43" s="68">
        <f t="shared" si="0"/>
        <v>3.1806687155933981E-2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26.508160000000004</v>
      </c>
      <c r="E44" s="75"/>
      <c r="F44" s="75"/>
      <c r="G44" s="76">
        <f>SUM(G42:G43)</f>
        <v>25.639040000000001</v>
      </c>
      <c r="H44" s="76">
        <f t="shared" si="1"/>
        <v>-0.86912000000000234</v>
      </c>
      <c r="I44" s="77">
        <f t="shared" si="2"/>
        <v>-3.2786885245901724E-2</v>
      </c>
      <c r="J44" s="78">
        <f t="shared" si="0"/>
        <v>7.6595695600004274E-2</v>
      </c>
    </row>
    <row r="45" spans="1:10" ht="12.75" thickBot="1" x14ac:dyDescent="0.25">
      <c r="A45" s="81" t="s">
        <v>41</v>
      </c>
      <c r="B45" s="82"/>
      <c r="C45" s="83"/>
      <c r="D45" s="84">
        <f>D41+D44</f>
        <v>105.41816000000001</v>
      </c>
      <c r="E45" s="83"/>
      <c r="F45" s="83"/>
      <c r="G45" s="84">
        <f>G41+G44</f>
        <v>98.349040000000002</v>
      </c>
      <c r="H45" s="84">
        <f t="shared" si="1"/>
        <v>-7.0691200000000123</v>
      </c>
      <c r="I45" s="85">
        <f t="shared" si="2"/>
        <v>-6.7057895907118956E-2</v>
      </c>
      <c r="J45" s="86">
        <f t="shared" si="0"/>
        <v>0.29381416505425495</v>
      </c>
    </row>
    <row r="46" spans="1:10" x14ac:dyDescent="0.2">
      <c r="A46" s="69" t="str">
        <f>A17</f>
        <v>Wholesale Market Service Rate</v>
      </c>
      <c r="B46" s="44">
        <f>B22*Rates!D82</f>
        <v>2172.8000000000002</v>
      </c>
      <c r="C46" s="45">
        <f>C17</f>
        <v>5.1999999999999998E-3</v>
      </c>
      <c r="D46" s="47">
        <f>B46*C46</f>
        <v>11.29856</v>
      </c>
      <c r="E46" s="44">
        <f>B22*H22</f>
        <v>2172.8000000000002</v>
      </c>
      <c r="F46" s="45">
        <f>D17</f>
        <v>4.4000000000000003E-3</v>
      </c>
      <c r="G46" s="47">
        <f>E46*F46</f>
        <v>9.5603200000000008</v>
      </c>
      <c r="H46" s="47">
        <f t="shared" si="1"/>
        <v>-1.7382399999999993</v>
      </c>
      <c r="I46" s="48">
        <f t="shared" si="2"/>
        <v>-0.1538461538461538</v>
      </c>
      <c r="J46" s="72">
        <f t="shared" si="0"/>
        <v>2.8561106833899903E-2</v>
      </c>
    </row>
    <row r="47" spans="1:10" x14ac:dyDescent="0.2">
      <c r="A47" s="61" t="str">
        <f>A18</f>
        <v>Rural Rate Protection Charge</v>
      </c>
      <c r="B47" s="39">
        <f>B22*Rates!D82</f>
        <v>2172.8000000000002</v>
      </c>
      <c r="C47" s="40">
        <f>C18</f>
        <v>1.1000000000000001E-3</v>
      </c>
      <c r="D47" s="41">
        <f>B47*C47</f>
        <v>2.3900800000000002</v>
      </c>
      <c r="E47" s="39">
        <f>B22*H22</f>
        <v>2172.8000000000002</v>
      </c>
      <c r="F47" s="40">
        <f>D18</f>
        <v>1.1999999999999999E-3</v>
      </c>
      <c r="G47" s="41">
        <f>E47*F47</f>
        <v>2.6073599999999999</v>
      </c>
      <c r="H47" s="41">
        <f t="shared" si="1"/>
        <v>0.2172799999999997</v>
      </c>
      <c r="I47" s="42">
        <f t="shared" si="2"/>
        <v>9.0909090909090773E-2</v>
      </c>
      <c r="J47" s="62">
        <f t="shared" si="0"/>
        <v>7.7893927728817907E-3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1</v>
      </c>
      <c r="C48" s="66">
        <f>C19</f>
        <v>0.25</v>
      </c>
      <c r="D48" s="66">
        <f>B48*C48</f>
        <v>0.25</v>
      </c>
      <c r="E48" s="64">
        <f>B30</f>
        <v>1</v>
      </c>
      <c r="F48" s="66">
        <f>D19</f>
        <v>0.25</v>
      </c>
      <c r="G48" s="66">
        <f>E48*F48</f>
        <v>0.25</v>
      </c>
      <c r="H48" s="66">
        <f t="shared" si="1"/>
        <v>0</v>
      </c>
      <c r="I48" s="67">
        <f t="shared" si="2"/>
        <v>0</v>
      </c>
      <c r="J48" s="68">
        <f t="shared" si="0"/>
        <v>7.4686586939296743E-4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13.938639999999999</v>
      </c>
      <c r="E49" s="75"/>
      <c r="F49" s="75"/>
      <c r="G49" s="76">
        <f>SUM(G46:G48)</f>
        <v>12.417680000000001</v>
      </c>
      <c r="H49" s="76">
        <f t="shared" si="1"/>
        <v>-1.5209599999999988</v>
      </c>
      <c r="I49" s="77">
        <f t="shared" si="2"/>
        <v>-0.10911824970011413</v>
      </c>
      <c r="J49" s="78">
        <f t="shared" si="0"/>
        <v>3.7097365476174662E-2</v>
      </c>
    </row>
    <row r="50" spans="1:10" ht="12.75" thickBot="1" x14ac:dyDescent="0.25">
      <c r="A50" s="87" t="s">
        <v>19</v>
      </c>
      <c r="B50" s="88">
        <f>B22</f>
        <v>2000</v>
      </c>
      <c r="C50" s="89">
        <f>Rates!D77</f>
        <v>2E-3</v>
      </c>
      <c r="D50" s="90">
        <f>B50*C50</f>
        <v>4</v>
      </c>
      <c r="E50" s="88">
        <f>B22</f>
        <v>2000</v>
      </c>
      <c r="F50" s="89">
        <f>Rates!F77</f>
        <v>2E-3</v>
      </c>
      <c r="G50" s="90">
        <f>E50*F50</f>
        <v>4</v>
      </c>
      <c r="H50" s="90">
        <f t="shared" si="1"/>
        <v>0</v>
      </c>
      <c r="I50" s="91">
        <f t="shared" si="2"/>
        <v>0</v>
      </c>
      <c r="J50" s="92">
        <f t="shared" si="0"/>
        <v>1.1949853910287479E-2</v>
      </c>
    </row>
    <row r="51" spans="1:10" ht="12.75" thickBot="1" x14ac:dyDescent="0.25">
      <c r="A51" s="73" t="s">
        <v>43</v>
      </c>
      <c r="B51" s="74"/>
      <c r="C51" s="75"/>
      <c r="D51" s="76">
        <f>D29+D45+D49+D50</f>
        <v>304.81320000000005</v>
      </c>
      <c r="E51" s="75"/>
      <c r="F51" s="75"/>
      <c r="G51" s="76">
        <f>G29+G45+G49+G50</f>
        <v>296.22311999999999</v>
      </c>
      <c r="H51" s="76">
        <f t="shared" si="1"/>
        <v>-8.5900800000000572</v>
      </c>
      <c r="I51" s="77">
        <f t="shared" si="2"/>
        <v>-2.8181456708567924E-2</v>
      </c>
      <c r="J51" s="78">
        <f t="shared" si="0"/>
        <v>0.88495575221238931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39.625716000000011</v>
      </c>
      <c r="E52" s="96"/>
      <c r="F52" s="95">
        <f>Rates!F83</f>
        <v>0.13</v>
      </c>
      <c r="G52" s="90">
        <f>F52*G51</f>
        <v>38.509005600000002</v>
      </c>
      <c r="H52" s="90">
        <f t="shared" si="1"/>
        <v>-1.1167104000000094</v>
      </c>
      <c r="I52" s="91">
        <f t="shared" si="2"/>
        <v>-2.8181456708567969E-2</v>
      </c>
      <c r="J52" s="92">
        <f t="shared" si="0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344.43891600000006</v>
      </c>
      <c r="E53" s="83"/>
      <c r="F53" s="83"/>
      <c r="G53" s="104">
        <f>G51+G52</f>
        <v>334.73212560000002</v>
      </c>
      <c r="H53" s="104">
        <f t="shared" si="1"/>
        <v>-9.7067904000000453</v>
      </c>
      <c r="I53" s="85">
        <f t="shared" si="2"/>
        <v>-2.8181456708567865E-2</v>
      </c>
      <c r="J53" s="86">
        <f t="shared" si="0"/>
        <v>1</v>
      </c>
    </row>
    <row r="54" spans="1:10" x14ac:dyDescent="0.2">
      <c r="A54" s="125"/>
      <c r="B54" s="126"/>
      <c r="C54" s="127"/>
      <c r="D54" s="127"/>
      <c r="E54" s="127"/>
      <c r="F54" s="127"/>
      <c r="G54" s="127"/>
      <c r="H54" s="127"/>
      <c r="I54" s="127"/>
      <c r="J54" s="128"/>
    </row>
    <row r="55" spans="1:10" x14ac:dyDescent="0.2">
      <c r="A55" s="129" t="s">
        <v>57</v>
      </c>
      <c r="B55" s="130"/>
      <c r="C55" s="131"/>
      <c r="D55" s="132">
        <f>D53*0.1</f>
        <v>34.443891600000008</v>
      </c>
      <c r="E55" s="131"/>
      <c r="F55" s="131"/>
      <c r="G55" s="132">
        <f>G53*0.1</f>
        <v>33.47321256</v>
      </c>
      <c r="H55" s="131"/>
      <c r="I55" s="131"/>
      <c r="J55" s="133"/>
    </row>
    <row r="56" spans="1:10" ht="12.75" thickBot="1" x14ac:dyDescent="0.25">
      <c r="A56" s="134" t="s">
        <v>58</v>
      </c>
      <c r="B56" s="135"/>
      <c r="C56" s="136"/>
      <c r="D56" s="137">
        <f>D53-D55</f>
        <v>309.99502440000003</v>
      </c>
      <c r="E56" s="136"/>
      <c r="F56" s="136"/>
      <c r="G56" s="137">
        <f>G53-G55</f>
        <v>301.25891304000004</v>
      </c>
      <c r="H56" s="139">
        <f>G56-D56</f>
        <v>-8.7361113599999953</v>
      </c>
      <c r="I56" s="140">
        <f>H56/D56</f>
        <v>-2.8181456708567722E-2</v>
      </c>
      <c r="J56" s="138"/>
    </row>
  </sheetData>
  <mergeCells count="4">
    <mergeCell ref="A25:A26"/>
    <mergeCell ref="B25:B26"/>
    <mergeCell ref="E25:E26"/>
    <mergeCell ref="H25:J25"/>
  </mergeCells>
  <pageMargins left="0.75" right="0.75" top="1" bottom="1" header="0.5" footer="0.5"/>
  <pageSetup scale="66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6"/>
  <sheetViews>
    <sheetView topLeftCell="A10" zoomScaleNormal="100" workbookViewId="0">
      <selection activeCell="Q52" sqref="Q52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</f>
        <v>Residential - R1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Rates!A3</f>
        <v>Monthly Service Charge</v>
      </c>
      <c r="B4" s="24" t="str">
        <f>Rates!B3</f>
        <v>$</v>
      </c>
      <c r="C4" s="25">
        <f>Rates!D3</f>
        <v>21.51</v>
      </c>
      <c r="D4" s="26">
        <f>Rates!F3</f>
        <v>22.32</v>
      </c>
    </row>
    <row r="5" spans="1:4" x14ac:dyDescent="0.2">
      <c r="A5" s="27" t="str">
        <f>Rates!A4</f>
        <v>Smart Meter Rate Adder</v>
      </c>
      <c r="B5" s="28" t="str">
        <f>Rates!B4</f>
        <v>$</v>
      </c>
      <c r="C5" s="29">
        <f>Rates!D4</f>
        <v>0</v>
      </c>
      <c r="D5" s="30">
        <f>Rates!F4</f>
        <v>0</v>
      </c>
    </row>
    <row r="6" spans="1:4" x14ac:dyDescent="0.2">
      <c r="A6" s="106" t="str">
        <f>Rates!A17</f>
        <v>Smart Meter Entity Charge - effective May 1, 2013 until October 31, 2018</v>
      </c>
      <c r="B6" s="28" t="str">
        <f>Rates!B17</f>
        <v>$</v>
      </c>
      <c r="C6" s="31">
        <f>Rates!D17</f>
        <v>0</v>
      </c>
      <c r="D6" s="32">
        <f>Rates!F17</f>
        <v>0.79</v>
      </c>
    </row>
    <row r="7" spans="1:4" x14ac:dyDescent="0.2">
      <c r="A7" s="27" t="str">
        <f>Rates!A5</f>
        <v>Distribution Volumetric Rate</v>
      </c>
      <c r="B7" s="28" t="str">
        <f>Rates!B5</f>
        <v>$/kWh</v>
      </c>
      <c r="C7" s="31">
        <f>Rates!D5</f>
        <v>3.0200000000000001E-2</v>
      </c>
      <c r="D7" s="32">
        <f>Rates!F5</f>
        <v>3.1300000000000001E-2</v>
      </c>
    </row>
    <row r="8" spans="1:4" x14ac:dyDescent="0.2">
      <c r="A8" s="27" t="str">
        <f>Rates!A6</f>
        <v>Rate Rider for Foregone Revenue Recovery - effective until December 31, 2012</v>
      </c>
      <c r="B8" s="28" t="str">
        <f>Rates!B6</f>
        <v>$/kWh</v>
      </c>
      <c r="C8" s="31">
        <f>Rates!D6</f>
        <v>0</v>
      </c>
      <c r="D8" s="32">
        <f>Rates!F6</f>
        <v>0</v>
      </c>
    </row>
    <row r="9" spans="1:4" x14ac:dyDescent="0.2">
      <c r="A9" s="27" t="str">
        <f>Rates!A7</f>
        <v>Rate Rider for Foregone Revenue Recovery - effective until December 31, 2014</v>
      </c>
      <c r="B9" s="28" t="str">
        <f>Rates!B7</f>
        <v>$/kWh</v>
      </c>
      <c r="C9" s="31">
        <f>Rates!D7</f>
        <v>0</v>
      </c>
      <c r="D9" s="32">
        <f>Rates!F7</f>
        <v>4.0000000000000002E-4</v>
      </c>
    </row>
    <row r="10" spans="1:4" x14ac:dyDescent="0.2">
      <c r="A10" s="27" t="str">
        <f>Rates!A8</f>
        <v>Rate Rider for Deferral/Variance Account Disposition (2010) - effective until May 31, 2013</v>
      </c>
      <c r="B10" s="28" t="str">
        <f>Rates!B8</f>
        <v>$/kWh</v>
      </c>
      <c r="C10" s="31">
        <f>Rates!D8</f>
        <v>4.5999999999999999E-3</v>
      </c>
      <c r="D10" s="32">
        <f>Rates!F8</f>
        <v>4.5999999999999999E-3</v>
      </c>
    </row>
    <row r="11" spans="1:4" x14ac:dyDescent="0.2">
      <c r="A11" s="27" t="str">
        <f>Rates!A9</f>
        <v>Rate Rider for Deferral/Variance Account Disposition (2012) - effective until May 31, 2013</v>
      </c>
      <c r="B11" s="28" t="str">
        <f>Rates!B9</f>
        <v>$/kWh</v>
      </c>
      <c r="C11" s="31">
        <f>Rates!D9</f>
        <v>-6.1000000000000004E-3</v>
      </c>
      <c r="D11" s="32">
        <f>Rates!F9</f>
        <v>-6.1000000000000004E-3</v>
      </c>
    </row>
    <row r="12" spans="1:4" x14ac:dyDescent="0.2">
      <c r="A12" s="27" t="str">
        <f>Rates!A10</f>
        <v>Rate Rider for Deferral/Variance Account Disposition (2013) - effective until December 31, 2013</v>
      </c>
      <c r="B12" s="28" t="str">
        <f>Rates!B10</f>
        <v>$/kWh</v>
      </c>
      <c r="C12" s="31">
        <f>Rates!D10</f>
        <v>0</v>
      </c>
      <c r="D12" s="32">
        <f>Rates!F10</f>
        <v>-5.1999999999999998E-3</v>
      </c>
    </row>
    <row r="13" spans="1:4" x14ac:dyDescent="0.2">
      <c r="A13" s="27" t="str">
        <f>Rates!A11</f>
        <v>Rate Rider for Global Adjustment Sub-Account Disposition (2013) - effective until December 31, 2013</v>
      </c>
      <c r="B13" s="28" t="str">
        <f>Rates!B11</f>
        <v>$/kWh</v>
      </c>
      <c r="C13" s="31">
        <f>Rates!D11</f>
        <v>0</v>
      </c>
      <c r="D13" s="32">
        <f>Rates!F11</f>
        <v>1.4999999999999999E-2</v>
      </c>
    </row>
    <row r="14" spans="1:4" x14ac:dyDescent="0.2">
      <c r="A14" s="27" t="str">
        <f>Rates!A12</f>
        <v xml:space="preserve">Rate Rider for Tax Changes </v>
      </c>
      <c r="B14" s="28" t="str">
        <f>Rates!B12</f>
        <v>$/kWh</v>
      </c>
      <c r="C14" s="31">
        <f>Rates!D12</f>
        <v>0</v>
      </c>
      <c r="D14" s="32">
        <f>Rates!F12</f>
        <v>-2.0000000000000001E-4</v>
      </c>
    </row>
    <row r="15" spans="1:4" x14ac:dyDescent="0.2">
      <c r="A15" s="27" t="str">
        <f>Rates!A13</f>
        <v>Retail Transmission Rate - Network Service Rate</v>
      </c>
      <c r="B15" s="28" t="str">
        <f>Rates!B13</f>
        <v>$/kWh</v>
      </c>
      <c r="C15" s="31">
        <f>Rates!D13</f>
        <v>7.1000000000000004E-3</v>
      </c>
      <c r="D15" s="32">
        <f>Rates!F13</f>
        <v>6.8999999999999999E-3</v>
      </c>
    </row>
    <row r="16" spans="1:4" x14ac:dyDescent="0.2">
      <c r="A16" s="27" t="str">
        <f>Rates!A14</f>
        <v>Retail Transmission Rate - Line and Transformation Connection Service Rate</v>
      </c>
      <c r="B16" s="28" t="str">
        <f>Rates!B14</f>
        <v>$/kWh</v>
      </c>
      <c r="C16" s="31">
        <f>Rates!D14</f>
        <v>5.1000000000000004E-3</v>
      </c>
      <c r="D16" s="32">
        <f>Rates!F14</f>
        <v>4.8999999999999998E-3</v>
      </c>
    </row>
    <row r="17" spans="1:10" x14ac:dyDescent="0.2">
      <c r="A17" s="19" t="str">
        <f>Rates!A15</f>
        <v>Wholesale Market Service Rate</v>
      </c>
      <c r="B17" s="20" t="str">
        <f>Rates!B15</f>
        <v>$/kWh</v>
      </c>
      <c r="C17" s="21">
        <f>Rates!D15</f>
        <v>5.1999999999999998E-3</v>
      </c>
      <c r="D17" s="22">
        <f>Rates!F15</f>
        <v>4.4000000000000003E-3</v>
      </c>
    </row>
    <row r="18" spans="1:10" x14ac:dyDescent="0.2">
      <c r="A18" s="27" t="str">
        <f>Rates!A16</f>
        <v>Rural Rate Protection Charge</v>
      </c>
      <c r="B18" s="28" t="str">
        <f>Rates!B16</f>
        <v>$/kWh</v>
      </c>
      <c r="C18" s="31">
        <f>Rates!D16</f>
        <v>1.1000000000000001E-3</v>
      </c>
      <c r="D18" s="32">
        <f>Rates!F16</f>
        <v>1.1999999999999999E-3</v>
      </c>
    </row>
    <row r="19" spans="1:10" ht="12.75" thickBot="1" x14ac:dyDescent="0.25">
      <c r="A19" s="12" t="str">
        <f>Rates!A18</f>
        <v>Standard Supply Service - Administarive Charge (if applicable)</v>
      </c>
      <c r="B19" s="17" t="str">
        <f>Rates!B18</f>
        <v>$</v>
      </c>
      <c r="C19" s="18">
        <f>Rates!D18</f>
        <v>0.25</v>
      </c>
      <c r="D19" s="13">
        <f>Rates!F18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2000</v>
      </c>
      <c r="C22" s="35" t="s">
        <v>27</v>
      </c>
      <c r="D22" s="36"/>
      <c r="E22" s="35" t="s">
        <v>28</v>
      </c>
      <c r="G22" s="102" t="s">
        <v>23</v>
      </c>
      <c r="H22" s="53">
        <f>Rates!F82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38" t="str">
        <f>IF(D22&gt;0,B22/(D22*24*30.4)," ")</f>
        <v xml:space="preserve"> </v>
      </c>
    </row>
    <row r="24" spans="1:10" ht="12.75" thickBot="1" x14ac:dyDescent="0.25"/>
    <row r="25" spans="1:10" ht="12.75" customHeight="1" x14ac:dyDescent="0.2">
      <c r="A25" s="152" t="str">
        <f>A3</f>
        <v>Residential - R1</v>
      </c>
      <c r="B25" s="154" t="s">
        <v>31</v>
      </c>
      <c r="C25" s="146" t="s">
        <v>37</v>
      </c>
      <c r="D25" s="146" t="s">
        <v>38</v>
      </c>
      <c r="E25" s="154" t="s">
        <v>31</v>
      </c>
      <c r="F25" s="146" t="s">
        <v>37</v>
      </c>
      <c r="G25" s="146" t="s">
        <v>38</v>
      </c>
      <c r="H25" s="156" t="s">
        <v>44</v>
      </c>
      <c r="I25" s="156"/>
      <c r="J25" s="157"/>
    </row>
    <row r="26" spans="1:10" ht="12.75" thickBot="1" x14ac:dyDescent="0.25">
      <c r="A26" s="153"/>
      <c r="B26" s="155"/>
      <c r="C26" s="50" t="s">
        <v>15</v>
      </c>
      <c r="D26" s="50" t="s">
        <v>15</v>
      </c>
      <c r="E26" s="155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IF(B22*Rates!D82&gt;B23,B23,B22*Rates!D82)</f>
        <v>750</v>
      </c>
      <c r="C27" s="56">
        <f>Rates!D78</f>
        <v>7.4999999999999997E-2</v>
      </c>
      <c r="D27" s="57">
        <f>B27*C27</f>
        <v>56.25</v>
      </c>
      <c r="E27" s="55">
        <f>IF(B22*H22&gt;B23,B23,B22*H22)</f>
        <v>750</v>
      </c>
      <c r="F27" s="56">
        <f>Rates!F78</f>
        <v>7.4999999999999997E-2</v>
      </c>
      <c r="G27" s="57">
        <f>E27*F27</f>
        <v>56.25</v>
      </c>
      <c r="H27" s="58">
        <f>G27-D27</f>
        <v>0</v>
      </c>
      <c r="I27" s="59">
        <f>IF(ISERROR(H27/D27),1,H27/D27)</f>
        <v>0</v>
      </c>
      <c r="J27" s="60">
        <f t="shared" ref="J27:J53" si="0">IF(ISERROR(G27/G$53),0,G27/G$53)</f>
        <v>0.15259115007528254</v>
      </c>
    </row>
    <row r="28" spans="1:10" ht="12.75" thickBot="1" x14ac:dyDescent="0.25">
      <c r="A28" s="63" t="s">
        <v>36</v>
      </c>
      <c r="B28" s="64">
        <f>IF(B22*Rates!D82&gt;=B23,B22*Rates!D82-B23,0)</f>
        <v>1422.8000000000002</v>
      </c>
      <c r="C28" s="65">
        <f>Rates!D79</f>
        <v>8.7999999999999995E-2</v>
      </c>
      <c r="D28" s="66">
        <f>B28*C28</f>
        <v>125.2064</v>
      </c>
      <c r="E28" s="64">
        <f>IF(B22*H22&gt;=B23,B22*H22-B23,0)</f>
        <v>1422.8000000000002</v>
      </c>
      <c r="F28" s="65">
        <f>Rates!F79</f>
        <v>8.7999999999999995E-2</v>
      </c>
      <c r="G28" s="66">
        <f>E28*F28</f>
        <v>125.2064</v>
      </c>
      <c r="H28" s="66">
        <f t="shared" ref="H28:H53" si="1">G28-D28</f>
        <v>0</v>
      </c>
      <c r="I28" s="67">
        <f t="shared" ref="I28:I53" si="2">IF(ISERROR(H28/D28),0,H28/D28)</f>
        <v>0</v>
      </c>
      <c r="J28" s="68">
        <f t="shared" si="0"/>
        <v>0.33965135240508187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181.4564</v>
      </c>
      <c r="E29" s="75"/>
      <c r="F29" s="75"/>
      <c r="G29" s="76">
        <f>SUM(G27:G28)</f>
        <v>181.4564</v>
      </c>
      <c r="H29" s="76">
        <f t="shared" si="1"/>
        <v>0</v>
      </c>
      <c r="I29" s="77">
        <f t="shared" si="2"/>
        <v>0</v>
      </c>
      <c r="J29" s="78">
        <f t="shared" si="0"/>
        <v>0.49224250248036439</v>
      </c>
    </row>
    <row r="30" spans="1:10" x14ac:dyDescent="0.2">
      <c r="A30" s="69" t="str">
        <f>A4</f>
        <v>Monthly Service Charge</v>
      </c>
      <c r="B30" s="70">
        <v>1</v>
      </c>
      <c r="C30" s="46">
        <f>C4</f>
        <v>21.51</v>
      </c>
      <c r="D30" s="46">
        <f>B30*C30</f>
        <v>21.51</v>
      </c>
      <c r="E30" s="71">
        <f>B30</f>
        <v>1</v>
      </c>
      <c r="F30" s="47">
        <f>D4</f>
        <v>22.32</v>
      </c>
      <c r="G30" s="47">
        <f>E30*F30</f>
        <v>22.32</v>
      </c>
      <c r="H30" s="47">
        <f t="shared" si="1"/>
        <v>0.80999999999999872</v>
      </c>
      <c r="I30" s="48">
        <f t="shared" si="2"/>
        <v>3.7656903765690315E-2</v>
      </c>
      <c r="J30" s="72">
        <f t="shared" si="0"/>
        <v>6.054816834987211E-2</v>
      </c>
    </row>
    <row r="31" spans="1:10" x14ac:dyDescent="0.2">
      <c r="A31" s="61" t="str">
        <f>A5</f>
        <v>Smart Meter Rate Adder</v>
      </c>
      <c r="B31" s="43">
        <f>B30</f>
        <v>1</v>
      </c>
      <c r="C31" s="41">
        <f>C5</f>
        <v>0</v>
      </c>
      <c r="D31" s="41">
        <f t="shared" ref="D31:D40" si="3">B31*C31</f>
        <v>0</v>
      </c>
      <c r="E31" s="43">
        <f>B31</f>
        <v>1</v>
      </c>
      <c r="F31" s="41">
        <f>D5</f>
        <v>0</v>
      </c>
      <c r="G31" s="41">
        <f t="shared" ref="G31:G40" si="4">E31*F31</f>
        <v>0</v>
      </c>
      <c r="H31" s="41">
        <f t="shared" si="1"/>
        <v>0</v>
      </c>
      <c r="I31" s="42">
        <f>IF(ISERROR(H31/D31),1,H31/D31)</f>
        <v>1</v>
      </c>
      <c r="J31" s="62">
        <f t="shared" si="0"/>
        <v>0</v>
      </c>
    </row>
    <row r="32" spans="1:10" x14ac:dyDescent="0.2">
      <c r="A32" s="63" t="str">
        <f>A6</f>
        <v>Smart Meter Entity Charge - effective May 1, 2013 until October 31, 2018</v>
      </c>
      <c r="B32" s="64">
        <f>B30</f>
        <v>1</v>
      </c>
      <c r="C32" s="65">
        <f>Rates!D17</f>
        <v>0</v>
      </c>
      <c r="D32" s="66">
        <f>B32*C32</f>
        <v>0</v>
      </c>
      <c r="E32" s="64">
        <f>B30</f>
        <v>1</v>
      </c>
      <c r="F32" s="65">
        <f>Rates!F17</f>
        <v>0.79</v>
      </c>
      <c r="G32" s="66">
        <f>E32*F32</f>
        <v>0.79</v>
      </c>
      <c r="H32" s="41">
        <f>G32-D32</f>
        <v>0.79</v>
      </c>
      <c r="I32" s="42">
        <f>IF(ISERROR(H32/D32),0,H32/D32)</f>
        <v>0</v>
      </c>
      <c r="J32" s="62">
        <f t="shared" si="0"/>
        <v>2.1430579299461902E-3</v>
      </c>
    </row>
    <row r="33" spans="1:10" x14ac:dyDescent="0.2">
      <c r="A33" s="61" t="str">
        <f t="shared" ref="A33:A39" si="5">A7</f>
        <v>Distribution Volumetric Rate</v>
      </c>
      <c r="B33" s="43">
        <f>B22</f>
        <v>2000</v>
      </c>
      <c r="C33" s="40">
        <f t="shared" ref="C33:C39" si="6">C7</f>
        <v>3.0200000000000001E-2</v>
      </c>
      <c r="D33" s="41">
        <f t="shared" si="3"/>
        <v>60.400000000000006</v>
      </c>
      <c r="E33" s="43">
        <f>B22</f>
        <v>2000</v>
      </c>
      <c r="F33" s="40">
        <f t="shared" ref="F33:F39" si="7">D7</f>
        <v>3.1300000000000001E-2</v>
      </c>
      <c r="G33" s="41">
        <f t="shared" si="4"/>
        <v>62.6</v>
      </c>
      <c r="H33" s="41">
        <f t="shared" si="1"/>
        <v>2.1999999999999957</v>
      </c>
      <c r="I33" s="42">
        <f t="shared" si="2"/>
        <v>3.6423841059602578E-2</v>
      </c>
      <c r="J33" s="62">
        <f t="shared" si="0"/>
        <v>0.16981699546155887</v>
      </c>
    </row>
    <row r="34" spans="1:10" x14ac:dyDescent="0.2">
      <c r="A34" s="61" t="str">
        <f t="shared" si="5"/>
        <v>Rate Rider for Foregone Revenue Recovery - effective until December 31, 2012</v>
      </c>
      <c r="B34" s="43">
        <f>B22</f>
        <v>2000</v>
      </c>
      <c r="C34" s="40">
        <f t="shared" si="6"/>
        <v>0</v>
      </c>
      <c r="D34" s="41">
        <f t="shared" si="3"/>
        <v>0</v>
      </c>
      <c r="E34" s="43">
        <f>B22</f>
        <v>2000</v>
      </c>
      <c r="F34" s="40">
        <f t="shared" si="7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0"/>
        <v>0</v>
      </c>
    </row>
    <row r="35" spans="1:10" x14ac:dyDescent="0.2">
      <c r="A35" s="61" t="str">
        <f t="shared" si="5"/>
        <v>Rate Rider for Foregone Revenue Recovery - effective until December 31, 2014</v>
      </c>
      <c r="B35" s="43">
        <f>B22</f>
        <v>2000</v>
      </c>
      <c r="C35" s="40">
        <f t="shared" si="6"/>
        <v>0</v>
      </c>
      <c r="D35" s="41">
        <f t="shared" si="3"/>
        <v>0</v>
      </c>
      <c r="E35" s="43">
        <f>B22</f>
        <v>2000</v>
      </c>
      <c r="F35" s="40">
        <f t="shared" si="7"/>
        <v>4.0000000000000002E-4</v>
      </c>
      <c r="G35" s="41">
        <f>E35*F35</f>
        <v>0.8</v>
      </c>
      <c r="H35" s="41">
        <f>G35-D35</f>
        <v>0.8</v>
      </c>
      <c r="I35" s="42">
        <f>IF(ISERROR(H35/D35),0,H35/D35)</f>
        <v>0</v>
      </c>
      <c r="J35" s="62">
        <f t="shared" si="0"/>
        <v>2.1701852455151293E-3</v>
      </c>
    </row>
    <row r="36" spans="1:10" x14ac:dyDescent="0.2">
      <c r="A36" s="61" t="str">
        <f t="shared" si="5"/>
        <v>Rate Rider for Deferral/Variance Account Disposition (2010) - effective until May 31, 2013</v>
      </c>
      <c r="B36" s="43">
        <f>B22</f>
        <v>2000</v>
      </c>
      <c r="C36" s="40">
        <f t="shared" si="6"/>
        <v>4.5999999999999999E-3</v>
      </c>
      <c r="D36" s="41">
        <f t="shared" si="3"/>
        <v>9.1999999999999993</v>
      </c>
      <c r="E36" s="43">
        <f>B22</f>
        <v>2000</v>
      </c>
      <c r="F36" s="40">
        <f t="shared" si="7"/>
        <v>4.5999999999999999E-3</v>
      </c>
      <c r="G36" s="41">
        <f t="shared" si="4"/>
        <v>9.1999999999999993</v>
      </c>
      <c r="H36" s="41">
        <f t="shared" si="1"/>
        <v>0</v>
      </c>
      <c r="I36" s="42">
        <f t="shared" si="2"/>
        <v>0</v>
      </c>
      <c r="J36" s="62">
        <f t="shared" si="0"/>
        <v>2.4957130323423986E-2</v>
      </c>
    </row>
    <row r="37" spans="1:10" x14ac:dyDescent="0.2">
      <c r="A37" s="61" t="str">
        <f t="shared" si="5"/>
        <v>Rate Rider for Deferral/Variance Account Disposition (2012) - effective until May 31, 2013</v>
      </c>
      <c r="B37" s="43">
        <f>B22</f>
        <v>2000</v>
      </c>
      <c r="C37" s="40">
        <f t="shared" si="6"/>
        <v>-6.1000000000000004E-3</v>
      </c>
      <c r="D37" s="41">
        <f t="shared" si="3"/>
        <v>-12.200000000000001</v>
      </c>
      <c r="E37" s="43">
        <f>B22</f>
        <v>2000</v>
      </c>
      <c r="F37" s="40">
        <f t="shared" si="7"/>
        <v>-6.1000000000000004E-3</v>
      </c>
      <c r="G37" s="41">
        <f t="shared" si="4"/>
        <v>-12.200000000000001</v>
      </c>
      <c r="H37" s="41">
        <f t="shared" si="1"/>
        <v>0</v>
      </c>
      <c r="I37" s="42">
        <f t="shared" si="2"/>
        <v>0</v>
      </c>
      <c r="J37" s="62">
        <f t="shared" si="0"/>
        <v>-3.3095324994105724E-2</v>
      </c>
    </row>
    <row r="38" spans="1:10" x14ac:dyDescent="0.2">
      <c r="A38" s="61" t="str">
        <f t="shared" si="5"/>
        <v>Rate Rider for Deferral/Variance Account Disposition (2013) - effective until December 31, 2013</v>
      </c>
      <c r="B38" s="43">
        <f>B22</f>
        <v>2000</v>
      </c>
      <c r="C38" s="40">
        <f t="shared" si="6"/>
        <v>0</v>
      </c>
      <c r="D38" s="41">
        <f t="shared" si="3"/>
        <v>0</v>
      </c>
      <c r="E38" s="43">
        <f>B22</f>
        <v>2000</v>
      </c>
      <c r="F38" s="40">
        <f t="shared" si="7"/>
        <v>-5.1999999999999998E-3</v>
      </c>
      <c r="G38" s="41">
        <f t="shared" si="4"/>
        <v>-10.4</v>
      </c>
      <c r="H38" s="41">
        <f t="shared" si="1"/>
        <v>-10.4</v>
      </c>
      <c r="I38" s="42">
        <f t="shared" si="2"/>
        <v>0</v>
      </c>
      <c r="J38" s="62">
        <f t="shared" si="0"/>
        <v>-2.8212408191696684E-2</v>
      </c>
    </row>
    <row r="39" spans="1:10" x14ac:dyDescent="0.2">
      <c r="A39" s="61" t="str">
        <f t="shared" si="5"/>
        <v>Rate Rider for Global Adjustment Sub-Account Disposition (2013) - effective until December 31, 2013</v>
      </c>
      <c r="B39" s="43">
        <f>B22</f>
        <v>2000</v>
      </c>
      <c r="C39" s="40">
        <f t="shared" si="6"/>
        <v>0</v>
      </c>
      <c r="D39" s="41">
        <f t="shared" si="3"/>
        <v>0</v>
      </c>
      <c r="E39" s="43">
        <f>B22</f>
        <v>2000</v>
      </c>
      <c r="F39" s="40">
        <f t="shared" si="7"/>
        <v>1.4999999999999999E-2</v>
      </c>
      <c r="G39" s="41">
        <f t="shared" si="4"/>
        <v>30</v>
      </c>
      <c r="H39" s="41">
        <f t="shared" si="1"/>
        <v>30</v>
      </c>
      <c r="I39" s="42">
        <f t="shared" si="2"/>
        <v>0</v>
      </c>
      <c r="J39" s="62">
        <f t="shared" si="0"/>
        <v>8.1381946706817351E-2</v>
      </c>
    </row>
    <row r="40" spans="1:10" ht="12.75" thickBot="1" x14ac:dyDescent="0.25">
      <c r="A40" s="61" t="str">
        <f t="shared" ref="A40" si="8">A14</f>
        <v xml:space="preserve">Rate Rider for Tax Changes </v>
      </c>
      <c r="B40" s="43">
        <f>B22</f>
        <v>2000</v>
      </c>
      <c r="C40" s="40">
        <f t="shared" ref="C40" si="9">C14</f>
        <v>0</v>
      </c>
      <c r="D40" s="41">
        <f t="shared" si="3"/>
        <v>0</v>
      </c>
      <c r="E40" s="43">
        <f>B22</f>
        <v>2000</v>
      </c>
      <c r="F40" s="40">
        <f t="shared" ref="F40" si="10">D14</f>
        <v>-2.0000000000000001E-4</v>
      </c>
      <c r="G40" s="41">
        <f t="shared" si="4"/>
        <v>-0.4</v>
      </c>
      <c r="H40" s="41">
        <f t="shared" si="1"/>
        <v>-0.4</v>
      </c>
      <c r="I40" s="42">
        <f t="shared" si="2"/>
        <v>0</v>
      </c>
      <c r="J40" s="62">
        <f t="shared" si="0"/>
        <v>-1.0850926227575647E-3</v>
      </c>
    </row>
    <row r="41" spans="1:10" ht="12.75" thickBot="1" x14ac:dyDescent="0.25">
      <c r="A41" s="73" t="s">
        <v>40</v>
      </c>
      <c r="B41" s="74"/>
      <c r="C41" s="75"/>
      <c r="D41" s="80">
        <f>SUM(D30:D40)</f>
        <v>78.910000000000011</v>
      </c>
      <c r="E41" s="75"/>
      <c r="F41" s="75"/>
      <c r="G41" s="76">
        <f>SUM(G30:G40)</f>
        <v>102.71</v>
      </c>
      <c r="H41" s="76">
        <f t="shared" si="1"/>
        <v>23.799999999999983</v>
      </c>
      <c r="I41" s="77">
        <f t="shared" si="2"/>
        <v>0.30160942846280547</v>
      </c>
      <c r="J41" s="78">
        <f t="shared" si="0"/>
        <v>0.27862465820857368</v>
      </c>
    </row>
    <row r="42" spans="1:10" x14ac:dyDescent="0.2">
      <c r="A42" s="69" t="str">
        <f>A15</f>
        <v>Retail Transmission Rate - Network Service Rate</v>
      </c>
      <c r="B42" s="44">
        <f>B22*Rates!D82</f>
        <v>2172.8000000000002</v>
      </c>
      <c r="C42" s="45">
        <f>C15</f>
        <v>7.1000000000000004E-3</v>
      </c>
      <c r="D42" s="47">
        <f>B42*C42</f>
        <v>15.426880000000002</v>
      </c>
      <c r="E42" s="44">
        <f>B22*H22</f>
        <v>2172.8000000000002</v>
      </c>
      <c r="F42" s="45">
        <f>D15</f>
        <v>6.8999999999999999E-3</v>
      </c>
      <c r="G42" s="47">
        <f>E42*F42</f>
        <v>14.992320000000001</v>
      </c>
      <c r="H42" s="47">
        <f t="shared" si="1"/>
        <v>-0.43456000000000117</v>
      </c>
      <c r="I42" s="48">
        <f t="shared" si="2"/>
        <v>-2.8169014084507112E-2</v>
      </c>
      <c r="J42" s="72">
        <f t="shared" si="0"/>
        <v>4.0670139575051736E-2</v>
      </c>
    </row>
    <row r="43" spans="1:10" ht="12.75" thickBot="1" x14ac:dyDescent="0.25">
      <c r="A43" s="63" t="str">
        <f>A16</f>
        <v>Retail Transmission Rate - Line and Transformation Connection Service Rate</v>
      </c>
      <c r="B43" s="64">
        <f>B22*Rates!D82</f>
        <v>2172.8000000000002</v>
      </c>
      <c r="C43" s="65">
        <f>C16</f>
        <v>5.1000000000000004E-3</v>
      </c>
      <c r="D43" s="66">
        <f>B43*C43</f>
        <v>11.081280000000001</v>
      </c>
      <c r="E43" s="64">
        <f>B22*H22</f>
        <v>2172.8000000000002</v>
      </c>
      <c r="F43" s="65">
        <f>D16</f>
        <v>4.8999999999999998E-3</v>
      </c>
      <c r="G43" s="66">
        <f>E43*F43</f>
        <v>10.64672</v>
      </c>
      <c r="H43" s="66">
        <f t="shared" si="1"/>
        <v>-0.43456000000000117</v>
      </c>
      <c r="I43" s="67">
        <f t="shared" si="2"/>
        <v>-3.9215686274509907E-2</v>
      </c>
      <c r="J43" s="68">
        <f t="shared" si="0"/>
        <v>2.8881693321413549E-2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26.508160000000004</v>
      </c>
      <c r="E44" s="75"/>
      <c r="F44" s="75"/>
      <c r="G44" s="76">
        <f>SUM(G42:G43)</f>
        <v>25.639040000000001</v>
      </c>
      <c r="H44" s="76">
        <f t="shared" si="1"/>
        <v>-0.86912000000000234</v>
      </c>
      <c r="I44" s="77">
        <f t="shared" si="2"/>
        <v>-3.2786885245901724E-2</v>
      </c>
      <c r="J44" s="78">
        <f t="shared" si="0"/>
        <v>6.9551832896465285E-2</v>
      </c>
    </row>
    <row r="45" spans="1:10" ht="12.75" thickBot="1" x14ac:dyDescent="0.25">
      <c r="A45" s="81" t="s">
        <v>41</v>
      </c>
      <c r="B45" s="82"/>
      <c r="C45" s="83"/>
      <c r="D45" s="84">
        <f>D41+D44</f>
        <v>105.41816000000001</v>
      </c>
      <c r="E45" s="83"/>
      <c r="F45" s="83"/>
      <c r="G45" s="84">
        <f>G41+G44</f>
        <v>128.34904</v>
      </c>
      <c r="H45" s="84">
        <f t="shared" si="1"/>
        <v>22.930879999999988</v>
      </c>
      <c r="I45" s="85">
        <f t="shared" si="2"/>
        <v>0.21752305295406393</v>
      </c>
      <c r="J45" s="86">
        <f t="shared" si="0"/>
        <v>0.34817649110503895</v>
      </c>
    </row>
    <row r="46" spans="1:10" x14ac:dyDescent="0.2">
      <c r="A46" s="69" t="str">
        <f>A17</f>
        <v>Wholesale Market Service Rate</v>
      </c>
      <c r="B46" s="44">
        <f>B22*Rates!D82</f>
        <v>2172.8000000000002</v>
      </c>
      <c r="C46" s="45">
        <f>C17</f>
        <v>5.1999999999999998E-3</v>
      </c>
      <c r="D46" s="47">
        <f>B46*C46</f>
        <v>11.29856</v>
      </c>
      <c r="E46" s="44">
        <f>B22*H22</f>
        <v>2172.8000000000002</v>
      </c>
      <c r="F46" s="45">
        <f>D17</f>
        <v>4.4000000000000003E-3</v>
      </c>
      <c r="G46" s="47">
        <f>E46*F46</f>
        <v>9.5603200000000008</v>
      </c>
      <c r="H46" s="47">
        <f t="shared" si="1"/>
        <v>-1.7382399999999993</v>
      </c>
      <c r="I46" s="48">
        <f t="shared" si="2"/>
        <v>-0.1538461538461538</v>
      </c>
      <c r="J46" s="72">
        <f t="shared" si="0"/>
        <v>2.5934581758004005E-2</v>
      </c>
    </row>
    <row r="47" spans="1:10" x14ac:dyDescent="0.2">
      <c r="A47" s="61" t="str">
        <f>A18</f>
        <v>Rural Rate Protection Charge</v>
      </c>
      <c r="B47" s="39">
        <f>B22*Rates!D82</f>
        <v>2172.8000000000002</v>
      </c>
      <c r="C47" s="40">
        <f>C18</f>
        <v>1.1000000000000001E-3</v>
      </c>
      <c r="D47" s="41">
        <f>B47*C47</f>
        <v>2.3900800000000002</v>
      </c>
      <c r="E47" s="39">
        <f>B22*H22</f>
        <v>2172.8000000000002</v>
      </c>
      <c r="F47" s="40">
        <f>D18</f>
        <v>1.1999999999999999E-3</v>
      </c>
      <c r="G47" s="41">
        <f>E47*F47</f>
        <v>2.6073599999999999</v>
      </c>
      <c r="H47" s="41">
        <f t="shared" si="1"/>
        <v>0.2172799999999997</v>
      </c>
      <c r="I47" s="42">
        <f t="shared" si="2"/>
        <v>9.0909090909090773E-2</v>
      </c>
      <c r="J47" s="62">
        <f t="shared" si="0"/>
        <v>7.0730677521829094E-3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1</v>
      </c>
      <c r="C48" s="66">
        <f>C19</f>
        <v>0.25</v>
      </c>
      <c r="D48" s="66">
        <f>B48*C48</f>
        <v>0.25</v>
      </c>
      <c r="E48" s="64">
        <f>B30</f>
        <v>1</v>
      </c>
      <c r="F48" s="66">
        <f>D19</f>
        <v>0.25</v>
      </c>
      <c r="G48" s="66">
        <f>E48*F48</f>
        <v>0.25</v>
      </c>
      <c r="H48" s="66">
        <f t="shared" si="1"/>
        <v>0</v>
      </c>
      <c r="I48" s="67">
        <f t="shared" si="2"/>
        <v>0</v>
      </c>
      <c r="J48" s="68">
        <f t="shared" si="0"/>
        <v>6.7818288922347788E-4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13.938639999999999</v>
      </c>
      <c r="E49" s="75"/>
      <c r="F49" s="75"/>
      <c r="G49" s="76">
        <f>SUM(G46:G48)</f>
        <v>12.417680000000001</v>
      </c>
      <c r="H49" s="76">
        <f t="shared" si="1"/>
        <v>-1.5209599999999988</v>
      </c>
      <c r="I49" s="77">
        <f t="shared" si="2"/>
        <v>-0.10911824970011413</v>
      </c>
      <c r="J49" s="78">
        <f t="shared" si="0"/>
        <v>3.3685832399410393E-2</v>
      </c>
    </row>
    <row r="50" spans="1:10" ht="12.75" thickBot="1" x14ac:dyDescent="0.25">
      <c r="A50" s="87" t="s">
        <v>19</v>
      </c>
      <c r="B50" s="88">
        <f>B22</f>
        <v>2000</v>
      </c>
      <c r="C50" s="89">
        <f>Rates!D77</f>
        <v>2E-3</v>
      </c>
      <c r="D50" s="90">
        <f>B50*C50</f>
        <v>4</v>
      </c>
      <c r="E50" s="88">
        <f>B22</f>
        <v>2000</v>
      </c>
      <c r="F50" s="89">
        <f>Rates!F77</f>
        <v>2E-3</v>
      </c>
      <c r="G50" s="90">
        <f>E50*F50</f>
        <v>4</v>
      </c>
      <c r="H50" s="90">
        <f t="shared" si="1"/>
        <v>0</v>
      </c>
      <c r="I50" s="91">
        <f t="shared" si="2"/>
        <v>0</v>
      </c>
      <c r="J50" s="92">
        <f t="shared" si="0"/>
        <v>1.0850926227575646E-2</v>
      </c>
    </row>
    <row r="51" spans="1:10" ht="12.75" thickBot="1" x14ac:dyDescent="0.25">
      <c r="A51" s="73" t="s">
        <v>43</v>
      </c>
      <c r="B51" s="74"/>
      <c r="C51" s="75"/>
      <c r="D51" s="76">
        <f>D29+D45+D49+D50</f>
        <v>304.81320000000005</v>
      </c>
      <c r="E51" s="75"/>
      <c r="F51" s="75"/>
      <c r="G51" s="76">
        <f>G29+G45+G49+G50</f>
        <v>326.22311999999999</v>
      </c>
      <c r="H51" s="76">
        <f t="shared" si="1"/>
        <v>21.409919999999943</v>
      </c>
      <c r="I51" s="77">
        <f t="shared" si="2"/>
        <v>7.023947781788957E-2</v>
      </c>
      <c r="J51" s="78">
        <f t="shared" si="0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39.625716000000011</v>
      </c>
      <c r="E52" s="96"/>
      <c r="F52" s="95">
        <f>Rates!F83</f>
        <v>0.13</v>
      </c>
      <c r="G52" s="90">
        <f>F52*G51</f>
        <v>42.4090056</v>
      </c>
      <c r="H52" s="90">
        <f t="shared" si="1"/>
        <v>2.7832895999999892</v>
      </c>
      <c r="I52" s="91">
        <f t="shared" si="2"/>
        <v>7.0239477817889487E-2</v>
      </c>
      <c r="J52" s="92">
        <f t="shared" si="0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344.43891600000006</v>
      </c>
      <c r="E53" s="83"/>
      <c r="F53" s="83"/>
      <c r="G53" s="104">
        <f>G51+G52</f>
        <v>368.63212559999999</v>
      </c>
      <c r="H53" s="104">
        <f t="shared" si="1"/>
        <v>24.193209599999932</v>
      </c>
      <c r="I53" s="85">
        <f t="shared" si="2"/>
        <v>7.023947781788957E-2</v>
      </c>
      <c r="J53" s="86">
        <f t="shared" si="0"/>
        <v>1</v>
      </c>
    </row>
    <row r="54" spans="1:10" x14ac:dyDescent="0.2">
      <c r="A54" s="125"/>
      <c r="B54" s="126"/>
      <c r="C54" s="127"/>
      <c r="D54" s="127"/>
      <c r="E54" s="127"/>
      <c r="F54" s="127"/>
      <c r="G54" s="127"/>
      <c r="H54" s="127"/>
      <c r="I54" s="127"/>
      <c r="J54" s="128"/>
    </row>
    <row r="55" spans="1:10" x14ac:dyDescent="0.2">
      <c r="A55" s="129" t="s">
        <v>57</v>
      </c>
      <c r="B55" s="130"/>
      <c r="C55" s="131"/>
      <c r="D55" s="132">
        <f>D53*0.1</f>
        <v>34.443891600000008</v>
      </c>
      <c r="E55" s="131"/>
      <c r="F55" s="131"/>
      <c r="G55" s="132">
        <f>G53*0.1</f>
        <v>36.863212560000001</v>
      </c>
      <c r="H55" s="131"/>
      <c r="I55" s="131"/>
      <c r="J55" s="133"/>
    </row>
    <row r="56" spans="1:10" ht="12.75" thickBot="1" x14ac:dyDescent="0.25">
      <c r="A56" s="134" t="s">
        <v>58</v>
      </c>
      <c r="B56" s="135"/>
      <c r="C56" s="136"/>
      <c r="D56" s="137">
        <f>D53-D55</f>
        <v>309.99502440000003</v>
      </c>
      <c r="E56" s="136"/>
      <c r="F56" s="136"/>
      <c r="G56" s="137">
        <f>G53-G55</f>
        <v>331.76891303999997</v>
      </c>
      <c r="H56" s="139">
        <f>G56-D56</f>
        <v>21.773888639999939</v>
      </c>
      <c r="I56" s="140">
        <f>H56/D56</f>
        <v>7.023947781788957E-2</v>
      </c>
      <c r="J56" s="138"/>
    </row>
  </sheetData>
  <mergeCells count="4">
    <mergeCell ref="A25:A26"/>
    <mergeCell ref="B25:B26"/>
    <mergeCell ref="E25:E26"/>
    <mergeCell ref="H25:J25"/>
  </mergeCells>
  <pageMargins left="0.75" right="0.75" top="1" bottom="1" header="0.5" footer="0.5"/>
  <pageSetup scale="66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3"/>
  <sheetViews>
    <sheetView topLeftCell="A7" zoomScaleNormal="100" workbookViewId="0">
      <selection activeCell="A55" sqref="A55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Rates!A20</f>
        <v>Residential - R2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Rates!A21</f>
        <v>Monthly Service Charge</v>
      </c>
      <c r="B4" s="24" t="str">
        <f>Rates!B21</f>
        <v>$</v>
      </c>
      <c r="C4" s="25">
        <f>Rates!D21</f>
        <v>596.12</v>
      </c>
      <c r="D4" s="26">
        <f>Rates!F21</f>
        <v>596.12</v>
      </c>
    </row>
    <row r="5" spans="1:4" x14ac:dyDescent="0.2">
      <c r="A5" s="27" t="str">
        <f>Rates!A22</f>
        <v>Smart Meter Rate Adder</v>
      </c>
      <c r="B5" s="28" t="str">
        <f>Rates!B22</f>
        <v>$</v>
      </c>
      <c r="C5" s="29">
        <f>Rates!D22</f>
        <v>0</v>
      </c>
      <c r="D5" s="30">
        <f>Rates!F22</f>
        <v>0</v>
      </c>
    </row>
    <row r="6" spans="1:4" x14ac:dyDescent="0.2">
      <c r="A6" s="27" t="str">
        <f>Rates!A23</f>
        <v>Distribution Volumetric Rate</v>
      </c>
      <c r="B6" s="28" t="str">
        <f>Rates!B23</f>
        <v>$/kW</v>
      </c>
      <c r="C6" s="31">
        <f>Rates!D23</f>
        <v>2.7086000000000001</v>
      </c>
      <c r="D6" s="32">
        <f>Rates!F23</f>
        <v>2.8948999999999998</v>
      </c>
    </row>
    <row r="7" spans="1:4" x14ac:dyDescent="0.2">
      <c r="A7" s="27" t="str">
        <f>Rates!A24</f>
        <v>Rate Rider for Foregone Revenue Recovery - effective until December 31, 2012</v>
      </c>
      <c r="B7" s="28" t="str">
        <f>Rates!B24</f>
        <v>$/kW</v>
      </c>
      <c r="C7" s="31">
        <f>Rates!D24</f>
        <v>0</v>
      </c>
      <c r="D7" s="32">
        <f>Rates!F24</f>
        <v>0</v>
      </c>
    </row>
    <row r="8" spans="1:4" x14ac:dyDescent="0.2">
      <c r="A8" s="27" t="str">
        <f>Rates!A25</f>
        <v>Rate Rider for Foregone Revenue Recovery - effective until December 31, 2014</v>
      </c>
      <c r="B8" s="28" t="str">
        <f>Rates!B25</f>
        <v>$/kW</v>
      </c>
      <c r="C8" s="31">
        <f>Rates!D25</f>
        <v>0</v>
      </c>
      <c r="D8" s="32">
        <f>Rates!F25</f>
        <v>3.73E-2</v>
      </c>
    </row>
    <row r="9" spans="1:4" x14ac:dyDescent="0.2">
      <c r="A9" s="27" t="str">
        <f>Rates!A26</f>
        <v>Rate Rider for Deferral/Variance Account Disposition (2010) - effective until May 31, 2013</v>
      </c>
      <c r="B9" s="28" t="str">
        <f>Rates!B26</f>
        <v>$/kW</v>
      </c>
      <c r="C9" s="31">
        <f>Rates!D26</f>
        <v>2.2664</v>
      </c>
      <c r="D9" s="32">
        <f>Rates!F26</f>
        <v>2.2664</v>
      </c>
    </row>
    <row r="10" spans="1:4" x14ac:dyDescent="0.2">
      <c r="A10" s="27" t="str">
        <f>Rates!A27</f>
        <v>Rate Rider for Deferral/Variance Account Disposition (2012) - effective until May 31, 2013</v>
      </c>
      <c r="B10" s="28" t="str">
        <f>Rates!B27</f>
        <v>$/kW</v>
      </c>
      <c r="C10" s="31">
        <f>Rates!D27</f>
        <v>-2.8218999999999999</v>
      </c>
      <c r="D10" s="32">
        <f>Rates!F27</f>
        <v>-2.8218999999999999</v>
      </c>
    </row>
    <row r="11" spans="1:4" x14ac:dyDescent="0.2">
      <c r="A11" s="27" t="str">
        <f>Rates!A28</f>
        <v>Rate Rider for Deferral/Variance Account Disposition (2013) - effective until December 31, 2013</v>
      </c>
      <c r="B11" s="28" t="str">
        <f>Rates!B28</f>
        <v>$/kW</v>
      </c>
      <c r="C11" s="31">
        <f>Rates!D28</f>
        <v>0</v>
      </c>
      <c r="D11" s="32">
        <f>Rates!F28</f>
        <v>-1.3006</v>
      </c>
    </row>
    <row r="12" spans="1:4" x14ac:dyDescent="0.2">
      <c r="A12" s="27" t="str">
        <f>Rates!A29</f>
        <v>Rate Rider for Global Adjustment Sub-Account Disposition (2013) - effective until December 31, 2013</v>
      </c>
      <c r="B12" s="28" t="str">
        <f>Rates!B29</f>
        <v>$/kW</v>
      </c>
      <c r="C12" s="31">
        <f>Rates!D29</f>
        <v>0</v>
      </c>
      <c r="D12" s="32">
        <f>Rates!F29</f>
        <v>6.4234999999999998</v>
      </c>
    </row>
    <row r="13" spans="1:4" x14ac:dyDescent="0.2">
      <c r="A13" s="27" t="str">
        <f>Rates!A30</f>
        <v>Rate Rider for Tax Changes</v>
      </c>
      <c r="B13" s="28" t="str">
        <f>Rates!B30</f>
        <v>$/kW</v>
      </c>
      <c r="C13" s="31">
        <f>Rates!D30</f>
        <v>0</v>
      </c>
      <c r="D13" s="32">
        <f>Rates!F30</f>
        <v>-0.03</v>
      </c>
    </row>
    <row r="14" spans="1:4" x14ac:dyDescent="0.2">
      <c r="A14" s="27" t="str">
        <f>Rates!A31</f>
        <v>Retail Transmission Rate - Network Service Rate</v>
      </c>
      <c r="B14" s="28" t="str">
        <f>Rates!B31</f>
        <v>$/kW</v>
      </c>
      <c r="C14" s="31">
        <f>Rates!D31</f>
        <v>2.6396000000000002</v>
      </c>
      <c r="D14" s="32">
        <f>Rates!F31</f>
        <v>2.5632999999999999</v>
      </c>
    </row>
    <row r="15" spans="1:4" x14ac:dyDescent="0.2">
      <c r="A15" s="27" t="str">
        <f>Rates!A32</f>
        <v>Retail Transmission Rate - Line and Transformation Connection Service Rate</v>
      </c>
      <c r="B15" s="28" t="str">
        <f>Rates!B32</f>
        <v>$/kW</v>
      </c>
      <c r="C15" s="31">
        <f>Rates!D32</f>
        <v>1.8099000000000001</v>
      </c>
      <c r="D15" s="32">
        <f>Rates!F32</f>
        <v>1.7423</v>
      </c>
    </row>
    <row r="16" spans="1:4" x14ac:dyDescent="0.2">
      <c r="A16" s="19" t="str">
        <f>Rates!A33</f>
        <v>Retail Transmission Rate - Network Service Rate - Interval Meter &gt; 1,000 kW</v>
      </c>
      <c r="B16" s="20" t="str">
        <f>Rates!B33</f>
        <v>$/kW</v>
      </c>
      <c r="C16" s="21">
        <f>Rates!D33</f>
        <v>2.8001</v>
      </c>
      <c r="D16" s="22">
        <f>Rates!F33</f>
        <v>2.7191000000000001</v>
      </c>
    </row>
    <row r="17" spans="1:10" x14ac:dyDescent="0.2">
      <c r="A17" s="19" t="str">
        <f>Rates!A34</f>
        <v>Retail Transmission Rate - Line and Transformation Connection Service Rate - Interval &gt; 1,000 kW</v>
      </c>
      <c r="B17" s="20" t="str">
        <f>Rates!B34</f>
        <v>$/kW</v>
      </c>
      <c r="C17" s="21">
        <f>Rates!D34</f>
        <v>2.0003000000000002</v>
      </c>
      <c r="D17" s="22">
        <f>Rates!F34</f>
        <v>1.9255</v>
      </c>
    </row>
    <row r="18" spans="1:10" x14ac:dyDescent="0.2">
      <c r="A18" s="19" t="str">
        <f>Rates!A35</f>
        <v>Wholesale Market Service Rate</v>
      </c>
      <c r="B18" s="20" t="str">
        <f>Rates!B35</f>
        <v>$/kWh</v>
      </c>
      <c r="C18" s="21">
        <f>Rates!D35</f>
        <v>5.1999999999999998E-3</v>
      </c>
      <c r="D18" s="22">
        <f>Rates!F35</f>
        <v>4.4000000000000003E-3</v>
      </c>
    </row>
    <row r="19" spans="1:10" x14ac:dyDescent="0.2">
      <c r="A19" s="19" t="str">
        <f>Rates!A36</f>
        <v>Rural Rate Protection Charge</v>
      </c>
      <c r="B19" s="20" t="str">
        <f>Rates!B36</f>
        <v>$/kWh</v>
      </c>
      <c r="C19" s="21">
        <f>Rates!D36</f>
        <v>1.1000000000000001E-3</v>
      </c>
      <c r="D19" s="22">
        <f>Rates!F36</f>
        <v>1.1999999999999999E-3</v>
      </c>
    </row>
    <row r="20" spans="1:10" ht="12.75" thickBot="1" x14ac:dyDescent="0.25">
      <c r="A20" s="12" t="str">
        <f>Rates!A37</f>
        <v>Standard Supply Service - Administarive Charge (if applicable)</v>
      </c>
      <c r="B20" s="17" t="str">
        <f>Rates!B37</f>
        <v>$</v>
      </c>
      <c r="C20" s="18">
        <f>Rates!D37</f>
        <v>0.25</v>
      </c>
      <c r="D20" s="13">
        <f>Rates!F37</f>
        <v>0.25</v>
      </c>
    </row>
    <row r="22" spans="1:10" ht="12.75" thickBot="1" x14ac:dyDescent="0.25"/>
    <row r="23" spans="1:10" ht="13.5" thickBot="1" x14ac:dyDescent="0.25">
      <c r="A23" s="33" t="s">
        <v>26</v>
      </c>
      <c r="B23" s="34">
        <v>90000</v>
      </c>
      <c r="C23" s="35" t="s">
        <v>27</v>
      </c>
      <c r="D23" s="36">
        <v>225</v>
      </c>
      <c r="E23" s="35" t="s">
        <v>28</v>
      </c>
      <c r="G23" s="37" t="s">
        <v>23</v>
      </c>
      <c r="H23" s="53">
        <f>Rates!F82</f>
        <v>1.0864</v>
      </c>
    </row>
    <row r="24" spans="1:10" ht="13.5" thickBot="1" x14ac:dyDescent="0.25">
      <c r="A24" s="33" t="s">
        <v>29</v>
      </c>
      <c r="B24" s="34">
        <v>750</v>
      </c>
      <c r="C24" s="35" t="s">
        <v>27</v>
      </c>
      <c r="D24" s="37" t="s">
        <v>30</v>
      </c>
      <c r="E24" s="97">
        <f>IF(D23&gt;0,B23/(D23*24*30.4)," ")</f>
        <v>0.54824561403508776</v>
      </c>
    </row>
    <row r="25" spans="1:10" ht="12.75" thickBot="1" x14ac:dyDescent="0.25"/>
    <row r="26" spans="1:10" ht="12.75" customHeight="1" x14ac:dyDescent="0.2">
      <c r="A26" s="152" t="str">
        <f>A3</f>
        <v>Residential - R2</v>
      </c>
      <c r="B26" s="154" t="s">
        <v>31</v>
      </c>
      <c r="C26" s="49" t="s">
        <v>37</v>
      </c>
      <c r="D26" s="49" t="s">
        <v>38</v>
      </c>
      <c r="E26" s="154" t="s">
        <v>31</v>
      </c>
      <c r="F26" s="49" t="s">
        <v>37</v>
      </c>
      <c r="G26" s="49" t="s">
        <v>38</v>
      </c>
      <c r="H26" s="156" t="s">
        <v>44</v>
      </c>
      <c r="I26" s="156"/>
      <c r="J26" s="157"/>
    </row>
    <row r="27" spans="1:10" ht="12.75" thickBot="1" x14ac:dyDescent="0.25">
      <c r="A27" s="153"/>
      <c r="B27" s="155"/>
      <c r="C27" s="50" t="s">
        <v>15</v>
      </c>
      <c r="D27" s="50" t="s">
        <v>15</v>
      </c>
      <c r="E27" s="155"/>
      <c r="F27" s="50" t="s">
        <v>15</v>
      </c>
      <c r="G27" s="50" t="s">
        <v>15</v>
      </c>
      <c r="H27" s="50" t="s">
        <v>15</v>
      </c>
      <c r="I27" s="51" t="s">
        <v>22</v>
      </c>
      <c r="J27" s="52" t="s">
        <v>34</v>
      </c>
    </row>
    <row r="28" spans="1:10" x14ac:dyDescent="0.2">
      <c r="A28" s="54" t="s">
        <v>35</v>
      </c>
      <c r="B28" s="55">
        <f>IF(B23*Rates!D82&gt;B24,B24,B23*Rates!D82)</f>
        <v>750</v>
      </c>
      <c r="C28" s="56">
        <f>Rates!D78</f>
        <v>7.4999999999999997E-2</v>
      </c>
      <c r="D28" s="57">
        <f>B28*C28</f>
        <v>56.25</v>
      </c>
      <c r="E28" s="55">
        <f>IF(B23*H23&gt;B24,B24,B23*H23)</f>
        <v>750</v>
      </c>
      <c r="F28" s="56">
        <f>Rates!F78</f>
        <v>7.4999999999999997E-2</v>
      </c>
      <c r="G28" s="57">
        <f>E28*F28</f>
        <v>56.25</v>
      </c>
      <c r="H28" s="58">
        <f t="shared" ref="H28:H53" si="0">G28-D28</f>
        <v>0</v>
      </c>
      <c r="I28" s="59">
        <f>IF(ISERROR(H28/D28),1,H28/D28)</f>
        <v>0</v>
      </c>
      <c r="J28" s="60">
        <f t="shared" ref="J28:J53" si="1">IF(ISERROR(G28/G$53),0,G28/G$53)</f>
        <v>3.9345902127511613E-3</v>
      </c>
    </row>
    <row r="29" spans="1:10" ht="12.75" thickBot="1" x14ac:dyDescent="0.25">
      <c r="A29" s="63" t="s">
        <v>36</v>
      </c>
      <c r="B29" s="64">
        <f>IF(B23*Rates!D82&gt;=B24,B23*Rates!D82-B24,0)</f>
        <v>97026</v>
      </c>
      <c r="C29" s="65">
        <f>Rates!D79</f>
        <v>8.7999999999999995E-2</v>
      </c>
      <c r="D29" s="66">
        <f>B29*C29</f>
        <v>8538.2879999999986</v>
      </c>
      <c r="E29" s="64">
        <f>IF(B23*H23&gt;=B24,B23*H23-B24,0)</f>
        <v>97026</v>
      </c>
      <c r="F29" s="65">
        <f>Rates!F79</f>
        <v>8.7999999999999995E-2</v>
      </c>
      <c r="G29" s="66">
        <f>E29*F29</f>
        <v>8538.2879999999986</v>
      </c>
      <c r="H29" s="66">
        <f t="shared" si="0"/>
        <v>0</v>
      </c>
      <c r="I29" s="67">
        <f>IF(ISERROR(H29/D29),0,H29/D29)</f>
        <v>0</v>
      </c>
      <c r="J29" s="68">
        <f t="shared" si="1"/>
        <v>0.59723847819467868</v>
      </c>
    </row>
    <row r="30" spans="1:10" ht="12.75" thickBot="1" x14ac:dyDescent="0.25">
      <c r="A30" s="73" t="s">
        <v>39</v>
      </c>
      <c r="B30" s="74"/>
      <c r="C30" s="75"/>
      <c r="D30" s="76">
        <f>SUM(D28:D29)</f>
        <v>8594.5379999999986</v>
      </c>
      <c r="E30" s="75"/>
      <c r="F30" s="75"/>
      <c r="G30" s="76">
        <f>SUM(G28:G29)</f>
        <v>8594.5379999999986</v>
      </c>
      <c r="H30" s="76">
        <f t="shared" si="0"/>
        <v>0</v>
      </c>
      <c r="I30" s="77">
        <f>IF(ISERROR(H30/D30),0,H30/D30)</f>
        <v>0</v>
      </c>
      <c r="J30" s="78">
        <f t="shared" si="1"/>
        <v>0.6011730684074299</v>
      </c>
    </row>
    <row r="31" spans="1:10" x14ac:dyDescent="0.2">
      <c r="A31" s="69" t="str">
        <f t="shared" ref="A31:A39" si="2">A4</f>
        <v>Monthly Service Charge</v>
      </c>
      <c r="B31" s="70">
        <v>1</v>
      </c>
      <c r="C31" s="46">
        <f t="shared" ref="C31:C39" si="3">C4</f>
        <v>596.12</v>
      </c>
      <c r="D31" s="46">
        <f t="shared" ref="D31:D40" si="4">B31*C31</f>
        <v>596.12</v>
      </c>
      <c r="E31" s="71">
        <f>B31</f>
        <v>1</v>
      </c>
      <c r="F31" s="47">
        <f t="shared" ref="F31:F39" si="5">D4</f>
        <v>596.12</v>
      </c>
      <c r="G31" s="47">
        <f t="shared" ref="G31:G40" si="6">E31*F31</f>
        <v>596.12</v>
      </c>
      <c r="H31" s="47">
        <f t="shared" si="0"/>
        <v>0</v>
      </c>
      <c r="I31" s="48">
        <f>IF(ISERROR(H31/D31),0,H31/D31)</f>
        <v>0</v>
      </c>
      <c r="J31" s="72">
        <f t="shared" si="1"/>
        <v>4.1697562980003947E-2</v>
      </c>
    </row>
    <row r="32" spans="1:10" x14ac:dyDescent="0.2">
      <c r="A32" s="61" t="str">
        <f t="shared" si="2"/>
        <v>Smart Meter Rate Adder</v>
      </c>
      <c r="B32" s="43">
        <f>B31</f>
        <v>1</v>
      </c>
      <c r="C32" s="41">
        <f t="shared" si="3"/>
        <v>0</v>
      </c>
      <c r="D32" s="41">
        <f t="shared" si="4"/>
        <v>0</v>
      </c>
      <c r="E32" s="43">
        <f>B32</f>
        <v>1</v>
      </c>
      <c r="F32" s="41">
        <f t="shared" si="5"/>
        <v>0</v>
      </c>
      <c r="G32" s="41">
        <f t="shared" si="6"/>
        <v>0</v>
      </c>
      <c r="H32" s="41">
        <f t="shared" si="0"/>
        <v>0</v>
      </c>
      <c r="I32" s="42">
        <f>IF(ISERROR(H32/D32),1,H32/D32)</f>
        <v>1</v>
      </c>
      <c r="J32" s="62">
        <f t="shared" si="1"/>
        <v>0</v>
      </c>
    </row>
    <row r="33" spans="1:10" x14ac:dyDescent="0.2">
      <c r="A33" s="61" t="str">
        <f t="shared" si="2"/>
        <v>Distribution Volumetric Rate</v>
      </c>
      <c r="B33" s="43">
        <f>D23</f>
        <v>225</v>
      </c>
      <c r="C33" s="40">
        <f t="shared" si="3"/>
        <v>2.7086000000000001</v>
      </c>
      <c r="D33" s="41">
        <f t="shared" si="4"/>
        <v>609.43500000000006</v>
      </c>
      <c r="E33" s="43">
        <f>D23</f>
        <v>225</v>
      </c>
      <c r="F33" s="40">
        <f t="shared" si="5"/>
        <v>2.8948999999999998</v>
      </c>
      <c r="G33" s="41">
        <f t="shared" si="6"/>
        <v>651.35249999999996</v>
      </c>
      <c r="H33" s="41">
        <f t="shared" si="0"/>
        <v>41.917499999999905</v>
      </c>
      <c r="I33" s="42">
        <f t="shared" ref="I33:I53" si="7">IF(ISERROR(H33/D33),0,H33/D33)</f>
        <v>6.8780920032488951E-2</v>
      </c>
      <c r="J33" s="62">
        <f t="shared" si="1"/>
        <v>4.5560980827573337E-2</v>
      </c>
    </row>
    <row r="34" spans="1:10" x14ac:dyDescent="0.2">
      <c r="A34" s="61" t="str">
        <f t="shared" si="2"/>
        <v>Rate Rider for Foregone Revenue Recovery - effective until December 31, 2012</v>
      </c>
      <c r="B34" s="43">
        <f>D23</f>
        <v>225</v>
      </c>
      <c r="C34" s="40">
        <f t="shared" si="3"/>
        <v>0</v>
      </c>
      <c r="D34" s="41">
        <f t="shared" si="4"/>
        <v>0</v>
      </c>
      <c r="E34" s="43">
        <f>D23</f>
        <v>225</v>
      </c>
      <c r="F34" s="40">
        <f t="shared" si="5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1"/>
        <v>0</v>
      </c>
    </row>
    <row r="35" spans="1:10" x14ac:dyDescent="0.2">
      <c r="A35" s="61" t="str">
        <f t="shared" si="2"/>
        <v>Rate Rider for Foregone Revenue Recovery - effective until December 31, 2014</v>
      </c>
      <c r="B35" s="43">
        <f>D23</f>
        <v>225</v>
      </c>
      <c r="C35" s="40">
        <f t="shared" si="3"/>
        <v>0</v>
      </c>
      <c r="D35" s="41">
        <f t="shared" ref="D35" si="8">B35*C35</f>
        <v>0</v>
      </c>
      <c r="E35" s="43">
        <f>D23</f>
        <v>225</v>
      </c>
      <c r="F35" s="40">
        <f t="shared" si="5"/>
        <v>3.73E-2</v>
      </c>
      <c r="G35" s="41">
        <f>E35*F35</f>
        <v>8.3925000000000001</v>
      </c>
      <c r="H35" s="41">
        <f>G35-D35</f>
        <v>8.3925000000000001</v>
      </c>
      <c r="I35" s="42">
        <f>IF(ISERROR(H35/D35),0,H35/D35)</f>
        <v>0</v>
      </c>
      <c r="J35" s="62">
        <f t="shared" si="1"/>
        <v>5.8704085974247322E-4</v>
      </c>
    </row>
    <row r="36" spans="1:10" x14ac:dyDescent="0.2">
      <c r="A36" s="61" t="str">
        <f t="shared" si="2"/>
        <v>Rate Rider for Deferral/Variance Account Disposition (2010) - effective until May 31, 2013</v>
      </c>
      <c r="B36" s="43">
        <f>D23</f>
        <v>225</v>
      </c>
      <c r="C36" s="40">
        <f t="shared" si="3"/>
        <v>2.2664</v>
      </c>
      <c r="D36" s="41">
        <f t="shared" si="4"/>
        <v>509.94</v>
      </c>
      <c r="E36" s="43">
        <f>D23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3.5669421032716926E-2</v>
      </c>
    </row>
    <row r="37" spans="1:10" x14ac:dyDescent="0.2">
      <c r="A37" s="61" t="str">
        <f t="shared" si="2"/>
        <v>Rate Rider for Deferral/Variance Account Disposition (2012) - effective until May 31, 2013</v>
      </c>
      <c r="B37" s="43">
        <f>D23</f>
        <v>225</v>
      </c>
      <c r="C37" s="40">
        <f t="shared" si="3"/>
        <v>-2.8218999999999999</v>
      </c>
      <c r="D37" s="41">
        <f t="shared" si="4"/>
        <v>-634.92750000000001</v>
      </c>
      <c r="E37" s="43">
        <f>D23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-4.4412080485450006E-2</v>
      </c>
    </row>
    <row r="38" spans="1:10" x14ac:dyDescent="0.2">
      <c r="A38" s="61" t="str">
        <f t="shared" si="2"/>
        <v>Rate Rider for Deferral/Variance Account Disposition (2013) - effective until December 31, 2013</v>
      </c>
      <c r="B38" s="43">
        <f>D23</f>
        <v>225</v>
      </c>
      <c r="C38" s="40">
        <f t="shared" si="3"/>
        <v>0</v>
      </c>
      <c r="D38" s="41">
        <f t="shared" si="4"/>
        <v>0</v>
      </c>
      <c r="E38" s="43">
        <f>D23</f>
        <v>225</v>
      </c>
      <c r="F38" s="40">
        <f t="shared" si="5"/>
        <v>-1.3006</v>
      </c>
      <c r="G38" s="41">
        <f>E38*F38</f>
        <v>-292.63499999999999</v>
      </c>
      <c r="H38" s="41">
        <f>G38-D38</f>
        <v>-292.63499999999999</v>
      </c>
      <c r="I38" s="42">
        <f>IF(ISERROR(H38/D38),0,H38/D38)</f>
        <v>0</v>
      </c>
      <c r="J38" s="62">
        <f t="shared" si="1"/>
        <v>-2.0469312122816639E-2</v>
      </c>
    </row>
    <row r="39" spans="1:10" x14ac:dyDescent="0.2">
      <c r="A39" s="61" t="str">
        <f t="shared" si="2"/>
        <v>Rate Rider for Global Adjustment Sub-Account Disposition (2013) - effective until December 31, 2013</v>
      </c>
      <c r="B39" s="43">
        <f>D23</f>
        <v>225</v>
      </c>
      <c r="C39" s="40">
        <f t="shared" si="3"/>
        <v>0</v>
      </c>
      <c r="D39" s="41">
        <f t="shared" si="4"/>
        <v>0</v>
      </c>
      <c r="E39" s="43">
        <f>D23</f>
        <v>225</v>
      </c>
      <c r="F39" s="40">
        <f t="shared" si="5"/>
        <v>6.4234999999999998</v>
      </c>
      <c r="G39" s="41">
        <f>E39*F39</f>
        <v>1445.2874999999999</v>
      </c>
      <c r="H39" s="41">
        <f>G39-D39</f>
        <v>1445.2874999999999</v>
      </c>
      <c r="I39" s="42">
        <f>IF(ISERROR(H39/D39),0,H39/D39)</f>
        <v>0</v>
      </c>
      <c r="J39" s="62">
        <f t="shared" si="1"/>
        <v>0.10109536092642832</v>
      </c>
    </row>
    <row r="40" spans="1:10" ht="12.75" thickBot="1" x14ac:dyDescent="0.25">
      <c r="A40" s="61" t="str">
        <f t="shared" ref="A40" si="9">A13</f>
        <v>Rate Rider for Tax Changes</v>
      </c>
      <c r="B40" s="43">
        <f>D23</f>
        <v>225</v>
      </c>
      <c r="C40" s="40">
        <f t="shared" ref="C40" si="10">C13</f>
        <v>0</v>
      </c>
      <c r="D40" s="41">
        <f t="shared" si="4"/>
        <v>0</v>
      </c>
      <c r="E40" s="43">
        <f>D23</f>
        <v>225</v>
      </c>
      <c r="F40" s="40">
        <f t="shared" ref="F40" si="11">D13</f>
        <v>-0.03</v>
      </c>
      <c r="G40" s="41">
        <f t="shared" si="6"/>
        <v>-6.75</v>
      </c>
      <c r="H40" s="41">
        <f t="shared" si="0"/>
        <v>-6.75</v>
      </c>
      <c r="I40" s="42">
        <f t="shared" si="7"/>
        <v>0</v>
      </c>
      <c r="J40" s="62">
        <f t="shared" si="1"/>
        <v>-4.7215082553013932E-4</v>
      </c>
    </row>
    <row r="41" spans="1:10" ht="12.75" thickBot="1" x14ac:dyDescent="0.25">
      <c r="A41" s="73" t="s">
        <v>40</v>
      </c>
      <c r="B41" s="74"/>
      <c r="C41" s="75"/>
      <c r="D41" s="80">
        <f>SUM(D31:D40)</f>
        <v>1080.5675000000001</v>
      </c>
      <c r="E41" s="75"/>
      <c r="F41" s="75"/>
      <c r="G41" s="76">
        <f>SUM(G31:G40)</f>
        <v>2276.7799999999997</v>
      </c>
      <c r="H41" s="76">
        <f t="shared" si="0"/>
        <v>1196.2124999999996</v>
      </c>
      <c r="I41" s="77">
        <f t="shared" si="7"/>
        <v>1.1070224673609002</v>
      </c>
      <c r="J41" s="78">
        <f t="shared" si="1"/>
        <v>0.15925682319266821</v>
      </c>
    </row>
    <row r="42" spans="1:10" x14ac:dyDescent="0.2">
      <c r="A42" s="69" t="str">
        <f>A14</f>
        <v>Retail Transmission Rate - Network Service Rate</v>
      </c>
      <c r="B42" s="44">
        <f>D23*Rates!D82</f>
        <v>244.44</v>
      </c>
      <c r="C42" s="45">
        <f>C14</f>
        <v>2.6396000000000002</v>
      </c>
      <c r="D42" s="47">
        <f>B42*C42</f>
        <v>645.22382400000004</v>
      </c>
      <c r="E42" s="44">
        <f>D23*H23</f>
        <v>244.44</v>
      </c>
      <c r="F42" s="45">
        <f>D14</f>
        <v>2.5632999999999999</v>
      </c>
      <c r="G42" s="47">
        <f>E42*F42</f>
        <v>626.57305199999996</v>
      </c>
      <c r="H42" s="47">
        <f t="shared" si="0"/>
        <v>-18.650772000000075</v>
      </c>
      <c r="I42" s="48">
        <f t="shared" si="7"/>
        <v>-2.8905894832550499E-2</v>
      </c>
      <c r="J42" s="72">
        <f t="shared" si="1"/>
        <v>4.3827701297294651E-2</v>
      </c>
    </row>
    <row r="43" spans="1:10" ht="12.75" thickBot="1" x14ac:dyDescent="0.25">
      <c r="A43" s="63" t="str">
        <f>A15</f>
        <v>Retail Transmission Rate - Line and Transformation Connection Service Rate</v>
      </c>
      <c r="B43" s="64">
        <f>D23*Rates!D82</f>
        <v>244.44</v>
      </c>
      <c r="C43" s="65">
        <f>C15</f>
        <v>1.8099000000000001</v>
      </c>
      <c r="D43" s="66">
        <f>B43*C43</f>
        <v>442.41195600000003</v>
      </c>
      <c r="E43" s="64">
        <f>D23*H23</f>
        <v>244.44</v>
      </c>
      <c r="F43" s="65">
        <f>D15</f>
        <v>1.7423</v>
      </c>
      <c r="G43" s="66">
        <f>E43*F43</f>
        <v>425.887812</v>
      </c>
      <c r="H43" s="66">
        <f t="shared" si="0"/>
        <v>-16.524144000000035</v>
      </c>
      <c r="I43" s="67">
        <f t="shared" si="7"/>
        <v>-3.7350129841427777E-2</v>
      </c>
      <c r="J43" s="68">
        <f t="shared" si="1"/>
        <v>2.9790115854670337E-2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1087.6357800000001</v>
      </c>
      <c r="E44" s="75"/>
      <c r="F44" s="75"/>
      <c r="G44" s="76">
        <f>SUM(G42:G43)</f>
        <v>1052.4608639999999</v>
      </c>
      <c r="H44" s="76">
        <f t="shared" si="0"/>
        <v>-35.174916000000167</v>
      </c>
      <c r="I44" s="77">
        <f t="shared" si="7"/>
        <v>-3.2340712439600107E-2</v>
      </c>
      <c r="J44" s="78">
        <f t="shared" si="1"/>
        <v>7.3617817151964984E-2</v>
      </c>
    </row>
    <row r="45" spans="1:10" ht="12.75" thickBot="1" x14ac:dyDescent="0.25">
      <c r="A45" s="81" t="s">
        <v>41</v>
      </c>
      <c r="B45" s="82"/>
      <c r="C45" s="83"/>
      <c r="D45" s="84">
        <f>D41+D44</f>
        <v>2168.2032800000002</v>
      </c>
      <c r="E45" s="83"/>
      <c r="F45" s="83"/>
      <c r="G45" s="84">
        <f>G41+G44</f>
        <v>3329.2408639999994</v>
      </c>
      <c r="H45" s="84">
        <f t="shared" si="0"/>
        <v>1161.0375839999992</v>
      </c>
      <c r="I45" s="85">
        <f t="shared" si="7"/>
        <v>0.53548373194970866</v>
      </c>
      <c r="J45" s="86">
        <f t="shared" si="1"/>
        <v>0.23287464034463318</v>
      </c>
    </row>
    <row r="46" spans="1:10" x14ac:dyDescent="0.2">
      <c r="A46" s="69" t="str">
        <f>A18</f>
        <v>Wholesale Market Service Rate</v>
      </c>
      <c r="B46" s="44">
        <f>B23*Rates!D82</f>
        <v>97776</v>
      </c>
      <c r="C46" s="45">
        <f>C18</f>
        <v>5.1999999999999998E-3</v>
      </c>
      <c r="D46" s="47">
        <f>B46*C46</f>
        <v>508.43519999999995</v>
      </c>
      <c r="E46" s="44">
        <f>B23*H23</f>
        <v>97776</v>
      </c>
      <c r="F46" s="45">
        <f>D18</f>
        <v>4.4000000000000003E-3</v>
      </c>
      <c r="G46" s="47">
        <f>E46*F46</f>
        <v>430.21440000000001</v>
      </c>
      <c r="H46" s="47">
        <f t="shared" si="0"/>
        <v>-78.22079999999994</v>
      </c>
      <c r="I46" s="48">
        <f t="shared" si="7"/>
        <v>-0.15384615384615374</v>
      </c>
      <c r="J46" s="72">
        <f t="shared" si="1"/>
        <v>3.0092753202215345E-2</v>
      </c>
    </row>
    <row r="47" spans="1:10" x14ac:dyDescent="0.2">
      <c r="A47" s="61" t="str">
        <f>A19</f>
        <v>Rural Rate Protection Charge</v>
      </c>
      <c r="B47" s="39">
        <f>B23*Rates!D82</f>
        <v>97776</v>
      </c>
      <c r="C47" s="40">
        <f>C19</f>
        <v>1.1000000000000001E-3</v>
      </c>
      <c r="D47" s="41">
        <f>B47*C47</f>
        <v>107.5536</v>
      </c>
      <c r="E47" s="39">
        <f>B23*H23</f>
        <v>97776</v>
      </c>
      <c r="F47" s="40">
        <f>D19</f>
        <v>1.1999999999999999E-3</v>
      </c>
      <c r="G47" s="41">
        <f>E47*F47</f>
        <v>117.3312</v>
      </c>
      <c r="H47" s="41">
        <f t="shared" si="0"/>
        <v>9.7775999999999925</v>
      </c>
      <c r="I47" s="42">
        <f t="shared" si="7"/>
        <v>9.0909090909090842E-2</v>
      </c>
      <c r="J47" s="62">
        <f t="shared" si="1"/>
        <v>8.2071145096950932E-3</v>
      </c>
    </row>
    <row r="48" spans="1:10" ht="12.75" thickBot="1" x14ac:dyDescent="0.25">
      <c r="A48" s="63" t="str">
        <f>A20</f>
        <v>Standard Supply Service - Administarive Charge (if applicable)</v>
      </c>
      <c r="B48" s="79">
        <f>B31</f>
        <v>1</v>
      </c>
      <c r="C48" s="66">
        <f>C20</f>
        <v>0.25</v>
      </c>
      <c r="D48" s="66">
        <f>B48*C48</f>
        <v>0.25</v>
      </c>
      <c r="E48" s="64">
        <f>B31</f>
        <v>1</v>
      </c>
      <c r="F48" s="66">
        <f>D20</f>
        <v>0.25</v>
      </c>
      <c r="G48" s="66">
        <f>E48*F48</f>
        <v>0.25</v>
      </c>
      <c r="H48" s="66">
        <f t="shared" si="0"/>
        <v>0</v>
      </c>
      <c r="I48" s="67">
        <f t="shared" si="7"/>
        <v>0</v>
      </c>
      <c r="J48" s="68">
        <f t="shared" si="1"/>
        <v>1.7487067612227381E-5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616.23879999999997</v>
      </c>
      <c r="E49" s="75"/>
      <c r="F49" s="75"/>
      <c r="G49" s="76">
        <f>SUM(G46:G48)</f>
        <v>547.79560000000004</v>
      </c>
      <c r="H49" s="76">
        <f t="shared" si="0"/>
        <v>-68.443199999999933</v>
      </c>
      <c r="I49" s="77">
        <f t="shared" si="7"/>
        <v>-0.11106603479040907</v>
      </c>
      <c r="J49" s="78">
        <f t="shared" si="1"/>
        <v>3.8317354779522667E-2</v>
      </c>
    </row>
    <row r="50" spans="1:10" ht="12.75" thickBot="1" x14ac:dyDescent="0.25">
      <c r="A50" s="87" t="s">
        <v>19</v>
      </c>
      <c r="B50" s="88">
        <f>B23</f>
        <v>90000</v>
      </c>
      <c r="C50" s="89">
        <f>Rates!D77</f>
        <v>2E-3</v>
      </c>
      <c r="D50" s="90">
        <f>B50*C50</f>
        <v>180</v>
      </c>
      <c r="E50" s="88">
        <f>B23</f>
        <v>90000</v>
      </c>
      <c r="F50" s="89">
        <f>Rates!F77</f>
        <v>2E-3</v>
      </c>
      <c r="G50" s="90">
        <f>E50*F50</f>
        <v>180</v>
      </c>
      <c r="H50" s="90">
        <f t="shared" si="0"/>
        <v>0</v>
      </c>
      <c r="I50" s="91">
        <f t="shared" si="7"/>
        <v>0</v>
      </c>
      <c r="J50" s="92">
        <f t="shared" si="1"/>
        <v>1.2590688680803715E-2</v>
      </c>
    </row>
    <row r="51" spans="1:10" ht="12.75" thickBot="1" x14ac:dyDescent="0.25">
      <c r="A51" s="73" t="s">
        <v>43</v>
      </c>
      <c r="B51" s="74"/>
      <c r="C51" s="75"/>
      <c r="D51" s="76">
        <f>D30+D45+D49+D50</f>
        <v>11558.980079999998</v>
      </c>
      <c r="E51" s="75"/>
      <c r="F51" s="75"/>
      <c r="G51" s="76">
        <f>G30+G45+G49+G50</f>
        <v>12651.574463999998</v>
      </c>
      <c r="H51" s="76">
        <f t="shared" si="0"/>
        <v>1092.594384</v>
      </c>
      <c r="I51" s="77">
        <f t="shared" si="7"/>
        <v>9.4523424769151446E-2</v>
      </c>
      <c r="J51" s="78">
        <f t="shared" si="1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1502.6674103999997</v>
      </c>
      <c r="E52" s="96"/>
      <c r="F52" s="95">
        <f>Rates!F83</f>
        <v>0.13</v>
      </c>
      <c r="G52" s="90">
        <f>F52*G51</f>
        <v>1644.7046803199996</v>
      </c>
      <c r="H52" s="90">
        <f t="shared" si="0"/>
        <v>142.03726991999997</v>
      </c>
      <c r="I52" s="91">
        <f t="shared" si="7"/>
        <v>9.4523424769151432E-2</v>
      </c>
      <c r="J52" s="92">
        <f t="shared" si="1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13061.647490399997</v>
      </c>
      <c r="E53" s="83"/>
      <c r="F53" s="83"/>
      <c r="G53" s="104">
        <f>G51+G52</f>
        <v>14296.279144319997</v>
      </c>
      <c r="H53" s="104">
        <f t="shared" si="0"/>
        <v>1234.6316539199997</v>
      </c>
      <c r="I53" s="85">
        <f t="shared" si="7"/>
        <v>9.4523424769151432E-2</v>
      </c>
      <c r="J53" s="86">
        <f t="shared" si="1"/>
        <v>1</v>
      </c>
    </row>
  </sheetData>
  <mergeCells count="4">
    <mergeCell ref="A26:A27"/>
    <mergeCell ref="B26:B27"/>
    <mergeCell ref="E26:E27"/>
    <mergeCell ref="H26:J26"/>
  </mergeCells>
  <phoneticPr fontId="2" type="noConversion"/>
  <pageMargins left="0.75" right="0.75" top="1" bottom="1" header="0.5" footer="0.5"/>
  <pageSetup scale="69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3"/>
  <sheetViews>
    <sheetView tabSelected="1" zoomScaleNormal="100" workbookViewId="0">
      <selection activeCell="F44" sqref="F44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Rates!A20</f>
        <v>Residential - R2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Rates!A21</f>
        <v>Monthly Service Charge</v>
      </c>
      <c r="B4" s="24" t="str">
        <f>Rates!B21</f>
        <v>$</v>
      </c>
      <c r="C4" s="25">
        <f>Rates!D21</f>
        <v>596.12</v>
      </c>
      <c r="D4" s="26">
        <f>Rates!F21</f>
        <v>596.12</v>
      </c>
    </row>
    <row r="5" spans="1:4" x14ac:dyDescent="0.2">
      <c r="A5" s="27" t="str">
        <f>Rates!A22</f>
        <v>Smart Meter Rate Adder</v>
      </c>
      <c r="B5" s="28" t="str">
        <f>Rates!B22</f>
        <v>$</v>
      </c>
      <c r="C5" s="29">
        <f>Rates!D22</f>
        <v>0</v>
      </c>
      <c r="D5" s="30">
        <f>Rates!F22</f>
        <v>0</v>
      </c>
    </row>
    <row r="6" spans="1:4" x14ac:dyDescent="0.2">
      <c r="A6" s="27" t="str">
        <f>Rates!A23</f>
        <v>Distribution Volumetric Rate</v>
      </c>
      <c r="B6" s="28" t="str">
        <f>Rates!B23</f>
        <v>$/kW</v>
      </c>
      <c r="C6" s="31">
        <f>Rates!D23</f>
        <v>2.7086000000000001</v>
      </c>
      <c r="D6" s="32">
        <f>Rates!F23</f>
        <v>2.8948999999999998</v>
      </c>
    </row>
    <row r="7" spans="1:4" x14ac:dyDescent="0.2">
      <c r="A7" s="27" t="str">
        <f>Rates!A24</f>
        <v>Rate Rider for Foregone Revenue Recovery - effective until December 31, 2012</v>
      </c>
      <c r="B7" s="28" t="str">
        <f>Rates!B24</f>
        <v>$/kW</v>
      </c>
      <c r="C7" s="31">
        <f>Rates!D24</f>
        <v>0</v>
      </c>
      <c r="D7" s="32">
        <f>Rates!F24</f>
        <v>0</v>
      </c>
    </row>
    <row r="8" spans="1:4" x14ac:dyDescent="0.2">
      <c r="A8" s="27" t="str">
        <f>Rates!A25</f>
        <v>Rate Rider for Foregone Revenue Recovery - effective until December 31, 2014</v>
      </c>
      <c r="B8" s="28" t="str">
        <f>Rates!B25</f>
        <v>$/kW</v>
      </c>
      <c r="C8" s="31">
        <f>Rates!D25</f>
        <v>0</v>
      </c>
      <c r="D8" s="32">
        <f>Rates!F25</f>
        <v>3.73E-2</v>
      </c>
    </row>
    <row r="9" spans="1:4" x14ac:dyDescent="0.2">
      <c r="A9" s="27" t="str">
        <f>Rates!A26</f>
        <v>Rate Rider for Deferral/Variance Account Disposition (2010) - effective until May 31, 2013</v>
      </c>
      <c r="B9" s="28" t="str">
        <f>Rates!B26</f>
        <v>$/kW</v>
      </c>
      <c r="C9" s="31">
        <f>Rates!D26</f>
        <v>2.2664</v>
      </c>
      <c r="D9" s="32">
        <f>Rates!F26</f>
        <v>2.2664</v>
      </c>
    </row>
    <row r="10" spans="1:4" x14ac:dyDescent="0.2">
      <c r="A10" s="27" t="str">
        <f>Rates!A27</f>
        <v>Rate Rider for Deferral/Variance Account Disposition (2012) - effective until May 31, 2013</v>
      </c>
      <c r="B10" s="28" t="str">
        <f>Rates!B27</f>
        <v>$/kW</v>
      </c>
      <c r="C10" s="31">
        <f>Rates!D27</f>
        <v>-2.8218999999999999</v>
      </c>
      <c r="D10" s="32">
        <f>Rates!F27</f>
        <v>-2.8218999999999999</v>
      </c>
    </row>
    <row r="11" spans="1:4" x14ac:dyDescent="0.2">
      <c r="A11" s="27" t="str">
        <f>Rates!A28</f>
        <v>Rate Rider for Deferral/Variance Account Disposition (2013) - effective until December 31, 2013</v>
      </c>
      <c r="B11" s="28" t="str">
        <f>Rates!B28</f>
        <v>$/kW</v>
      </c>
      <c r="C11" s="31">
        <f>Rates!D28</f>
        <v>0</v>
      </c>
      <c r="D11" s="32">
        <f>Rates!F28</f>
        <v>-1.3006</v>
      </c>
    </row>
    <row r="12" spans="1:4" x14ac:dyDescent="0.2">
      <c r="A12" s="27" t="str">
        <f>Rates!A29</f>
        <v>Rate Rider for Global Adjustment Sub-Account Disposition (2013) - effective until December 31, 2013</v>
      </c>
      <c r="B12" s="28" t="str">
        <f>Rates!B29</f>
        <v>$/kW</v>
      </c>
      <c r="C12" s="31">
        <f>Rates!D29</f>
        <v>0</v>
      </c>
      <c r="D12" s="32">
        <f>Rates!F29</f>
        <v>6.4234999999999998</v>
      </c>
    </row>
    <row r="13" spans="1:4" x14ac:dyDescent="0.2">
      <c r="A13" s="27" t="str">
        <f>Rates!A30</f>
        <v>Rate Rider for Tax Changes</v>
      </c>
      <c r="B13" s="28" t="str">
        <f>Rates!B30</f>
        <v>$/kW</v>
      </c>
      <c r="C13" s="31">
        <f>Rates!D30</f>
        <v>0</v>
      </c>
      <c r="D13" s="32">
        <f>Rates!F30</f>
        <v>-0.03</v>
      </c>
    </row>
    <row r="14" spans="1:4" x14ac:dyDescent="0.2">
      <c r="A14" s="27" t="str">
        <f>Rates!A31</f>
        <v>Retail Transmission Rate - Network Service Rate</v>
      </c>
      <c r="B14" s="28" t="str">
        <f>Rates!B31</f>
        <v>$/kW</v>
      </c>
      <c r="C14" s="31">
        <f>Rates!D31</f>
        <v>2.6396000000000002</v>
      </c>
      <c r="D14" s="32">
        <f>Rates!F31</f>
        <v>2.5632999999999999</v>
      </c>
    </row>
    <row r="15" spans="1:4" x14ac:dyDescent="0.2">
      <c r="A15" s="27" t="str">
        <f>Rates!A32</f>
        <v>Retail Transmission Rate - Line and Transformation Connection Service Rate</v>
      </c>
      <c r="B15" s="28" t="str">
        <f>Rates!B32</f>
        <v>$/kW</v>
      </c>
      <c r="C15" s="31">
        <f>Rates!D32</f>
        <v>1.8099000000000001</v>
      </c>
      <c r="D15" s="32">
        <f>Rates!F32</f>
        <v>1.7423</v>
      </c>
    </row>
    <row r="16" spans="1:4" x14ac:dyDescent="0.2">
      <c r="A16" s="19" t="str">
        <f>Rates!A33</f>
        <v>Retail Transmission Rate - Network Service Rate - Interval Meter &gt; 1,000 kW</v>
      </c>
      <c r="B16" s="20" t="str">
        <f>Rates!B33</f>
        <v>$/kW</v>
      </c>
      <c r="C16" s="21">
        <f>Rates!D33</f>
        <v>2.8001</v>
      </c>
      <c r="D16" s="22">
        <f>Rates!F33</f>
        <v>2.7191000000000001</v>
      </c>
    </row>
    <row r="17" spans="1:10" x14ac:dyDescent="0.2">
      <c r="A17" s="19" t="str">
        <f>Rates!A34</f>
        <v>Retail Transmission Rate - Line and Transformation Connection Service Rate - Interval &gt; 1,000 kW</v>
      </c>
      <c r="B17" s="20" t="str">
        <f>Rates!B34</f>
        <v>$/kW</v>
      </c>
      <c r="C17" s="21">
        <f>Rates!D34</f>
        <v>2.0003000000000002</v>
      </c>
      <c r="D17" s="22">
        <f>Rates!F34</f>
        <v>1.9255</v>
      </c>
    </row>
    <row r="18" spans="1:10" x14ac:dyDescent="0.2">
      <c r="A18" s="19" t="str">
        <f>Rates!A35</f>
        <v>Wholesale Market Service Rate</v>
      </c>
      <c r="B18" s="20" t="str">
        <f>Rates!B35</f>
        <v>$/kWh</v>
      </c>
      <c r="C18" s="21">
        <f>Rates!D35</f>
        <v>5.1999999999999998E-3</v>
      </c>
      <c r="D18" s="22">
        <f>Rates!F35</f>
        <v>4.4000000000000003E-3</v>
      </c>
    </row>
    <row r="19" spans="1:10" x14ac:dyDescent="0.2">
      <c r="A19" s="19" t="str">
        <f>Rates!A36</f>
        <v>Rural Rate Protection Charge</v>
      </c>
      <c r="B19" s="20" t="str">
        <f>Rates!B36</f>
        <v>$/kWh</v>
      </c>
      <c r="C19" s="21">
        <f>Rates!D36</f>
        <v>1.1000000000000001E-3</v>
      </c>
      <c r="D19" s="22">
        <f>Rates!F36</f>
        <v>1.1999999999999999E-3</v>
      </c>
    </row>
    <row r="20" spans="1:10" ht="12.75" thickBot="1" x14ac:dyDescent="0.25">
      <c r="A20" s="12" t="str">
        <f>Rates!A37</f>
        <v>Standard Supply Service - Administarive Charge (if applicable)</v>
      </c>
      <c r="B20" s="17" t="str">
        <f>Rates!B37</f>
        <v>$</v>
      </c>
      <c r="C20" s="18">
        <f>Rates!D37</f>
        <v>0.25</v>
      </c>
      <c r="D20" s="13">
        <f>Rates!F37</f>
        <v>0.25</v>
      </c>
    </row>
    <row r="22" spans="1:10" ht="12.75" thickBot="1" x14ac:dyDescent="0.25"/>
    <row r="23" spans="1:10" ht="13.5" thickBot="1" x14ac:dyDescent="0.25">
      <c r="A23" s="33" t="s">
        <v>26</v>
      </c>
      <c r="B23" s="34">
        <v>90000</v>
      </c>
      <c r="C23" s="35" t="s">
        <v>27</v>
      </c>
      <c r="D23" s="36">
        <v>225</v>
      </c>
      <c r="E23" s="35" t="s">
        <v>28</v>
      </c>
      <c r="G23" s="37" t="s">
        <v>23</v>
      </c>
      <c r="H23" s="53">
        <f>Rates!F82</f>
        <v>1.0864</v>
      </c>
    </row>
    <row r="24" spans="1:10" ht="13.5" thickBot="1" x14ac:dyDescent="0.25">
      <c r="A24" s="33" t="s">
        <v>29</v>
      </c>
      <c r="B24" s="34">
        <v>750</v>
      </c>
      <c r="C24" s="35" t="s">
        <v>27</v>
      </c>
      <c r="D24" s="37" t="s">
        <v>30</v>
      </c>
      <c r="E24" s="97">
        <f>IF(D23&gt;0,B23/(D23*24*30.4)," ")</f>
        <v>0.54824561403508776</v>
      </c>
    </row>
    <row r="25" spans="1:10" ht="12.75" thickBot="1" x14ac:dyDescent="0.25"/>
    <row r="26" spans="1:10" ht="12.75" customHeight="1" x14ac:dyDescent="0.2">
      <c r="A26" s="152" t="str">
        <f>A3</f>
        <v>Residential - R2</v>
      </c>
      <c r="B26" s="154" t="s">
        <v>31</v>
      </c>
      <c r="C26" s="146" t="s">
        <v>37</v>
      </c>
      <c r="D26" s="146" t="s">
        <v>38</v>
      </c>
      <c r="E26" s="154" t="s">
        <v>31</v>
      </c>
      <c r="F26" s="146" t="s">
        <v>37</v>
      </c>
      <c r="G26" s="146" t="s">
        <v>38</v>
      </c>
      <c r="H26" s="156" t="s">
        <v>44</v>
      </c>
      <c r="I26" s="156"/>
      <c r="J26" s="157"/>
    </row>
    <row r="27" spans="1:10" ht="12.75" thickBot="1" x14ac:dyDescent="0.25">
      <c r="A27" s="153"/>
      <c r="B27" s="155"/>
      <c r="C27" s="50" t="s">
        <v>15</v>
      </c>
      <c r="D27" s="50" t="s">
        <v>15</v>
      </c>
      <c r="E27" s="155"/>
      <c r="F27" s="50" t="s">
        <v>15</v>
      </c>
      <c r="G27" s="50" t="s">
        <v>15</v>
      </c>
      <c r="H27" s="50" t="s">
        <v>15</v>
      </c>
      <c r="I27" s="51" t="s">
        <v>22</v>
      </c>
      <c r="J27" s="52" t="s">
        <v>34</v>
      </c>
    </row>
    <row r="28" spans="1:10" x14ac:dyDescent="0.2">
      <c r="A28" s="54" t="s">
        <v>35</v>
      </c>
      <c r="B28" s="55">
        <f>IF(B23*Rates!D82&gt;B24,B24,B23*Rates!D82)</f>
        <v>750</v>
      </c>
      <c r="C28" s="56">
        <f>Rates!D78</f>
        <v>7.4999999999999997E-2</v>
      </c>
      <c r="D28" s="57">
        <f>B28*C28</f>
        <v>56.25</v>
      </c>
      <c r="E28" s="55">
        <f>IF(B23*H23&gt;B24,B24,B23*H23)</f>
        <v>750</v>
      </c>
      <c r="F28" s="56">
        <f>Rates!F78</f>
        <v>7.4999999999999997E-2</v>
      </c>
      <c r="G28" s="57">
        <f>E28*F28</f>
        <v>56.25</v>
      </c>
      <c r="H28" s="58">
        <f t="shared" ref="H28:H53" si="0">G28-D28</f>
        <v>0</v>
      </c>
      <c r="I28" s="59">
        <f>IF(ISERROR(H28/D28),1,H28/D28)</f>
        <v>0</v>
      </c>
      <c r="J28" s="60">
        <f t="shared" ref="J28:J53" si="1">IF(ISERROR(G28/G$53),0,G28/G$53)</f>
        <v>3.9089871664341807E-3</v>
      </c>
    </row>
    <row r="29" spans="1:10" ht="12.75" thickBot="1" x14ac:dyDescent="0.25">
      <c r="A29" s="63" t="s">
        <v>36</v>
      </c>
      <c r="B29" s="64">
        <f>IF(B23*Rates!D82&gt;=B24,B23*Rates!D82-B24,0)</f>
        <v>97026</v>
      </c>
      <c r="C29" s="65">
        <f>Rates!D79</f>
        <v>8.7999999999999995E-2</v>
      </c>
      <c r="D29" s="66">
        <f>B29*C29</f>
        <v>8538.2879999999986</v>
      </c>
      <c r="E29" s="64">
        <f>IF(B23*H23&gt;=B24,B23*H23-B24,0)</f>
        <v>97026</v>
      </c>
      <c r="F29" s="65">
        <f>Rates!F79</f>
        <v>8.7999999999999995E-2</v>
      </c>
      <c r="G29" s="66">
        <f>E29*F29</f>
        <v>8538.2879999999986</v>
      </c>
      <c r="H29" s="66">
        <f t="shared" si="0"/>
        <v>0</v>
      </c>
      <c r="I29" s="67">
        <f>IF(ISERROR(H29/D29),0,H29/D29)</f>
        <v>0</v>
      </c>
      <c r="J29" s="68">
        <f t="shared" si="1"/>
        <v>0.59335214605011488</v>
      </c>
    </row>
    <row r="30" spans="1:10" ht="12.75" thickBot="1" x14ac:dyDescent="0.25">
      <c r="A30" s="73" t="s">
        <v>39</v>
      </c>
      <c r="B30" s="74"/>
      <c r="C30" s="75"/>
      <c r="D30" s="76">
        <f>SUM(D28:D29)</f>
        <v>8594.5379999999986</v>
      </c>
      <c r="E30" s="75"/>
      <c r="F30" s="75"/>
      <c r="G30" s="76">
        <f>SUM(G28:G29)</f>
        <v>8594.5379999999986</v>
      </c>
      <c r="H30" s="76">
        <f t="shared" si="0"/>
        <v>0</v>
      </c>
      <c r="I30" s="77">
        <f>IF(ISERROR(H30/D30),0,H30/D30)</f>
        <v>0</v>
      </c>
      <c r="J30" s="78">
        <f t="shared" si="1"/>
        <v>0.59726113321654906</v>
      </c>
    </row>
    <row r="31" spans="1:10" x14ac:dyDescent="0.2">
      <c r="A31" s="69" t="str">
        <f t="shared" ref="A31:A39" si="2">A4</f>
        <v>Monthly Service Charge</v>
      </c>
      <c r="B31" s="70">
        <v>1</v>
      </c>
      <c r="C31" s="46">
        <f t="shared" ref="C31:C39" si="3">C4</f>
        <v>596.12</v>
      </c>
      <c r="D31" s="46">
        <f t="shared" ref="D31:D40" si="4">B31*C31</f>
        <v>596.12</v>
      </c>
      <c r="E31" s="71">
        <f>B31</f>
        <v>1</v>
      </c>
      <c r="F31" s="47">
        <f t="shared" ref="F31:F39" si="5">D4</f>
        <v>596.12</v>
      </c>
      <c r="G31" s="47">
        <f t="shared" ref="G31:G40" si="6">E31*F31</f>
        <v>596.12</v>
      </c>
      <c r="H31" s="47">
        <f t="shared" si="0"/>
        <v>0</v>
      </c>
      <c r="I31" s="48">
        <f>IF(ISERROR(H31/D31),0,H31/D31)</f>
        <v>0</v>
      </c>
      <c r="J31" s="72">
        <f t="shared" si="1"/>
        <v>4.1426229860528782E-2</v>
      </c>
    </row>
    <row r="32" spans="1:10" x14ac:dyDescent="0.2">
      <c r="A32" s="61" t="str">
        <f t="shared" si="2"/>
        <v>Smart Meter Rate Adder</v>
      </c>
      <c r="B32" s="43">
        <f>B31</f>
        <v>1</v>
      </c>
      <c r="C32" s="41">
        <f t="shared" si="3"/>
        <v>0</v>
      </c>
      <c r="D32" s="41">
        <f t="shared" si="4"/>
        <v>0</v>
      </c>
      <c r="E32" s="43">
        <f>B32</f>
        <v>1</v>
      </c>
      <c r="F32" s="41">
        <f t="shared" si="5"/>
        <v>0</v>
      </c>
      <c r="G32" s="41">
        <f t="shared" si="6"/>
        <v>0</v>
      </c>
      <c r="H32" s="41">
        <f t="shared" si="0"/>
        <v>0</v>
      </c>
      <c r="I32" s="42">
        <f>IF(ISERROR(H32/D32),1,H32/D32)</f>
        <v>1</v>
      </c>
      <c r="J32" s="62">
        <f t="shared" si="1"/>
        <v>0</v>
      </c>
    </row>
    <row r="33" spans="1:10" x14ac:dyDescent="0.2">
      <c r="A33" s="61" t="str">
        <f t="shared" si="2"/>
        <v>Distribution Volumetric Rate</v>
      </c>
      <c r="B33" s="43">
        <f>D23</f>
        <v>225</v>
      </c>
      <c r="C33" s="40">
        <f t="shared" si="3"/>
        <v>2.7086000000000001</v>
      </c>
      <c r="D33" s="41">
        <f t="shared" si="4"/>
        <v>609.43500000000006</v>
      </c>
      <c r="E33" s="43">
        <f>D23</f>
        <v>225</v>
      </c>
      <c r="F33" s="40">
        <f t="shared" si="5"/>
        <v>2.8948999999999998</v>
      </c>
      <c r="G33" s="41">
        <f t="shared" si="6"/>
        <v>651.35249999999996</v>
      </c>
      <c r="H33" s="41">
        <f t="shared" si="0"/>
        <v>41.917499999999905</v>
      </c>
      <c r="I33" s="42">
        <f t="shared" ref="I33:I53" si="7">IF(ISERROR(H33/D33),0,H33/D33)</f>
        <v>6.8780920032488951E-2</v>
      </c>
      <c r="J33" s="62">
        <f t="shared" si="1"/>
        <v>4.526450779244124E-2</v>
      </c>
    </row>
    <row r="34" spans="1:10" x14ac:dyDescent="0.2">
      <c r="A34" s="61" t="str">
        <f t="shared" si="2"/>
        <v>Rate Rider for Foregone Revenue Recovery - effective until December 31, 2012</v>
      </c>
      <c r="B34" s="43">
        <f>D23</f>
        <v>225</v>
      </c>
      <c r="C34" s="40">
        <f t="shared" si="3"/>
        <v>0</v>
      </c>
      <c r="D34" s="41">
        <f t="shared" si="4"/>
        <v>0</v>
      </c>
      <c r="E34" s="43">
        <f>D23</f>
        <v>225</v>
      </c>
      <c r="F34" s="40">
        <f t="shared" si="5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1"/>
        <v>0</v>
      </c>
    </row>
    <row r="35" spans="1:10" x14ac:dyDescent="0.2">
      <c r="A35" s="61" t="str">
        <f t="shared" si="2"/>
        <v>Rate Rider for Foregone Revenue Recovery - effective until December 31, 2014</v>
      </c>
      <c r="B35" s="43">
        <f>D23</f>
        <v>225</v>
      </c>
      <c r="C35" s="40">
        <f t="shared" si="3"/>
        <v>0</v>
      </c>
      <c r="D35" s="41">
        <f t="shared" si="4"/>
        <v>0</v>
      </c>
      <c r="E35" s="43">
        <f>D23</f>
        <v>225</v>
      </c>
      <c r="F35" s="40">
        <f t="shared" si="5"/>
        <v>3.73E-2</v>
      </c>
      <c r="G35" s="41">
        <f>E35*F35</f>
        <v>8.3925000000000001</v>
      </c>
      <c r="H35" s="41">
        <f>G35-D35</f>
        <v>8.3925000000000001</v>
      </c>
      <c r="I35" s="42">
        <f>IF(ISERROR(H35/D35),0,H35/D35)</f>
        <v>0</v>
      </c>
      <c r="J35" s="62">
        <f t="shared" si="1"/>
        <v>5.832208852319798E-4</v>
      </c>
    </row>
    <row r="36" spans="1:10" x14ac:dyDescent="0.2">
      <c r="A36" s="61" t="str">
        <f t="shared" si="2"/>
        <v>Rate Rider for Deferral/Variance Account Disposition (2010) - effective until May 31, 2013</v>
      </c>
      <c r="B36" s="43">
        <f>D23</f>
        <v>225</v>
      </c>
      <c r="C36" s="40">
        <f t="shared" si="3"/>
        <v>2.2664</v>
      </c>
      <c r="D36" s="41">
        <f t="shared" si="4"/>
        <v>509.94</v>
      </c>
      <c r="E36" s="43">
        <f>D23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3.5437314056025709E-2</v>
      </c>
    </row>
    <row r="37" spans="1:10" x14ac:dyDescent="0.2">
      <c r="A37" s="61" t="str">
        <f t="shared" si="2"/>
        <v>Rate Rider for Deferral/Variance Account Disposition (2012) - effective until May 31, 2013</v>
      </c>
      <c r="B37" s="43">
        <f>D23</f>
        <v>225</v>
      </c>
      <c r="C37" s="40">
        <f t="shared" si="3"/>
        <v>-2.8218999999999999</v>
      </c>
      <c r="D37" s="41">
        <f t="shared" si="4"/>
        <v>-634.92750000000001</v>
      </c>
      <c r="E37" s="43">
        <f>D23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-4.4123083539842463E-2</v>
      </c>
    </row>
    <row r="38" spans="1:10" x14ac:dyDescent="0.2">
      <c r="A38" s="61" t="str">
        <f t="shared" si="2"/>
        <v>Rate Rider for Deferral/Variance Account Disposition (2013) - effective until December 31, 2013</v>
      </c>
      <c r="B38" s="43">
        <f>D23</f>
        <v>225</v>
      </c>
      <c r="C38" s="40">
        <f t="shared" si="3"/>
        <v>0</v>
      </c>
      <c r="D38" s="41">
        <f t="shared" si="4"/>
        <v>0</v>
      </c>
      <c r="E38" s="43">
        <f>D23</f>
        <v>225</v>
      </c>
      <c r="F38" s="40">
        <f t="shared" si="5"/>
        <v>-1.3006</v>
      </c>
      <c r="G38" s="41">
        <f>E38*F38</f>
        <v>-292.63499999999999</v>
      </c>
      <c r="H38" s="41">
        <f>G38-D38</f>
        <v>-292.63499999999999</v>
      </c>
      <c r="I38" s="42">
        <f>IF(ISERROR(H38/D38),0,H38/D38)</f>
        <v>0</v>
      </c>
      <c r="J38" s="62">
        <f t="shared" si="1"/>
        <v>-2.0336114834657183E-2</v>
      </c>
    </row>
    <row r="39" spans="1:10" x14ac:dyDescent="0.2">
      <c r="A39" s="61" t="str">
        <f t="shared" si="2"/>
        <v>Rate Rider for Global Adjustment Sub-Account Disposition (2013) - effective until December 31, 2013</v>
      </c>
      <c r="B39" s="43">
        <f>D23</f>
        <v>225</v>
      </c>
      <c r="C39" s="40">
        <f t="shared" si="3"/>
        <v>0</v>
      </c>
      <c r="D39" s="41">
        <f t="shared" si="4"/>
        <v>0</v>
      </c>
      <c r="E39" s="43">
        <f>D23</f>
        <v>225</v>
      </c>
      <c r="F39" s="40">
        <f t="shared" si="5"/>
        <v>6.4234999999999998</v>
      </c>
      <c r="G39" s="41">
        <f>E39*F39</f>
        <v>1445.2874999999999</v>
      </c>
      <c r="H39" s="41">
        <f>G39-D39</f>
        <v>1445.2874999999999</v>
      </c>
      <c r="I39" s="42">
        <f>IF(ISERROR(H39/D39),0,H39/D39)</f>
        <v>0</v>
      </c>
      <c r="J39" s="62">
        <f t="shared" si="1"/>
        <v>0.10043751625435983</v>
      </c>
    </row>
    <row r="40" spans="1:10" ht="12.75" thickBot="1" x14ac:dyDescent="0.25">
      <c r="A40" s="61" t="str">
        <f t="shared" ref="A40" si="8">A13</f>
        <v>Rate Rider for Tax Changes</v>
      </c>
      <c r="B40" s="43">
        <f>D23</f>
        <v>225</v>
      </c>
      <c r="C40" s="40">
        <f t="shared" ref="C40" si="9">C13</f>
        <v>0</v>
      </c>
      <c r="D40" s="41">
        <f t="shared" si="4"/>
        <v>0</v>
      </c>
      <c r="E40" s="43">
        <f>D23</f>
        <v>225</v>
      </c>
      <c r="F40" s="40">
        <f t="shared" ref="F40" si="10">D13</f>
        <v>-0.03</v>
      </c>
      <c r="G40" s="41">
        <f t="shared" si="6"/>
        <v>-6.75</v>
      </c>
      <c r="H40" s="41">
        <f t="shared" si="0"/>
        <v>-6.75</v>
      </c>
      <c r="I40" s="42">
        <f t="shared" si="7"/>
        <v>0</v>
      </c>
      <c r="J40" s="62">
        <f t="shared" si="1"/>
        <v>-4.6907845997210169E-4</v>
      </c>
    </row>
    <row r="41" spans="1:10" ht="12.75" thickBot="1" x14ac:dyDescent="0.25">
      <c r="A41" s="73" t="s">
        <v>40</v>
      </c>
      <c r="B41" s="74"/>
      <c r="C41" s="75"/>
      <c r="D41" s="80">
        <f>SUM(D31:D40)</f>
        <v>1080.5675000000001</v>
      </c>
      <c r="E41" s="75"/>
      <c r="F41" s="75"/>
      <c r="G41" s="76">
        <f>SUM(G31:G40)</f>
        <v>2276.7799999999997</v>
      </c>
      <c r="H41" s="76">
        <f t="shared" si="0"/>
        <v>1196.2124999999996</v>
      </c>
      <c r="I41" s="77">
        <f t="shared" si="7"/>
        <v>1.1070224673609002</v>
      </c>
      <c r="J41" s="78">
        <f t="shared" si="1"/>
        <v>0.1582205120141158</v>
      </c>
    </row>
    <row r="42" spans="1:10" x14ac:dyDescent="0.2">
      <c r="A42" s="69" t="str">
        <f>A14</f>
        <v>Retail Transmission Rate - Network Service Rate</v>
      </c>
      <c r="B42" s="44">
        <f>D23*Rates!D82</f>
        <v>244.44</v>
      </c>
      <c r="C42" s="45">
        <f>C16</f>
        <v>2.8001</v>
      </c>
      <c r="D42" s="47">
        <f>B42*C42</f>
        <v>684.45644400000003</v>
      </c>
      <c r="E42" s="44">
        <f>D23*H23</f>
        <v>244.44</v>
      </c>
      <c r="F42" s="45">
        <f>D16</f>
        <v>2.7191000000000001</v>
      </c>
      <c r="G42" s="47">
        <f>E42*F42</f>
        <v>664.65680399999997</v>
      </c>
      <c r="H42" s="47">
        <f t="shared" si="0"/>
        <v>-19.799640000000068</v>
      </c>
      <c r="I42" s="48">
        <f t="shared" si="7"/>
        <v>-2.8927538302203591E-2</v>
      </c>
      <c r="J42" s="72">
        <f t="shared" si="1"/>
        <v>4.6189065189673931E-2</v>
      </c>
    </row>
    <row r="43" spans="1:10" ht="12.75" thickBot="1" x14ac:dyDescent="0.25">
      <c r="A43" s="63" t="str">
        <f>A15</f>
        <v>Retail Transmission Rate - Line and Transformation Connection Service Rate</v>
      </c>
      <c r="B43" s="64">
        <f>D23*Rates!D82</f>
        <v>244.44</v>
      </c>
      <c r="C43" s="65">
        <f>C17</f>
        <v>2.0003000000000002</v>
      </c>
      <c r="D43" s="66">
        <f>B43*C43</f>
        <v>488.95333200000005</v>
      </c>
      <c r="E43" s="64">
        <f>D23*H23</f>
        <v>244.44</v>
      </c>
      <c r="F43" s="65">
        <f>D17</f>
        <v>1.9255</v>
      </c>
      <c r="G43" s="66">
        <f>E43*F43</f>
        <v>470.66922</v>
      </c>
      <c r="H43" s="66">
        <f t="shared" si="0"/>
        <v>-18.28411200000005</v>
      </c>
      <c r="I43" s="67">
        <f t="shared" si="7"/>
        <v>-3.7394390841373894E-2</v>
      </c>
      <c r="J43" s="68">
        <f t="shared" si="1"/>
        <v>3.2708265610943754E-2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1173.409776</v>
      </c>
      <c r="E44" s="75"/>
      <c r="F44" s="75"/>
      <c r="G44" s="76">
        <f>SUM(G42:G43)</f>
        <v>1135.326024</v>
      </c>
      <c r="H44" s="76">
        <f t="shared" si="0"/>
        <v>-38.083752000000004</v>
      </c>
      <c r="I44" s="77">
        <f t="shared" si="7"/>
        <v>-3.2455628697608534E-2</v>
      </c>
      <c r="J44" s="78">
        <f t="shared" si="1"/>
        <v>7.8897330800617685E-2</v>
      </c>
    </row>
    <row r="45" spans="1:10" ht="12.75" thickBot="1" x14ac:dyDescent="0.25">
      <c r="A45" s="81" t="s">
        <v>41</v>
      </c>
      <c r="B45" s="82"/>
      <c r="C45" s="83"/>
      <c r="D45" s="84">
        <f>D41+D44</f>
        <v>2253.9772760000001</v>
      </c>
      <c r="E45" s="83"/>
      <c r="F45" s="83"/>
      <c r="G45" s="84">
        <f>G41+G44</f>
        <v>3412.1060239999997</v>
      </c>
      <c r="H45" s="84">
        <f t="shared" si="0"/>
        <v>1158.1287479999996</v>
      </c>
      <c r="I45" s="85">
        <f t="shared" si="7"/>
        <v>0.51381562730537467</v>
      </c>
      <c r="J45" s="86">
        <f t="shared" si="1"/>
        <v>0.23711784281473347</v>
      </c>
    </row>
    <row r="46" spans="1:10" x14ac:dyDescent="0.2">
      <c r="A46" s="69" t="str">
        <f>A18</f>
        <v>Wholesale Market Service Rate</v>
      </c>
      <c r="B46" s="44">
        <f>B23*Rates!D82</f>
        <v>97776</v>
      </c>
      <c r="C46" s="45">
        <f>C18</f>
        <v>5.1999999999999998E-3</v>
      </c>
      <c r="D46" s="47">
        <f>B46*C46</f>
        <v>508.43519999999995</v>
      </c>
      <c r="E46" s="44">
        <f>B23*H23</f>
        <v>97776</v>
      </c>
      <c r="F46" s="45">
        <f>D18</f>
        <v>4.4000000000000003E-3</v>
      </c>
      <c r="G46" s="47">
        <f>E46*F46</f>
        <v>430.21440000000001</v>
      </c>
      <c r="H46" s="47">
        <f t="shared" si="0"/>
        <v>-78.22079999999994</v>
      </c>
      <c r="I46" s="48">
        <f t="shared" si="7"/>
        <v>-0.15384615384615374</v>
      </c>
      <c r="J46" s="72">
        <f t="shared" si="1"/>
        <v>2.9896934549603224E-2</v>
      </c>
    </row>
    <row r="47" spans="1:10" x14ac:dyDescent="0.2">
      <c r="A47" s="61" t="str">
        <f>A19</f>
        <v>Rural Rate Protection Charge</v>
      </c>
      <c r="B47" s="39">
        <f>B23*Rates!D82</f>
        <v>97776</v>
      </c>
      <c r="C47" s="40">
        <f>C19</f>
        <v>1.1000000000000001E-3</v>
      </c>
      <c r="D47" s="41">
        <f>B47*C47</f>
        <v>107.5536</v>
      </c>
      <c r="E47" s="39">
        <f>B23*H23</f>
        <v>97776</v>
      </c>
      <c r="F47" s="40">
        <f>D19</f>
        <v>1.1999999999999999E-3</v>
      </c>
      <c r="G47" s="41">
        <f>E47*F47</f>
        <v>117.3312</v>
      </c>
      <c r="H47" s="41">
        <f t="shared" si="0"/>
        <v>9.7775999999999925</v>
      </c>
      <c r="I47" s="42">
        <f t="shared" si="7"/>
        <v>9.0909090909090842E-2</v>
      </c>
      <c r="J47" s="62">
        <f t="shared" si="1"/>
        <v>8.1537094226190598E-3</v>
      </c>
    </row>
    <row r="48" spans="1:10" ht="12.75" thickBot="1" x14ac:dyDescent="0.25">
      <c r="A48" s="63" t="str">
        <f>A20</f>
        <v>Standard Supply Service - Administarive Charge (if applicable)</v>
      </c>
      <c r="B48" s="79">
        <f>B31</f>
        <v>1</v>
      </c>
      <c r="C48" s="66">
        <f>C20</f>
        <v>0.25</v>
      </c>
      <c r="D48" s="66">
        <f>B48*C48</f>
        <v>0.25</v>
      </c>
      <c r="E48" s="64">
        <f>B31</f>
        <v>1</v>
      </c>
      <c r="F48" s="66">
        <f>D20</f>
        <v>0.25</v>
      </c>
      <c r="G48" s="66">
        <f>E48*F48</f>
        <v>0.25</v>
      </c>
      <c r="H48" s="66">
        <f t="shared" si="0"/>
        <v>0</v>
      </c>
      <c r="I48" s="67">
        <f t="shared" si="7"/>
        <v>0</v>
      </c>
      <c r="J48" s="68">
        <f t="shared" si="1"/>
        <v>1.7373276295263027E-5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616.23879999999997</v>
      </c>
      <c r="E49" s="75"/>
      <c r="F49" s="75"/>
      <c r="G49" s="76">
        <f>SUM(G46:G48)</f>
        <v>547.79560000000004</v>
      </c>
      <c r="H49" s="76">
        <f t="shared" si="0"/>
        <v>-68.443199999999933</v>
      </c>
      <c r="I49" s="77">
        <f t="shared" si="7"/>
        <v>-0.11106603479040907</v>
      </c>
      <c r="J49" s="78">
        <f t="shared" si="1"/>
        <v>3.8068017248517549E-2</v>
      </c>
    </row>
    <row r="50" spans="1:10" ht="12.75" thickBot="1" x14ac:dyDescent="0.25">
      <c r="A50" s="87" t="s">
        <v>19</v>
      </c>
      <c r="B50" s="88">
        <f>B23</f>
        <v>90000</v>
      </c>
      <c r="C50" s="89">
        <f>Rates!D77</f>
        <v>2E-3</v>
      </c>
      <c r="D50" s="90">
        <f>B50*C50</f>
        <v>180</v>
      </c>
      <c r="E50" s="88">
        <f>B23</f>
        <v>90000</v>
      </c>
      <c r="F50" s="89">
        <f>Rates!F77</f>
        <v>2E-3</v>
      </c>
      <c r="G50" s="90">
        <f>E50*F50</f>
        <v>180</v>
      </c>
      <c r="H50" s="90">
        <f t="shared" si="0"/>
        <v>0</v>
      </c>
      <c r="I50" s="91">
        <f t="shared" si="7"/>
        <v>0</v>
      </c>
      <c r="J50" s="92">
        <f t="shared" si="1"/>
        <v>1.2508758932589379E-2</v>
      </c>
    </row>
    <row r="51" spans="1:10" ht="12.75" thickBot="1" x14ac:dyDescent="0.25">
      <c r="A51" s="73" t="s">
        <v>43</v>
      </c>
      <c r="B51" s="74"/>
      <c r="C51" s="75"/>
      <c r="D51" s="76">
        <f>D30+D45+D49+D50</f>
        <v>11644.754075999997</v>
      </c>
      <c r="E51" s="75"/>
      <c r="F51" s="75"/>
      <c r="G51" s="76">
        <f>G30+G45+G49+G50</f>
        <v>12734.439623999997</v>
      </c>
      <c r="H51" s="76">
        <f t="shared" si="0"/>
        <v>1089.6855479999995</v>
      </c>
      <c r="I51" s="77">
        <f t="shared" si="7"/>
        <v>9.3577377494459657E-2</v>
      </c>
      <c r="J51" s="78">
        <f t="shared" si="1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1513.8180298799998</v>
      </c>
      <c r="E52" s="96"/>
      <c r="F52" s="95">
        <f>Rates!F83</f>
        <v>0.13</v>
      </c>
      <c r="G52" s="90">
        <f>F52*G51</f>
        <v>1655.4771511199997</v>
      </c>
      <c r="H52" s="90">
        <f t="shared" si="0"/>
        <v>141.65912123999988</v>
      </c>
      <c r="I52" s="91">
        <f t="shared" si="7"/>
        <v>9.3577377494459602E-2</v>
      </c>
      <c r="J52" s="92">
        <f t="shared" si="1"/>
        <v>0.11504424778761063</v>
      </c>
    </row>
    <row r="53" spans="1:10" ht="12.75" thickBot="1" x14ac:dyDescent="0.25">
      <c r="A53" s="81" t="s">
        <v>33</v>
      </c>
      <c r="B53" s="82"/>
      <c r="C53" s="83"/>
      <c r="D53" s="104">
        <f>D51+D52</f>
        <v>13158.572105879997</v>
      </c>
      <c r="E53" s="83"/>
      <c r="F53" s="83"/>
      <c r="G53" s="104">
        <f>G51+G52</f>
        <v>14389.916775119997</v>
      </c>
      <c r="H53" s="104">
        <f t="shared" si="0"/>
        <v>1231.3446692399993</v>
      </c>
      <c r="I53" s="85">
        <f t="shared" si="7"/>
        <v>9.3577377494459643E-2</v>
      </c>
      <c r="J53" s="86">
        <f t="shared" si="1"/>
        <v>1</v>
      </c>
    </row>
  </sheetData>
  <mergeCells count="4">
    <mergeCell ref="A26:A27"/>
    <mergeCell ref="B26:B27"/>
    <mergeCell ref="E26:E27"/>
    <mergeCell ref="H26:J26"/>
  </mergeCells>
  <pageMargins left="0.75" right="0.75" top="1" bottom="1" header="0.5" footer="0.5"/>
  <pageSetup scale="69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opLeftCell="A22" zoomScaleNormal="100" workbookViewId="0">
      <selection activeCell="A35" sqref="A35"/>
    </sheetView>
  </sheetViews>
  <sheetFormatPr defaultRowHeight="12" x14ac:dyDescent="0.2"/>
  <cols>
    <col min="1" max="1" width="92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1" width="3.42578125" style="8" customWidth="1"/>
    <col min="12" max="16384" width="9.140625" style="8"/>
  </cols>
  <sheetData>
    <row r="2" spans="1:4" ht="12.75" thickBot="1" x14ac:dyDescent="0.25"/>
    <row r="3" spans="1:4" ht="48.75" thickBot="1" x14ac:dyDescent="0.25">
      <c r="A3" s="14" t="str">
        <f>Rates!A39</f>
        <v>Seasonal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Rates!A40</f>
        <v>Monthly Service Charge</v>
      </c>
      <c r="B4" s="24" t="str">
        <f>Rates!B40</f>
        <v>$</v>
      </c>
      <c r="C4" s="25">
        <f>Rates!D40</f>
        <v>26.15</v>
      </c>
      <c r="D4" s="26">
        <f>Rates!F40</f>
        <v>26.38</v>
      </c>
    </row>
    <row r="5" spans="1:4" x14ac:dyDescent="0.2">
      <c r="A5" s="27" t="str">
        <f>Rates!A41</f>
        <v>Smart Meter Rate Adder</v>
      </c>
      <c r="B5" s="28" t="str">
        <f>Rates!B41</f>
        <v>$</v>
      </c>
      <c r="C5" s="29">
        <f>Rates!D41</f>
        <v>0</v>
      </c>
      <c r="D5" s="30">
        <f>Rates!F41</f>
        <v>0</v>
      </c>
    </row>
    <row r="6" spans="1:4" x14ac:dyDescent="0.2">
      <c r="A6" s="27" t="str">
        <f>Rates!A57</f>
        <v>Smart Meter Entity Charge - effective May 1, 2013 until October 31, 2018</v>
      </c>
      <c r="B6" s="28" t="str">
        <f>Rates!B57</f>
        <v>$</v>
      </c>
      <c r="C6" s="31">
        <f>Rates!D57</f>
        <v>0</v>
      </c>
      <c r="D6" s="32">
        <f>Rates!F57</f>
        <v>0.79</v>
      </c>
    </row>
    <row r="7" spans="1:4" x14ac:dyDescent="0.2">
      <c r="A7" s="27" t="str">
        <f>Rates!A42</f>
        <v>Distribution Volumetric Rate</v>
      </c>
      <c r="B7" s="28" t="str">
        <f>Rates!B42</f>
        <v>$/kWh</v>
      </c>
      <c r="C7" s="31">
        <f>Rates!D42</f>
        <v>0.10059999999999999</v>
      </c>
      <c r="D7" s="32">
        <f>Rates!F42</f>
        <v>0.10150000000000001</v>
      </c>
    </row>
    <row r="8" spans="1:4" x14ac:dyDescent="0.2">
      <c r="A8" s="27" t="str">
        <f>Rates!A43</f>
        <v>Rate Rider for Foregone Revenue Recovery - effective until December 31, 2012</v>
      </c>
      <c r="B8" s="28" t="str">
        <f>Rates!B43</f>
        <v>$/kWh</v>
      </c>
      <c r="C8" s="31">
        <f>Rates!D43</f>
        <v>0</v>
      </c>
      <c r="D8" s="32">
        <f>Rates!F43</f>
        <v>0</v>
      </c>
    </row>
    <row r="9" spans="1:4" x14ac:dyDescent="0.2">
      <c r="A9" s="27" t="str">
        <f>Rates!A44</f>
        <v>Rate Rider for Foregone Revenue Recovery - effective until December 31, 2014</v>
      </c>
      <c r="B9" s="28" t="str">
        <f>Rates!B44</f>
        <v>$/kWh</v>
      </c>
      <c r="C9" s="31">
        <f>Rates!D44</f>
        <v>0</v>
      </c>
      <c r="D9" s="32">
        <f>Rates!F44</f>
        <v>2.9999999999999997E-4</v>
      </c>
    </row>
    <row r="10" spans="1:4" x14ac:dyDescent="0.2">
      <c r="A10" s="27" t="str">
        <f>Rates!A45</f>
        <v>Rate Rider for Deferral/Variance Account Disposition (2010) - effective until May 31, 2013</v>
      </c>
      <c r="B10" s="28" t="str">
        <f>Rates!B45</f>
        <v>$/kWh</v>
      </c>
      <c r="C10" s="31">
        <f>Rates!D45</f>
        <v>4.5999999999999999E-3</v>
      </c>
      <c r="D10" s="32">
        <f>Rates!F45</f>
        <v>4.5999999999999999E-3</v>
      </c>
    </row>
    <row r="11" spans="1:4" x14ac:dyDescent="0.2">
      <c r="A11" s="27" t="str">
        <f>Rates!A46</f>
        <v>Rate Rider for Deferral/Variance Account Disposition (2012) - effective until May 31, 2013</v>
      </c>
      <c r="B11" s="28" t="str">
        <f>Rates!B46</f>
        <v>$/kWh</v>
      </c>
      <c r="C11" s="31">
        <f>Rates!D46</f>
        <v>-6.1000000000000004E-3</v>
      </c>
      <c r="D11" s="32">
        <f>Rates!F46</f>
        <v>-6.1000000000000004E-3</v>
      </c>
    </row>
    <row r="12" spans="1:4" x14ac:dyDescent="0.2">
      <c r="A12" s="27" t="str">
        <f>Rates!A47</f>
        <v>Rate Rider for Deferral/Variance Account Disposition - effective until November 30, 2015</v>
      </c>
      <c r="B12" s="28" t="str">
        <f>Rates!B47</f>
        <v>$/kWh</v>
      </c>
      <c r="C12" s="31">
        <f>Rates!D47</f>
        <v>3.0700000000000002E-2</v>
      </c>
      <c r="D12" s="32">
        <f>Rates!F47</f>
        <v>3.0700000000000002E-2</v>
      </c>
    </row>
    <row r="13" spans="1:4" x14ac:dyDescent="0.2">
      <c r="A13" s="27" t="str">
        <f>Rates!A48</f>
        <v>Rate Rider for Deferral/Variance Account Disposition (2013) - effective until December 31, 2013</v>
      </c>
      <c r="B13" s="28" t="str">
        <f>Rates!B48</f>
        <v>$/kWh</v>
      </c>
      <c r="C13" s="31">
        <f>Rates!D48</f>
        <v>0</v>
      </c>
      <c r="D13" s="32">
        <f>Rates!F48</f>
        <v>-5.5999999999999999E-3</v>
      </c>
    </row>
    <row r="14" spans="1:4" x14ac:dyDescent="0.2">
      <c r="A14" s="27" t="str">
        <f>Rates!A49</f>
        <v>Rate Rider for Global Adjustment Sub-Account Disposition (2013) - effective until December 31, 2013</v>
      </c>
      <c r="B14" s="28" t="str">
        <f>Rates!B49</f>
        <v>$/kWh</v>
      </c>
      <c r="C14" s="31">
        <f>Rates!D49</f>
        <v>0</v>
      </c>
      <c r="D14" s="32"/>
    </row>
    <row r="15" spans="1:4" x14ac:dyDescent="0.2">
      <c r="A15" s="27" t="str">
        <f>Rates!A50</f>
        <v>Smart Meter Cost Recovery Rate Rider - Net Deferred Revenue Requirement, effective until December 31, 2016</v>
      </c>
      <c r="B15" s="28" t="str">
        <f>Rates!B50</f>
        <v>$</v>
      </c>
      <c r="C15" s="31">
        <f>Rates!D50</f>
        <v>0</v>
      </c>
      <c r="D15" s="32">
        <f>Rates!F50</f>
        <v>3.57</v>
      </c>
    </row>
    <row r="16" spans="1:4" x14ac:dyDescent="0.2">
      <c r="A16" s="27" t="str">
        <f>Rates!A51</f>
        <v>Smart Meter Cost Recovery Rate Rider - Incremental Revenue Requirement, effective until December 31, 2014</v>
      </c>
      <c r="B16" s="28" t="str">
        <f>Rates!B51</f>
        <v>$</v>
      </c>
      <c r="C16" s="31">
        <f>Rates!D51</f>
        <v>0</v>
      </c>
      <c r="D16" s="32">
        <f>Rates!F51</f>
        <v>4.6900000000000004</v>
      </c>
    </row>
    <row r="17" spans="1:10" x14ac:dyDescent="0.2">
      <c r="A17" s="27" t="str">
        <f>Rates!A52</f>
        <v>Rate Rider for Tax Changes</v>
      </c>
      <c r="B17" s="28" t="str">
        <f>Rates!B52</f>
        <v>$/kWh</v>
      </c>
      <c r="C17" s="31">
        <f>Rates!D52</f>
        <v>0</v>
      </c>
      <c r="D17" s="32">
        <f>Rates!F52</f>
        <v>-2.9999999999999997E-4</v>
      </c>
    </row>
    <row r="18" spans="1:10" x14ac:dyDescent="0.2">
      <c r="A18" s="27" t="str">
        <f>Rates!A53</f>
        <v>Retail Transmission Rate - Network Service Rate</v>
      </c>
      <c r="B18" s="28" t="str">
        <f>Rates!B53</f>
        <v>$/kWh</v>
      </c>
      <c r="C18" s="31">
        <f>Rates!D53</f>
        <v>7.1000000000000004E-3</v>
      </c>
      <c r="D18" s="32">
        <f>Rates!F53</f>
        <v>6.8999999999999999E-3</v>
      </c>
    </row>
    <row r="19" spans="1:10" x14ac:dyDescent="0.2">
      <c r="A19" s="27" t="str">
        <f>Rates!A54</f>
        <v>Retail Transmission Rate - Line and Transformation Connection Service Rate</v>
      </c>
      <c r="B19" s="28" t="str">
        <f>Rates!B54</f>
        <v>$/kWh</v>
      </c>
      <c r="C19" s="31">
        <f>Rates!D54</f>
        <v>5.1000000000000004E-3</v>
      </c>
      <c r="D19" s="32">
        <f>Rates!F54</f>
        <v>4.8999999999999998E-3</v>
      </c>
    </row>
    <row r="20" spans="1:10" x14ac:dyDescent="0.2">
      <c r="A20" s="27" t="str">
        <f>Rates!A55</f>
        <v>Wholesale Market Service Rate</v>
      </c>
      <c r="B20" s="28" t="str">
        <f>Rates!B55</f>
        <v>$/kWh</v>
      </c>
      <c r="C20" s="31">
        <f>Rates!D55</f>
        <v>5.1999999999999998E-3</v>
      </c>
      <c r="D20" s="32">
        <f>Rates!F55</f>
        <v>4.4000000000000003E-3</v>
      </c>
    </row>
    <row r="21" spans="1:10" x14ac:dyDescent="0.2">
      <c r="A21" s="27" t="str">
        <f>Rates!A56</f>
        <v>Rural Rate Protection Charge</v>
      </c>
      <c r="B21" s="28" t="str">
        <f>Rates!B56</f>
        <v>$/kWh</v>
      </c>
      <c r="C21" s="31">
        <f>Rates!D56</f>
        <v>1.1000000000000001E-3</v>
      </c>
      <c r="D21" s="32">
        <f>Rates!F56</f>
        <v>1.1999999999999999E-3</v>
      </c>
    </row>
    <row r="22" spans="1:10" ht="12.75" thickBot="1" x14ac:dyDescent="0.25">
      <c r="A22" s="12" t="str">
        <f>Rates!A58</f>
        <v>Standard Supply Service - Administarive Charge (if applicable)</v>
      </c>
      <c r="B22" s="17" t="str">
        <f>Rates!B58</f>
        <v>$</v>
      </c>
      <c r="C22" s="18">
        <f>Rates!D58</f>
        <v>0.25</v>
      </c>
      <c r="D22" s="13">
        <f>Rates!F58</f>
        <v>0.25</v>
      </c>
    </row>
    <row r="24" spans="1:10" ht="12.75" thickBot="1" x14ac:dyDescent="0.25"/>
    <row r="25" spans="1:10" ht="13.5" thickBot="1" x14ac:dyDescent="0.25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Rates!F82</f>
        <v>1.0864</v>
      </c>
    </row>
    <row r="26" spans="1:10" ht="13.5" thickBot="1" x14ac:dyDescent="0.25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 x14ac:dyDescent="0.25"/>
    <row r="28" spans="1:10" ht="12.75" customHeight="1" x14ac:dyDescent="0.2">
      <c r="A28" s="152" t="str">
        <f>A3</f>
        <v>Seasonal</v>
      </c>
      <c r="B28" s="154" t="s">
        <v>31</v>
      </c>
      <c r="C28" s="49" t="s">
        <v>37</v>
      </c>
      <c r="D28" s="49" t="s">
        <v>38</v>
      </c>
      <c r="E28" s="154" t="s">
        <v>31</v>
      </c>
      <c r="F28" s="49" t="s">
        <v>37</v>
      </c>
      <c r="G28" s="49" t="s">
        <v>38</v>
      </c>
      <c r="H28" s="156" t="s">
        <v>44</v>
      </c>
      <c r="I28" s="156"/>
      <c r="J28" s="157"/>
    </row>
    <row r="29" spans="1:10" ht="12.75" thickBot="1" x14ac:dyDescent="0.25">
      <c r="A29" s="153"/>
      <c r="B29" s="155"/>
      <c r="C29" s="50" t="s">
        <v>15</v>
      </c>
      <c r="D29" s="50" t="s">
        <v>15</v>
      </c>
      <c r="E29" s="155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 x14ac:dyDescent="0.2">
      <c r="A30" s="54" t="s">
        <v>35</v>
      </c>
      <c r="B30" s="55">
        <f>IF(B25*Rates!D82&gt;B26,B26,B25*Rates!D82)</f>
        <v>311.79680000000002</v>
      </c>
      <c r="C30" s="56">
        <f>Rates!D78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Rates!F78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59" si="1">IF(ISERROR(G30/G$59),0,G30/G$59)</f>
        <v>0.20496131823788138</v>
      </c>
    </row>
    <row r="31" spans="1:10" ht="12.75" thickBot="1" x14ac:dyDescent="0.25">
      <c r="A31" s="63" t="s">
        <v>36</v>
      </c>
      <c r="B31" s="64">
        <f>IF(B25*Rates!D82&gt;=B26,B25*Rates!D82-B26,0)</f>
        <v>0</v>
      </c>
      <c r="C31" s="65">
        <f>Rates!D79</f>
        <v>8.7999999999999995E-2</v>
      </c>
      <c r="D31" s="66">
        <f>B31*C31</f>
        <v>0</v>
      </c>
      <c r="E31" s="64">
        <f>IF(B25*H25&gt;=B26,B25*H25-B26,0)</f>
        <v>0</v>
      </c>
      <c r="F31" s="65">
        <f>Rates!F79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 x14ac:dyDescent="0.25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0.20496131823788138</v>
      </c>
    </row>
    <row r="33" spans="1:10" x14ac:dyDescent="0.2">
      <c r="A33" s="69" t="str">
        <f>A4</f>
        <v>Monthly Service Charge</v>
      </c>
      <c r="B33" s="70">
        <v>1</v>
      </c>
      <c r="C33" s="46">
        <f>C4</f>
        <v>26.15</v>
      </c>
      <c r="D33" s="46">
        <f t="shared" ref="D33:D46" si="2">B33*C33</f>
        <v>26.15</v>
      </c>
      <c r="E33" s="71">
        <f>B33</f>
        <v>1</v>
      </c>
      <c r="F33" s="47">
        <f>D4</f>
        <v>26.38</v>
      </c>
      <c r="G33" s="47">
        <f t="shared" ref="G33:G46" si="3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0.23121381511357444</v>
      </c>
    </row>
    <row r="34" spans="1:10" x14ac:dyDescent="0.2">
      <c r="A34" s="61" t="str">
        <f>A5</f>
        <v>Smart Meter Rate Adder</v>
      </c>
      <c r="B34" s="43">
        <f>B33</f>
        <v>1</v>
      </c>
      <c r="C34" s="41">
        <f>C5</f>
        <v>0</v>
      </c>
      <c r="D34" s="41">
        <f t="shared" si="2"/>
        <v>0</v>
      </c>
      <c r="E34" s="43">
        <f>B34</f>
        <v>1</v>
      </c>
      <c r="F34" s="41">
        <f>D5</f>
        <v>0</v>
      </c>
      <c r="G34" s="41">
        <f t="shared" si="3"/>
        <v>0</v>
      </c>
      <c r="H34" s="41">
        <f t="shared" si="0"/>
        <v>0</v>
      </c>
      <c r="I34" s="42">
        <f>IF(ISERROR(H34/D34),1,H34/D34)</f>
        <v>1</v>
      </c>
      <c r="J34" s="62">
        <f t="shared" si="1"/>
        <v>0</v>
      </c>
    </row>
    <row r="35" spans="1:10" x14ac:dyDescent="0.2">
      <c r="A35" s="63" t="str">
        <f>A6</f>
        <v>Smart Meter Entity Charge - effective May 1, 2013 until October 31, 2018</v>
      </c>
      <c r="B35" s="64">
        <f>B33</f>
        <v>1</v>
      </c>
      <c r="C35" s="65">
        <f>Rates!D57</f>
        <v>0</v>
      </c>
      <c r="D35" s="66">
        <f>B35*C35</f>
        <v>0</v>
      </c>
      <c r="E35" s="64">
        <f>B33</f>
        <v>1</v>
      </c>
      <c r="F35" s="65">
        <f>Rates!F57</f>
        <v>0.79</v>
      </c>
      <c r="G35" s="66">
        <f>E35*F35</f>
        <v>0.79</v>
      </c>
      <c r="H35" s="41">
        <f>G35-D35</f>
        <v>0.79</v>
      </c>
      <c r="I35" s="42">
        <f>IF(ISERROR(H35/D35),0,H35/D35)</f>
        <v>0</v>
      </c>
      <c r="J35" s="62">
        <f t="shared" si="1"/>
        <v>6.9241438187916532E-3</v>
      </c>
    </row>
    <row r="36" spans="1:10" x14ac:dyDescent="0.2">
      <c r="A36" s="61" t="str">
        <f t="shared" ref="A36:A46" si="4">A7</f>
        <v>Distribution Volumetric Rate</v>
      </c>
      <c r="B36" s="43">
        <f>B25</f>
        <v>287</v>
      </c>
      <c r="C36" s="40">
        <f t="shared" ref="C36:C46" si="5">C7</f>
        <v>0.10059999999999999</v>
      </c>
      <c r="D36" s="41">
        <f t="shared" si="2"/>
        <v>28.872199999999999</v>
      </c>
      <c r="E36" s="43">
        <f>B25</f>
        <v>287</v>
      </c>
      <c r="F36" s="40">
        <f t="shared" ref="F36:F46" si="6">D7</f>
        <v>0.10150000000000001</v>
      </c>
      <c r="G36" s="41">
        <f t="shared" si="3"/>
        <v>29.130500000000001</v>
      </c>
      <c r="H36" s="41">
        <f t="shared" si="0"/>
        <v>0.25830000000000197</v>
      </c>
      <c r="I36" s="42">
        <f t="shared" ref="I36:I59" si="7">IF(ISERROR(H36/D36),0,H36/D36)</f>
        <v>8.9463220675945025E-3</v>
      </c>
      <c r="J36" s="62">
        <f t="shared" si="1"/>
        <v>0.25532122976368388</v>
      </c>
    </row>
    <row r="37" spans="1:10" x14ac:dyDescent="0.2">
      <c r="A37" s="61" t="str">
        <f t="shared" si="4"/>
        <v>Rate Rider for Foregone Revenue Recovery - effective until December 31, 2012</v>
      </c>
      <c r="B37" s="43">
        <f>B25</f>
        <v>287</v>
      </c>
      <c r="C37" s="40">
        <f t="shared" si="5"/>
        <v>0</v>
      </c>
      <c r="D37" s="41">
        <f t="shared" si="2"/>
        <v>0</v>
      </c>
      <c r="E37" s="43">
        <f>B25</f>
        <v>287</v>
      </c>
      <c r="F37" s="40">
        <f t="shared" si="6"/>
        <v>0</v>
      </c>
      <c r="G37" s="41">
        <f>E37*F37</f>
        <v>0</v>
      </c>
      <c r="H37" s="41">
        <f>G37-D37</f>
        <v>0</v>
      </c>
      <c r="I37" s="42">
        <f>IF(ISERROR(H37/D37),0,H37/D37)</f>
        <v>0</v>
      </c>
      <c r="J37" s="62">
        <f t="shared" si="1"/>
        <v>0</v>
      </c>
    </row>
    <row r="38" spans="1:10" x14ac:dyDescent="0.2">
      <c r="A38" s="61" t="str">
        <f t="shared" si="4"/>
        <v>Rate Rider for Foregone Revenue Recovery - effective until December 31, 2014</v>
      </c>
      <c r="B38" s="39">
        <f>B25</f>
        <v>287</v>
      </c>
      <c r="C38" s="40">
        <f t="shared" si="5"/>
        <v>0</v>
      </c>
      <c r="D38" s="41">
        <f t="shared" ref="D38" si="8">B38*C38</f>
        <v>0</v>
      </c>
      <c r="E38" s="43">
        <f>B25</f>
        <v>287</v>
      </c>
      <c r="F38" s="40">
        <f t="shared" si="6"/>
        <v>2.9999999999999997E-4</v>
      </c>
      <c r="G38" s="41">
        <f>E38*F38</f>
        <v>8.6099999999999996E-2</v>
      </c>
      <c r="H38" s="41">
        <f>G38-D38</f>
        <v>8.6099999999999996E-2</v>
      </c>
      <c r="I38" s="42">
        <f>IF(ISERROR(H38/D38),0,H38/D38)</f>
        <v>0</v>
      </c>
      <c r="J38" s="62">
        <f t="shared" si="1"/>
        <v>7.5464402885817893E-4</v>
      </c>
    </row>
    <row r="39" spans="1:10" x14ac:dyDescent="0.2">
      <c r="A39" s="61" t="str">
        <f t="shared" si="4"/>
        <v>Rate Rider for Deferral/Variance Account Disposition (2010) - effective until May 31, 2013</v>
      </c>
      <c r="B39" s="43">
        <f>B25</f>
        <v>287</v>
      </c>
      <c r="C39" s="40">
        <f t="shared" si="5"/>
        <v>4.5999999999999999E-3</v>
      </c>
      <c r="D39" s="41">
        <f t="shared" si="2"/>
        <v>1.3202</v>
      </c>
      <c r="E39" s="43">
        <f>B25</f>
        <v>287</v>
      </c>
      <c r="F39" s="40">
        <f t="shared" si="6"/>
        <v>4.5999999999999999E-3</v>
      </c>
      <c r="G39" s="41">
        <f t="shared" si="3"/>
        <v>1.3202</v>
      </c>
      <c r="H39" s="41">
        <f t="shared" si="0"/>
        <v>0</v>
      </c>
      <c r="I39" s="42">
        <f t="shared" si="7"/>
        <v>0</v>
      </c>
      <c r="J39" s="62">
        <f t="shared" si="1"/>
        <v>1.1571208442492077E-2</v>
      </c>
    </row>
    <row r="40" spans="1:10" x14ac:dyDescent="0.2">
      <c r="A40" s="61" t="str">
        <f t="shared" si="4"/>
        <v>Rate Rider for Deferral/Variance Account Disposition (2012) - effective until May 31, 2013</v>
      </c>
      <c r="B40" s="43">
        <f>B25</f>
        <v>287</v>
      </c>
      <c r="C40" s="40">
        <f t="shared" si="5"/>
        <v>-6.1000000000000004E-3</v>
      </c>
      <c r="D40" s="41">
        <f t="shared" si="2"/>
        <v>-1.7507000000000001</v>
      </c>
      <c r="E40" s="43">
        <f>B25</f>
        <v>287</v>
      </c>
      <c r="F40" s="40">
        <f t="shared" si="6"/>
        <v>-6.1000000000000004E-3</v>
      </c>
      <c r="G40" s="41">
        <f>E40*F40</f>
        <v>-1.7507000000000001</v>
      </c>
      <c r="H40" s="41">
        <f>G40-D40</f>
        <v>0</v>
      </c>
      <c r="I40" s="42">
        <f>IF(ISERROR(H40/D40),0,H40/D40)</f>
        <v>0</v>
      </c>
      <c r="J40" s="62">
        <f t="shared" si="1"/>
        <v>-1.5344428586782973E-2</v>
      </c>
    </row>
    <row r="41" spans="1:10" x14ac:dyDescent="0.2">
      <c r="A41" s="61" t="str">
        <f t="shared" si="4"/>
        <v>Rate Rider for Deferral/Variance Account Disposition - effective until November 30, 2015</v>
      </c>
      <c r="B41" s="43">
        <f>B25</f>
        <v>287</v>
      </c>
      <c r="C41" s="40">
        <f t="shared" si="5"/>
        <v>3.0700000000000002E-2</v>
      </c>
      <c r="D41" s="41">
        <f t="shared" si="2"/>
        <v>8.8109000000000002</v>
      </c>
      <c r="E41" s="43">
        <f>B25</f>
        <v>287</v>
      </c>
      <c r="F41" s="40">
        <f t="shared" si="6"/>
        <v>3.0700000000000002E-2</v>
      </c>
      <c r="G41" s="41">
        <f>E41*F41</f>
        <v>8.8109000000000002</v>
      </c>
      <c r="H41" s="41">
        <f>G41-D41</f>
        <v>0</v>
      </c>
      <c r="I41" s="42">
        <f>IF(ISERROR(H41/D41),0,H41/D41)</f>
        <v>0</v>
      </c>
      <c r="J41" s="62">
        <f t="shared" si="1"/>
        <v>7.7225238953153641E-2</v>
      </c>
    </row>
    <row r="42" spans="1:10" x14ac:dyDescent="0.2">
      <c r="A42" s="61" t="str">
        <f t="shared" si="4"/>
        <v>Rate Rider for Deferral/Variance Account Disposition (2013) - effective until December 31, 2013</v>
      </c>
      <c r="B42" s="43">
        <f>B25</f>
        <v>287</v>
      </c>
      <c r="C42" s="40">
        <f t="shared" si="5"/>
        <v>0</v>
      </c>
      <c r="D42" s="41">
        <f t="shared" si="2"/>
        <v>0</v>
      </c>
      <c r="E42" s="43">
        <f>B25</f>
        <v>287</v>
      </c>
      <c r="F42" s="40">
        <f t="shared" si="6"/>
        <v>-5.5999999999999999E-3</v>
      </c>
      <c r="G42" s="41">
        <f>E42*F42</f>
        <v>-1.6072</v>
      </c>
      <c r="H42" s="41">
        <f>G42-D42</f>
        <v>-1.6072</v>
      </c>
      <c r="I42" s="42">
        <f>IF(ISERROR(H42/D42),0,H42/D42)</f>
        <v>0</v>
      </c>
      <c r="J42" s="62">
        <f t="shared" si="1"/>
        <v>-1.4086688538686006E-2</v>
      </c>
    </row>
    <row r="43" spans="1:10" x14ac:dyDescent="0.2">
      <c r="A43" s="61" t="str">
        <f t="shared" si="4"/>
        <v>Rate Rider for Global Adjustment Sub-Account Disposition (2013) - effective until December 31, 2013</v>
      </c>
      <c r="B43" s="43">
        <f>B25</f>
        <v>287</v>
      </c>
      <c r="C43" s="40">
        <f t="shared" si="5"/>
        <v>0</v>
      </c>
      <c r="D43" s="41">
        <f t="shared" si="2"/>
        <v>0</v>
      </c>
      <c r="E43" s="43">
        <f>B25</f>
        <v>287</v>
      </c>
      <c r="F43" s="40">
        <f t="shared" si="6"/>
        <v>0</v>
      </c>
      <c r="G43" s="41">
        <f t="shared" si="3"/>
        <v>0</v>
      </c>
      <c r="H43" s="41">
        <f t="shared" si="0"/>
        <v>0</v>
      </c>
      <c r="I43" s="42">
        <f t="shared" si="7"/>
        <v>0</v>
      </c>
      <c r="J43" s="62">
        <f t="shared" si="1"/>
        <v>0</v>
      </c>
    </row>
    <row r="44" spans="1:10" x14ac:dyDescent="0.2">
      <c r="A44" s="61" t="str">
        <f t="shared" si="4"/>
        <v>Smart Meter Cost Recovery Rate Rider - Net Deferred Revenue Requirement, effective until December 31, 2016</v>
      </c>
      <c r="B44" s="43">
        <f>B33</f>
        <v>1</v>
      </c>
      <c r="C44" s="40">
        <f t="shared" si="5"/>
        <v>0</v>
      </c>
      <c r="D44" s="41">
        <f t="shared" si="2"/>
        <v>0</v>
      </c>
      <c r="E44" s="43">
        <f>B33</f>
        <v>1</v>
      </c>
      <c r="F44" s="47">
        <f t="shared" si="6"/>
        <v>3.57</v>
      </c>
      <c r="G44" s="41">
        <f t="shared" ref="G44:G45" si="9">E44*F44</f>
        <v>3.57</v>
      </c>
      <c r="H44" s="41">
        <f t="shared" ref="H44:H45" si="10">G44-D44</f>
        <v>3.57</v>
      </c>
      <c r="I44" s="42">
        <f t="shared" ref="I44:I45" si="11">IF(ISERROR(H44/D44),0,H44/D44)</f>
        <v>0</v>
      </c>
      <c r="J44" s="62">
        <f t="shared" si="1"/>
        <v>3.1290118269729369E-2</v>
      </c>
    </row>
    <row r="45" spans="1:10" x14ac:dyDescent="0.2">
      <c r="A45" s="61" t="str">
        <f t="shared" si="4"/>
        <v>Smart Meter Cost Recovery Rate Rider - Incremental Revenue Requirement, effective until December 31, 2014</v>
      </c>
      <c r="B45" s="43">
        <f>B33</f>
        <v>1</v>
      </c>
      <c r="C45" s="40">
        <f t="shared" si="5"/>
        <v>0</v>
      </c>
      <c r="D45" s="41">
        <f t="shared" si="2"/>
        <v>0</v>
      </c>
      <c r="E45" s="43">
        <f>B33</f>
        <v>1</v>
      </c>
      <c r="F45" s="47">
        <f t="shared" si="6"/>
        <v>4.6900000000000004</v>
      </c>
      <c r="G45" s="41">
        <f t="shared" si="9"/>
        <v>4.6900000000000004</v>
      </c>
      <c r="H45" s="41">
        <f t="shared" si="10"/>
        <v>4.6900000000000004</v>
      </c>
      <c r="I45" s="42">
        <f t="shared" si="11"/>
        <v>0</v>
      </c>
      <c r="J45" s="62">
        <f t="shared" si="1"/>
        <v>4.1106625962193492E-2</v>
      </c>
    </row>
    <row r="46" spans="1:10" ht="12.75" thickBot="1" x14ac:dyDescent="0.25">
      <c r="A46" s="61" t="str">
        <f t="shared" si="4"/>
        <v>Rate Rider for Tax Changes</v>
      </c>
      <c r="B46" s="43">
        <f>B25</f>
        <v>287</v>
      </c>
      <c r="C46" s="40">
        <f t="shared" si="5"/>
        <v>0</v>
      </c>
      <c r="D46" s="41">
        <f t="shared" si="2"/>
        <v>0</v>
      </c>
      <c r="E46" s="43">
        <f>B25</f>
        <v>287</v>
      </c>
      <c r="F46" s="40">
        <f t="shared" si="6"/>
        <v>-2.9999999999999997E-4</v>
      </c>
      <c r="G46" s="41">
        <f t="shared" si="3"/>
        <v>-8.6099999999999996E-2</v>
      </c>
      <c r="H46" s="41">
        <f t="shared" si="0"/>
        <v>-8.6099999999999996E-2</v>
      </c>
      <c r="I46" s="42">
        <f t="shared" si="7"/>
        <v>0</v>
      </c>
      <c r="J46" s="62">
        <f t="shared" si="1"/>
        <v>-7.5464402885817893E-4</v>
      </c>
    </row>
    <row r="47" spans="1:10" ht="12.75" thickBot="1" x14ac:dyDescent="0.25">
      <c r="A47" s="73" t="s">
        <v>40</v>
      </c>
      <c r="B47" s="74"/>
      <c r="C47" s="75"/>
      <c r="D47" s="76">
        <f>SUM(D33:D46)</f>
        <v>63.402599999999993</v>
      </c>
      <c r="E47" s="75"/>
      <c r="F47" s="75"/>
      <c r="G47" s="76">
        <f>SUM(G33:G46)</f>
        <v>71.333699999999993</v>
      </c>
      <c r="H47" s="76">
        <f t="shared" si="0"/>
        <v>7.9311000000000007</v>
      </c>
      <c r="I47" s="77">
        <f t="shared" si="7"/>
        <v>0.12509108459274543</v>
      </c>
      <c r="J47" s="78">
        <f t="shared" si="1"/>
        <v>0.62522126319814952</v>
      </c>
    </row>
    <row r="48" spans="1:10" x14ac:dyDescent="0.2">
      <c r="A48" s="69" t="str">
        <f>A18</f>
        <v>Retail Transmission Rate - Network Service Rate</v>
      </c>
      <c r="B48" s="44">
        <f>B25*Rates!D82</f>
        <v>311.79680000000002</v>
      </c>
      <c r="C48" s="45">
        <f>C18</f>
        <v>7.1000000000000004E-3</v>
      </c>
      <c r="D48" s="47">
        <f>B48*C48</f>
        <v>2.2137572800000003</v>
      </c>
      <c r="E48" s="44">
        <f>B25*H25</f>
        <v>311.79680000000002</v>
      </c>
      <c r="F48" s="45">
        <f>D18</f>
        <v>6.8999999999999999E-3</v>
      </c>
      <c r="G48" s="47">
        <f>E48*F48</f>
        <v>2.15139792</v>
      </c>
      <c r="H48" s="47">
        <f t="shared" si="0"/>
        <v>-6.2359360000000308E-2</v>
      </c>
      <c r="I48" s="48">
        <f t="shared" si="7"/>
        <v>-2.8169014084507178E-2</v>
      </c>
      <c r="J48" s="72">
        <f t="shared" si="1"/>
        <v>1.8856441277885088E-2</v>
      </c>
    </row>
    <row r="49" spans="1:10" ht="12.75" thickBot="1" x14ac:dyDescent="0.25">
      <c r="A49" s="63" t="str">
        <f>A19</f>
        <v>Retail Transmission Rate - Line and Transformation Connection Service Rate</v>
      </c>
      <c r="B49" s="64">
        <f>B25*Rates!D82</f>
        <v>311.79680000000002</v>
      </c>
      <c r="C49" s="65">
        <f>C19</f>
        <v>5.1000000000000004E-3</v>
      </c>
      <c r="D49" s="66">
        <f>B49*C49</f>
        <v>1.5901636800000003</v>
      </c>
      <c r="E49" s="64">
        <f>B25*H25</f>
        <v>311.79680000000002</v>
      </c>
      <c r="F49" s="65">
        <f>D19</f>
        <v>4.8999999999999998E-3</v>
      </c>
      <c r="G49" s="66">
        <f>E49*F49</f>
        <v>1.52780432</v>
      </c>
      <c r="H49" s="66">
        <f t="shared" si="0"/>
        <v>-6.2359360000000308E-2</v>
      </c>
      <c r="I49" s="67">
        <f t="shared" si="7"/>
        <v>-3.9215686274509991E-2</v>
      </c>
      <c r="J49" s="68">
        <f t="shared" si="1"/>
        <v>1.3390806124874918E-2</v>
      </c>
    </row>
    <row r="50" spans="1:10" ht="12.75" thickBot="1" x14ac:dyDescent="0.25">
      <c r="A50" s="73" t="s">
        <v>32</v>
      </c>
      <c r="B50" s="74"/>
      <c r="C50" s="75"/>
      <c r="D50" s="76">
        <f>SUM(D48:D49)</f>
        <v>3.8039209600000006</v>
      </c>
      <c r="E50" s="75"/>
      <c r="F50" s="75"/>
      <c r="G50" s="76">
        <f>SUM(G48:G49)</f>
        <v>3.67920224</v>
      </c>
      <c r="H50" s="76">
        <f t="shared" si="0"/>
        <v>-0.12471872000000062</v>
      </c>
      <c r="I50" s="77">
        <f t="shared" si="7"/>
        <v>-3.2786885245901794E-2</v>
      </c>
      <c r="J50" s="78">
        <f t="shared" si="1"/>
        <v>3.2247247402760006E-2</v>
      </c>
    </row>
    <row r="51" spans="1:10" ht="12.75" thickBot="1" x14ac:dyDescent="0.25">
      <c r="A51" s="81" t="s">
        <v>41</v>
      </c>
      <c r="B51" s="82"/>
      <c r="C51" s="83"/>
      <c r="D51" s="84">
        <f>D47+D50</f>
        <v>67.206520959999992</v>
      </c>
      <c r="E51" s="83"/>
      <c r="F51" s="83"/>
      <c r="G51" s="84">
        <f>G47+G50</f>
        <v>75.012902239999988</v>
      </c>
      <c r="H51" s="84">
        <f t="shared" si="0"/>
        <v>7.8063812799999965</v>
      </c>
      <c r="I51" s="85">
        <f t="shared" si="7"/>
        <v>0.11615511662396871</v>
      </c>
      <c r="J51" s="86">
        <f t="shared" si="1"/>
        <v>0.65746851060090949</v>
      </c>
    </row>
    <row r="52" spans="1:10" x14ac:dyDescent="0.2">
      <c r="A52" s="69" t="str">
        <f>A20</f>
        <v>Wholesale Market Service Rate</v>
      </c>
      <c r="B52" s="44">
        <f>B25*Rates!D82</f>
        <v>311.79680000000002</v>
      </c>
      <c r="C52" s="45">
        <f>C20</f>
        <v>5.1999999999999998E-3</v>
      </c>
      <c r="D52" s="47">
        <f>B52*C52</f>
        <v>1.62134336</v>
      </c>
      <c r="E52" s="44">
        <f>B25*H25</f>
        <v>311.79680000000002</v>
      </c>
      <c r="F52" s="45">
        <f>D20</f>
        <v>4.4000000000000003E-3</v>
      </c>
      <c r="G52" s="47">
        <f>E52*F52</f>
        <v>1.3719059200000001</v>
      </c>
      <c r="H52" s="47">
        <f t="shared" si="0"/>
        <v>-0.2494374399999999</v>
      </c>
      <c r="I52" s="48">
        <f t="shared" si="7"/>
        <v>-0.15384615384615377</v>
      </c>
      <c r="J52" s="72">
        <f t="shared" si="1"/>
        <v>1.2024397336622377E-2</v>
      </c>
    </row>
    <row r="53" spans="1:10" x14ac:dyDescent="0.2">
      <c r="A53" s="61" t="str">
        <f>A21</f>
        <v>Rural Rate Protection Charge</v>
      </c>
      <c r="B53" s="39">
        <f>B25*Rates!D82</f>
        <v>311.79680000000002</v>
      </c>
      <c r="C53" s="40">
        <f>C21</f>
        <v>1.1000000000000001E-3</v>
      </c>
      <c r="D53" s="41">
        <f>B53*C53</f>
        <v>0.34297648000000003</v>
      </c>
      <c r="E53" s="39">
        <f>B25*H25</f>
        <v>311.79680000000002</v>
      </c>
      <c r="F53" s="40">
        <f>D21</f>
        <v>1.1999999999999999E-3</v>
      </c>
      <c r="G53" s="41">
        <f>E53*F53</f>
        <v>0.37415616000000002</v>
      </c>
      <c r="H53" s="41">
        <f t="shared" si="0"/>
        <v>3.1179679999999987E-2</v>
      </c>
      <c r="I53" s="42">
        <f t="shared" si="7"/>
        <v>9.090909090909087E-2</v>
      </c>
      <c r="J53" s="62">
        <f t="shared" si="1"/>
        <v>3.2793810918061023E-3</v>
      </c>
    </row>
    <row r="54" spans="1:10" ht="12.75" thickBot="1" x14ac:dyDescent="0.25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"/>
        <v>2.1911847527821687E-3</v>
      </c>
    </row>
    <row r="55" spans="1:10" ht="12.75" thickBot="1" x14ac:dyDescent="0.25">
      <c r="A55" s="73" t="s">
        <v>42</v>
      </c>
      <c r="B55" s="74"/>
      <c r="C55" s="75"/>
      <c r="D55" s="76">
        <f>SUM(D52:D54)</f>
        <v>2.2143198399999999</v>
      </c>
      <c r="E55" s="75"/>
      <c r="F55" s="75"/>
      <c r="G55" s="76">
        <f>SUM(G52:G54)</f>
        <v>1.9960620800000002</v>
      </c>
      <c r="H55" s="76">
        <f t="shared" si="0"/>
        <v>-0.21825775999999975</v>
      </c>
      <c r="I55" s="77">
        <f t="shared" si="7"/>
        <v>-9.8566501576393656E-2</v>
      </c>
      <c r="J55" s="78">
        <f t="shared" si="1"/>
        <v>1.7494963181210646E-2</v>
      </c>
    </row>
    <row r="56" spans="1:10" ht="12.75" thickBot="1" x14ac:dyDescent="0.25">
      <c r="A56" s="87" t="s">
        <v>19</v>
      </c>
      <c r="B56" s="88">
        <f>B25</f>
        <v>287</v>
      </c>
      <c r="C56" s="89">
        <f>Rates!D77</f>
        <v>2E-3</v>
      </c>
      <c r="D56" s="90">
        <f>B56*C56</f>
        <v>0.57400000000000007</v>
      </c>
      <c r="E56" s="88">
        <f>B25</f>
        <v>287</v>
      </c>
      <c r="F56" s="89">
        <f>Rates!F77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"/>
        <v>5.0309601923878601E-3</v>
      </c>
    </row>
    <row r="57" spans="1:10" ht="12.75" thickBot="1" x14ac:dyDescent="0.25">
      <c r="A57" s="73" t="s">
        <v>43</v>
      </c>
      <c r="B57" s="74"/>
      <c r="C57" s="75"/>
      <c r="D57" s="76">
        <f>D32+D51+D55+D56</f>
        <v>93.379600799999992</v>
      </c>
      <c r="E57" s="75"/>
      <c r="F57" s="75"/>
      <c r="G57" s="76">
        <f>G32+G51+G55+G56</f>
        <v>100.96772431999999</v>
      </c>
      <c r="H57" s="76">
        <f t="shared" si="0"/>
        <v>7.5881235199999963</v>
      </c>
      <c r="I57" s="77">
        <f t="shared" si="7"/>
        <v>8.1261040473413509E-2</v>
      </c>
      <c r="J57" s="78">
        <f t="shared" si="1"/>
        <v>0.88495575221238931</v>
      </c>
    </row>
    <row r="58" spans="1:10" ht="12.75" thickBot="1" x14ac:dyDescent="0.25">
      <c r="A58" s="93" t="s">
        <v>45</v>
      </c>
      <c r="B58" s="94"/>
      <c r="C58" s="95">
        <f>Rates!D83</f>
        <v>0.13</v>
      </c>
      <c r="D58" s="90">
        <f>C58*D57</f>
        <v>12.139348104</v>
      </c>
      <c r="E58" s="96"/>
      <c r="F58" s="95">
        <f>Rates!F83</f>
        <v>0.13</v>
      </c>
      <c r="G58" s="90">
        <f>F58*G57</f>
        <v>13.1258041616</v>
      </c>
      <c r="H58" s="90">
        <f t="shared" si="0"/>
        <v>0.98645605759999988</v>
      </c>
      <c r="I58" s="91">
        <f t="shared" si="7"/>
        <v>8.1261040473413537E-2</v>
      </c>
      <c r="J58" s="92">
        <f t="shared" si="1"/>
        <v>0.11504424778761063</v>
      </c>
    </row>
    <row r="59" spans="1:10" ht="12.75" thickBot="1" x14ac:dyDescent="0.25">
      <c r="A59" s="81" t="s">
        <v>33</v>
      </c>
      <c r="B59" s="82"/>
      <c r="C59" s="83"/>
      <c r="D59" s="104">
        <f>D57+D58</f>
        <v>105.51894890399998</v>
      </c>
      <c r="E59" s="83"/>
      <c r="F59" s="83"/>
      <c r="G59" s="104">
        <f>G57+G58</f>
        <v>114.09352848159999</v>
      </c>
      <c r="H59" s="104">
        <f t="shared" si="0"/>
        <v>8.5745795776000051</v>
      </c>
      <c r="I59" s="85">
        <f t="shared" si="7"/>
        <v>8.1261040473413607E-2</v>
      </c>
      <c r="J59" s="86">
        <f t="shared" si="1"/>
        <v>1</v>
      </c>
    </row>
    <row r="60" spans="1:10" x14ac:dyDescent="0.2">
      <c r="A60" s="125"/>
      <c r="B60" s="126"/>
      <c r="C60" s="127"/>
      <c r="D60" s="127"/>
      <c r="E60" s="127"/>
      <c r="F60" s="127"/>
      <c r="G60" s="127"/>
      <c r="H60" s="127"/>
      <c r="I60" s="127"/>
      <c r="J60" s="128"/>
    </row>
    <row r="61" spans="1:10" x14ac:dyDescent="0.2">
      <c r="A61" s="129" t="s">
        <v>57</v>
      </c>
      <c r="B61" s="130"/>
      <c r="C61" s="131"/>
      <c r="D61" s="132">
        <f>D59*0.1</f>
        <v>10.5518948904</v>
      </c>
      <c r="E61" s="131"/>
      <c r="F61" s="131"/>
      <c r="G61" s="132">
        <f>G59*0.1</f>
        <v>11.409352848159999</v>
      </c>
      <c r="H61" s="131"/>
      <c r="I61" s="131"/>
      <c r="J61" s="133"/>
    </row>
    <row r="62" spans="1:10" ht="12.75" thickBot="1" x14ac:dyDescent="0.25">
      <c r="A62" s="134" t="s">
        <v>58</v>
      </c>
      <c r="B62" s="135"/>
      <c r="C62" s="136"/>
      <c r="D62" s="137">
        <f>D59-D61</f>
        <v>94.967054013599977</v>
      </c>
      <c r="E62" s="136"/>
      <c r="F62" s="136"/>
      <c r="G62" s="137">
        <f>G59-G61</f>
        <v>102.68417563343999</v>
      </c>
      <c r="H62" s="139">
        <f>G62-D62</f>
        <v>7.7171216198400145</v>
      </c>
      <c r="I62" s="140">
        <f>H62/D62</f>
        <v>8.1261040473413718E-2</v>
      </c>
      <c r="J62" s="138"/>
    </row>
  </sheetData>
  <mergeCells count="4">
    <mergeCell ref="A28:A29"/>
    <mergeCell ref="B28:B29"/>
    <mergeCell ref="E28:E29"/>
    <mergeCell ref="H28:J28"/>
  </mergeCells>
  <phoneticPr fontId="2" type="noConversion"/>
  <pageMargins left="0.75" right="0.75" top="1" bottom="1" header="0.5" footer="0.5"/>
  <pageSetup scale="59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Cover</vt:lpstr>
      <vt:lpstr>Rates</vt:lpstr>
      <vt:lpstr>Residential R1 Impact</vt:lpstr>
      <vt:lpstr>Residential R1 Impact Non-RPP</vt:lpstr>
      <vt:lpstr>Residential R1 Impact (2)</vt:lpstr>
      <vt:lpstr>Res R1 Impact Non-RPP (2)</vt:lpstr>
      <vt:lpstr>Residential R2 Impact</vt:lpstr>
      <vt:lpstr>Residential R2 Impact Interval</vt:lpstr>
      <vt:lpstr>Seasonal Impact</vt:lpstr>
      <vt:lpstr>Seasonal Impact Non-RPP</vt:lpstr>
      <vt:lpstr>Street Light Impact</vt:lpstr>
      <vt:lpstr>Street Light Impact Non-RPP</vt:lpstr>
      <vt:lpstr>Summary</vt:lpstr>
      <vt:lpstr>'Seasonal Impact'!Print_Area</vt:lpstr>
      <vt:lpstr>'Seasonal Impact Non-RPP'!Print_Area</vt:lpstr>
      <vt:lpstr>'Street Light Impact'!Print_Area</vt:lpstr>
      <vt:lpstr>'Street Light Impact Non-RPP'!Print_Area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2013-04-12T20:30:07Z</cp:lastPrinted>
  <dcterms:created xsi:type="dcterms:W3CDTF">2010-01-19T01:47:37Z</dcterms:created>
  <dcterms:modified xsi:type="dcterms:W3CDTF">2013-04-15T14:09:55Z</dcterms:modified>
</cp:coreProperties>
</file>