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70" windowHeight="10800"/>
  </bookViews>
  <sheets>
    <sheet name="App.2-W_Bill Impacts RS" sheetId="1" r:id="rId1"/>
    <sheet name="App.2-W_Bill Impacts GS &lt; 50" sheetId="2" r:id="rId2"/>
    <sheet name="App.2-W_Bill Impacts GS &gt;50" sheetId="3" r:id="rId3"/>
    <sheet name="App.2-W_Bill Impacts GS &gt;50 IM" sheetId="4" r:id="rId4"/>
    <sheet name="App.2-W_Bill Impacts GS &gt;1,000" sheetId="5" r:id="rId5"/>
    <sheet name="App.2-W_Bill Impacts USL" sheetId="6" r:id="rId6"/>
    <sheet name="App.2-W_Bill Impacts Sentinel" sheetId="7" r:id="rId7"/>
    <sheet name="App.2-W_Bill Impacts ST" sheetId="8" r:id="rId8"/>
    <sheet name="App.2-W_Bill Impacts - Microfit" sheetId="9" r:id="rId9"/>
  </sheets>
  <externalReferences>
    <externalReference r:id="rId10"/>
    <externalReference r:id="rId11"/>
    <externalReference r:id="rId12"/>
  </externalReferences>
  <definedNames>
    <definedName name="LDC_LIST">[1]lists!$AM$1:$AM$80</definedName>
    <definedName name="LDCLIST">'[2]LDC Info'!$AA$3:$AA$80</definedName>
    <definedName name="_xlnm.Print_Area" localSheetId="8">'App.2-W_Bill Impacts - Microfit'!$A$1:$O$67</definedName>
    <definedName name="_xlnm.Print_Area" localSheetId="1">'App.2-W_Bill Impacts GS &lt; 50'!$A$1:$O$74</definedName>
    <definedName name="_xlnm.Print_Area" localSheetId="4">'App.2-W_Bill Impacts GS &gt;1,000'!$A$1:$O$70</definedName>
    <definedName name="_xlnm.Print_Area" localSheetId="2">'App.2-W_Bill Impacts GS &gt;50'!$A$1:$O$71</definedName>
    <definedName name="_xlnm.Print_Area" localSheetId="3">'App.2-W_Bill Impacts GS &gt;50 IM'!$A$1:$O$71</definedName>
    <definedName name="_xlnm.Print_Area" localSheetId="0">'App.2-W_Bill Impacts RS'!$A$1:$O$75</definedName>
    <definedName name="_xlnm.Print_Area" localSheetId="6">'App.2-W_Bill Impacts Sentinel'!$A$1:$O$68</definedName>
    <definedName name="_xlnm.Print_Area" localSheetId="7">'App.2-W_Bill Impacts ST'!$A$1:$O$69</definedName>
    <definedName name="_xlnm.Print_Area" localSheetId="5">'App.2-W_Bill Impacts USL'!$A$1:$O$68</definedName>
  </definedNames>
  <calcPr calcId="145621" iterate="1"/>
</workbook>
</file>

<file path=xl/calcChain.xml><?xml version="1.0" encoding="utf-8"?>
<calcChain xmlns="http://schemas.openxmlformats.org/spreadsheetml/2006/main">
  <c r="O25" i="2" l="1"/>
  <c r="N25" i="2" l="1"/>
  <c r="L25" i="2"/>
  <c r="H25" i="2"/>
  <c r="L26" i="1"/>
  <c r="N26" i="1"/>
  <c r="O26" i="1"/>
  <c r="H26" i="1"/>
  <c r="K32" i="8" l="1"/>
  <c r="G32" i="8"/>
  <c r="K40" i="8" l="1"/>
  <c r="K39" i="8"/>
  <c r="K38" i="8"/>
  <c r="K33" i="8"/>
  <c r="G38" i="8"/>
  <c r="G40" i="8"/>
  <c r="G39" i="8"/>
  <c r="G33" i="8"/>
  <c r="K39" i="7"/>
  <c r="K38" i="7"/>
  <c r="K37" i="7"/>
  <c r="K32" i="7"/>
  <c r="K31" i="7"/>
  <c r="G39" i="7"/>
  <c r="G38" i="7"/>
  <c r="G37" i="7"/>
  <c r="G32" i="7"/>
  <c r="G31" i="7"/>
  <c r="G39" i="5"/>
  <c r="K39" i="5"/>
  <c r="K41" i="5"/>
  <c r="K40" i="5"/>
  <c r="G41" i="5"/>
  <c r="G40" i="5"/>
  <c r="K34" i="5"/>
  <c r="K33" i="5"/>
  <c r="G36" i="5"/>
  <c r="G34" i="5"/>
  <c r="G33" i="5"/>
  <c r="K34" i="4"/>
  <c r="K40" i="4" s="1"/>
  <c r="G34" i="4"/>
  <c r="G40" i="4" s="1"/>
  <c r="K42" i="3"/>
  <c r="K41" i="3"/>
  <c r="K40" i="3"/>
  <c r="K37" i="3"/>
  <c r="K35" i="3"/>
  <c r="K34" i="3"/>
  <c r="G34" i="3"/>
  <c r="H42" i="1"/>
  <c r="H43" i="1"/>
  <c r="K41" i="4" l="1"/>
  <c r="K35" i="4"/>
  <c r="K37" i="4" s="1"/>
  <c r="K42" i="4"/>
  <c r="G41" i="4"/>
  <c r="G35" i="4"/>
  <c r="G37" i="4" s="1"/>
  <c r="G42" i="4"/>
  <c r="G42" i="3"/>
  <c r="G41" i="3"/>
  <c r="G40" i="3"/>
  <c r="G35" i="3"/>
  <c r="L25" i="8" l="1"/>
  <c r="K25" i="8"/>
  <c r="G25" i="8"/>
  <c r="H25" i="8"/>
  <c r="N25" i="8" l="1"/>
  <c r="O25" i="8" s="1"/>
  <c r="L38" i="9"/>
  <c r="N38" i="9" s="1"/>
  <c r="K38" i="9"/>
  <c r="G38" i="9"/>
  <c r="H38" i="9" s="1"/>
  <c r="O38" i="9" s="1"/>
  <c r="K37" i="9"/>
  <c r="L37" i="9" s="1"/>
  <c r="N37" i="9" s="1"/>
  <c r="H37" i="9"/>
  <c r="O37" i="9" s="1"/>
  <c r="G37" i="9"/>
  <c r="L36" i="9"/>
  <c r="K36" i="9"/>
  <c r="G36" i="9"/>
  <c r="H36" i="9" s="1"/>
  <c r="O36" i="9" s="1"/>
  <c r="K35" i="9"/>
  <c r="L35" i="9" s="1"/>
  <c r="H35" i="9"/>
  <c r="O35" i="9" s="1"/>
  <c r="G35" i="9"/>
  <c r="K34" i="9"/>
  <c r="L34" i="9" s="1"/>
  <c r="N34" i="9" s="1"/>
  <c r="G34" i="9"/>
  <c r="H34" i="9" s="1"/>
  <c r="O34" i="9" s="1"/>
  <c r="L32" i="9"/>
  <c r="N32" i="9" s="1"/>
  <c r="H32" i="9"/>
  <c r="O32" i="9" s="1"/>
  <c r="G28" i="9"/>
  <c r="H28" i="9" s="1"/>
  <c r="O28" i="9" s="1"/>
  <c r="K27" i="9"/>
  <c r="L27" i="9" s="1"/>
  <c r="N27" i="9" s="1"/>
  <c r="H27" i="9"/>
  <c r="O27" i="9" s="1"/>
  <c r="G27" i="9"/>
  <c r="K25" i="9"/>
  <c r="L25" i="9" s="1"/>
  <c r="N25" i="9" s="1"/>
  <c r="K24" i="9"/>
  <c r="L24" i="9" s="1"/>
  <c r="N24" i="9" s="1"/>
  <c r="H24" i="9"/>
  <c r="O24" i="9" s="1"/>
  <c r="G24" i="9"/>
  <c r="L23" i="9"/>
  <c r="K23" i="9"/>
  <c r="G23" i="9"/>
  <c r="H23" i="9" s="1"/>
  <c r="L21" i="9"/>
  <c r="N21" i="9" s="1"/>
  <c r="H21" i="9"/>
  <c r="H22" i="9" s="1"/>
  <c r="O1" i="9"/>
  <c r="L40" i="8"/>
  <c r="H40" i="8"/>
  <c r="L39" i="8"/>
  <c r="H39" i="8"/>
  <c r="N39" i="8" s="1"/>
  <c r="L38" i="8"/>
  <c r="N38" i="8" s="1"/>
  <c r="H38" i="8"/>
  <c r="L37" i="8"/>
  <c r="H37" i="8"/>
  <c r="N37" i="8" s="1"/>
  <c r="L36" i="8"/>
  <c r="H36" i="8"/>
  <c r="L34" i="8"/>
  <c r="H34" i="8"/>
  <c r="L30" i="8"/>
  <c r="K30" i="8"/>
  <c r="L32" i="8" s="1"/>
  <c r="L29" i="8"/>
  <c r="K29" i="8"/>
  <c r="G29" i="8"/>
  <c r="K27" i="8"/>
  <c r="L27" i="8" s="1"/>
  <c r="N27" i="8" s="1"/>
  <c r="K26" i="8"/>
  <c r="L26" i="8" s="1"/>
  <c r="N26" i="8" s="1"/>
  <c r="O26" i="8" s="1"/>
  <c r="H26" i="8"/>
  <c r="G26" i="8"/>
  <c r="L24" i="8"/>
  <c r="N24" i="8" s="1"/>
  <c r="K24" i="8"/>
  <c r="G24" i="8"/>
  <c r="H24" i="8" s="1"/>
  <c r="H23" i="8"/>
  <c r="K22" i="8"/>
  <c r="L22" i="8" s="1"/>
  <c r="H22" i="8"/>
  <c r="G22" i="8"/>
  <c r="L21" i="8"/>
  <c r="H21" i="8"/>
  <c r="O1" i="8"/>
  <c r="L39" i="7"/>
  <c r="H39" i="7"/>
  <c r="L38" i="7"/>
  <c r="H38" i="7"/>
  <c r="L37" i="7"/>
  <c r="H37" i="7"/>
  <c r="N37" i="7" s="1"/>
  <c r="L36" i="7"/>
  <c r="H36" i="7"/>
  <c r="O36" i="7" s="1"/>
  <c r="L35" i="7"/>
  <c r="H35" i="7"/>
  <c r="N33" i="7"/>
  <c r="O33" i="7" s="1"/>
  <c r="L33" i="7"/>
  <c r="H33" i="7"/>
  <c r="H29" i="7"/>
  <c r="G29" i="7"/>
  <c r="H31" i="7" s="1"/>
  <c r="K28" i="7"/>
  <c r="K29" i="7" s="1"/>
  <c r="H28" i="7"/>
  <c r="G28" i="7"/>
  <c r="N26" i="7"/>
  <c r="L26" i="7"/>
  <c r="K26" i="7"/>
  <c r="L25" i="7"/>
  <c r="N25" i="7" s="1"/>
  <c r="K25" i="7"/>
  <c r="G25" i="7"/>
  <c r="H25" i="7" s="1"/>
  <c r="K24" i="7"/>
  <c r="L24" i="7" s="1"/>
  <c r="H24" i="7"/>
  <c r="G24" i="7"/>
  <c r="L22" i="7"/>
  <c r="L23" i="7" s="1"/>
  <c r="K22" i="7"/>
  <c r="G22" i="7"/>
  <c r="H22" i="7" s="1"/>
  <c r="L21" i="7"/>
  <c r="H21" i="7"/>
  <c r="O1" i="7"/>
  <c r="L39" i="6"/>
  <c r="N39" i="6" s="1"/>
  <c r="K39" i="6"/>
  <c r="G39" i="6"/>
  <c r="H39" i="6" s="1"/>
  <c r="K38" i="6"/>
  <c r="L38" i="6" s="1"/>
  <c r="G38" i="6"/>
  <c r="H38" i="6" s="1"/>
  <c r="L37" i="6"/>
  <c r="N37" i="6" s="1"/>
  <c r="K37" i="6"/>
  <c r="G37" i="6"/>
  <c r="H37" i="6" s="1"/>
  <c r="O36" i="6"/>
  <c r="L36" i="6"/>
  <c r="H36" i="6"/>
  <c r="N36" i="6" s="1"/>
  <c r="L35" i="6"/>
  <c r="N35" i="6" s="1"/>
  <c r="H35" i="6"/>
  <c r="L33" i="6"/>
  <c r="N33" i="6" s="1"/>
  <c r="H33" i="6"/>
  <c r="K29" i="6"/>
  <c r="K31" i="6" s="1"/>
  <c r="L31" i="6" s="1"/>
  <c r="K28" i="6"/>
  <c r="L28" i="6" s="1"/>
  <c r="G28" i="6"/>
  <c r="K26" i="6"/>
  <c r="L26" i="6" s="1"/>
  <c r="N26" i="6" s="1"/>
  <c r="O25" i="6"/>
  <c r="K25" i="6"/>
  <c r="L25" i="6" s="1"/>
  <c r="N25" i="6" s="1"/>
  <c r="H25" i="6"/>
  <c r="G25" i="6"/>
  <c r="L24" i="6"/>
  <c r="N24" i="6" s="1"/>
  <c r="K24" i="6"/>
  <c r="G24" i="6"/>
  <c r="H24" i="6" s="1"/>
  <c r="L22" i="6"/>
  <c r="K22" i="6"/>
  <c r="H22" i="6"/>
  <c r="H23" i="6" s="1"/>
  <c r="H27" i="6" s="1"/>
  <c r="G22" i="6"/>
  <c r="L21" i="6"/>
  <c r="N21" i="6" s="1"/>
  <c r="O21" i="6" s="1"/>
  <c r="H21" i="6"/>
  <c r="O1" i="6"/>
  <c r="L41" i="5"/>
  <c r="H41" i="5"/>
  <c r="L40" i="5"/>
  <c r="H40" i="5"/>
  <c r="L39" i="5"/>
  <c r="H39" i="5"/>
  <c r="L38" i="5"/>
  <c r="N38" i="5" s="1"/>
  <c r="H38" i="5"/>
  <c r="O38" i="5" s="1"/>
  <c r="L37" i="5"/>
  <c r="N37" i="5" s="1"/>
  <c r="H37" i="5"/>
  <c r="L35" i="5"/>
  <c r="H35" i="5"/>
  <c r="H33" i="5"/>
  <c r="L31" i="5"/>
  <c r="K31" i="5"/>
  <c r="L33" i="5" s="1"/>
  <c r="K30" i="5"/>
  <c r="L30" i="5" s="1"/>
  <c r="N30" i="5" s="1"/>
  <c r="H30" i="5"/>
  <c r="G30" i="5"/>
  <c r="G31" i="5" s="1"/>
  <c r="H29" i="5"/>
  <c r="K28" i="5"/>
  <c r="L28" i="5" s="1"/>
  <c r="N28" i="5" s="1"/>
  <c r="O27" i="5"/>
  <c r="L27" i="5"/>
  <c r="N27" i="5" s="1"/>
  <c r="O26" i="5"/>
  <c r="K26" i="5"/>
  <c r="L26" i="5" s="1"/>
  <c r="G26" i="5"/>
  <c r="H26" i="5" s="1"/>
  <c r="N26" i="5" s="1"/>
  <c r="L25" i="5"/>
  <c r="K25" i="5"/>
  <c r="G25" i="5"/>
  <c r="H25" i="5" s="1"/>
  <c r="K24" i="5"/>
  <c r="L24" i="5" s="1"/>
  <c r="H24" i="5"/>
  <c r="G24" i="5"/>
  <c r="K22" i="5"/>
  <c r="L22" i="5" s="1"/>
  <c r="G22" i="5"/>
  <c r="H22" i="5" s="1"/>
  <c r="L21" i="5"/>
  <c r="N21" i="5" s="1"/>
  <c r="H21" i="5"/>
  <c r="H23" i="5" s="1"/>
  <c r="O1" i="5"/>
  <c r="L42" i="4"/>
  <c r="H42" i="4"/>
  <c r="L41" i="4"/>
  <c r="H41" i="4"/>
  <c r="L40" i="4"/>
  <c r="H40" i="4"/>
  <c r="L39" i="4"/>
  <c r="N39" i="4" s="1"/>
  <c r="H39" i="4"/>
  <c r="O39" i="4" s="1"/>
  <c r="L38" i="4"/>
  <c r="H38" i="4"/>
  <c r="L36" i="4"/>
  <c r="H36" i="4"/>
  <c r="H32" i="4"/>
  <c r="G32" i="4"/>
  <c r="H34" i="4" s="1"/>
  <c r="K31" i="4"/>
  <c r="K32" i="4" s="1"/>
  <c r="H31" i="4"/>
  <c r="G31" i="4"/>
  <c r="N29" i="4"/>
  <c r="L29" i="4"/>
  <c r="K29" i="4"/>
  <c r="O28" i="4"/>
  <c r="L28" i="4"/>
  <c r="N28" i="4" s="1"/>
  <c r="K27" i="4"/>
  <c r="L27" i="4" s="1"/>
  <c r="N27" i="4" s="1"/>
  <c r="H27" i="4"/>
  <c r="O27" i="4" s="1"/>
  <c r="G27" i="4"/>
  <c r="L26" i="4"/>
  <c r="K26" i="4"/>
  <c r="G26" i="4"/>
  <c r="H26" i="4" s="1"/>
  <c r="L25" i="4"/>
  <c r="N25" i="4" s="1"/>
  <c r="K25" i="4"/>
  <c r="H25" i="4"/>
  <c r="G25" i="4"/>
  <c r="O23" i="4"/>
  <c r="N23" i="4"/>
  <c r="L22" i="4"/>
  <c r="N22" i="4" s="1"/>
  <c r="K22" i="4"/>
  <c r="H22" i="4"/>
  <c r="G22" i="4"/>
  <c r="L21" i="4"/>
  <c r="N21" i="4" s="1"/>
  <c r="O21" i="4" s="1"/>
  <c r="H21" i="4"/>
  <c r="H24" i="4" s="1"/>
  <c r="O1" i="4"/>
  <c r="L42" i="3"/>
  <c r="H42" i="3"/>
  <c r="L41" i="3"/>
  <c r="H41" i="3"/>
  <c r="L40" i="3"/>
  <c r="H40" i="3"/>
  <c r="L39" i="3"/>
  <c r="N39" i="3" s="1"/>
  <c r="H39" i="3"/>
  <c r="O39" i="3" s="1"/>
  <c r="L38" i="3"/>
  <c r="H38" i="3"/>
  <c r="N38" i="3" s="1"/>
  <c r="G37" i="3"/>
  <c r="H37" i="3" s="1"/>
  <c r="L36" i="3"/>
  <c r="H36" i="3"/>
  <c r="H32" i="3"/>
  <c r="G32" i="3"/>
  <c r="H35" i="3" s="1"/>
  <c r="K31" i="3"/>
  <c r="H31" i="3"/>
  <c r="G31" i="3"/>
  <c r="L29" i="3"/>
  <c r="N29" i="3" s="1"/>
  <c r="K29" i="3"/>
  <c r="O28" i="3"/>
  <c r="L28" i="3"/>
  <c r="N28" i="3" s="1"/>
  <c r="K27" i="3"/>
  <c r="L27" i="3" s="1"/>
  <c r="N27" i="3" s="1"/>
  <c r="H27" i="3"/>
  <c r="G27" i="3"/>
  <c r="N26" i="3"/>
  <c r="L26" i="3"/>
  <c r="K26" i="3"/>
  <c r="G26" i="3"/>
  <c r="H26" i="3" s="1"/>
  <c r="K25" i="3"/>
  <c r="L25" i="3" s="1"/>
  <c r="N25" i="3" s="1"/>
  <c r="H25" i="3"/>
  <c r="G25" i="3"/>
  <c r="O23" i="3"/>
  <c r="N23" i="3"/>
  <c r="K22" i="3"/>
  <c r="L22" i="3" s="1"/>
  <c r="N22" i="3" s="1"/>
  <c r="H22" i="3"/>
  <c r="G22" i="3"/>
  <c r="L21" i="3"/>
  <c r="H21" i="3"/>
  <c r="H24" i="3" s="1"/>
  <c r="O1" i="3"/>
  <c r="K45" i="2"/>
  <c r="L45" i="2" s="1"/>
  <c r="N45" i="2" s="1"/>
  <c r="O45" i="2" s="1"/>
  <c r="H45" i="2"/>
  <c r="G45" i="2"/>
  <c r="L44" i="2"/>
  <c r="N44" i="2" s="1"/>
  <c r="K44" i="2"/>
  <c r="G44" i="2"/>
  <c r="H44" i="2" s="1"/>
  <c r="K43" i="2"/>
  <c r="L43" i="2" s="1"/>
  <c r="N43" i="2" s="1"/>
  <c r="O43" i="2" s="1"/>
  <c r="H43" i="2"/>
  <c r="G43" i="2"/>
  <c r="L42" i="2"/>
  <c r="N42" i="2" s="1"/>
  <c r="H42" i="2"/>
  <c r="L41" i="2"/>
  <c r="H41" i="2"/>
  <c r="L39" i="2"/>
  <c r="H39" i="2"/>
  <c r="N39" i="2" s="1"/>
  <c r="K35" i="2"/>
  <c r="L34" i="2"/>
  <c r="K34" i="2"/>
  <c r="G34" i="2"/>
  <c r="N32" i="2"/>
  <c r="L32" i="2"/>
  <c r="K32" i="2"/>
  <c r="O31" i="2"/>
  <c r="L31" i="2"/>
  <c r="N31" i="2" s="1"/>
  <c r="N30" i="2"/>
  <c r="L30" i="2"/>
  <c r="K30" i="2"/>
  <c r="G30" i="2"/>
  <c r="H30" i="2" s="1"/>
  <c r="K29" i="2"/>
  <c r="L29" i="2" s="1"/>
  <c r="N29" i="2" s="1"/>
  <c r="O29" i="2" s="1"/>
  <c r="H29" i="2"/>
  <c r="G29" i="2"/>
  <c r="L27" i="2"/>
  <c r="N27" i="2" s="1"/>
  <c r="H27" i="2"/>
  <c r="O27" i="2" s="1"/>
  <c r="L26" i="2"/>
  <c r="K26" i="2"/>
  <c r="G26" i="2"/>
  <c r="H26" i="2" s="1"/>
  <c r="N26" i="2" s="1"/>
  <c r="J24" i="2"/>
  <c r="L24" i="2" s="1"/>
  <c r="H24" i="2"/>
  <c r="L23" i="2"/>
  <c r="N23" i="2" s="1"/>
  <c r="K23" i="2"/>
  <c r="H23" i="2"/>
  <c r="G23" i="2"/>
  <c r="O22" i="2"/>
  <c r="N22" i="2"/>
  <c r="L22" i="2"/>
  <c r="H22" i="2"/>
  <c r="L21" i="2"/>
  <c r="N21" i="2" s="1"/>
  <c r="O21" i="2" s="1"/>
  <c r="H21" i="2"/>
  <c r="O1" i="2"/>
  <c r="K46" i="1"/>
  <c r="L46" i="1" s="1"/>
  <c r="H46" i="1"/>
  <c r="G46" i="1"/>
  <c r="L45" i="1"/>
  <c r="N45" i="1" s="1"/>
  <c r="K45" i="1"/>
  <c r="G45" i="1"/>
  <c r="H45" i="1" s="1"/>
  <c r="K44" i="1"/>
  <c r="L44" i="1" s="1"/>
  <c r="H44" i="1"/>
  <c r="G44" i="1"/>
  <c r="L43" i="1"/>
  <c r="O43" i="1"/>
  <c r="L42" i="1"/>
  <c r="O40" i="1"/>
  <c r="L40" i="1"/>
  <c r="H40" i="1"/>
  <c r="N40" i="1" s="1"/>
  <c r="K36" i="1"/>
  <c r="L35" i="1"/>
  <c r="K35" i="1"/>
  <c r="G35" i="1"/>
  <c r="O33" i="1"/>
  <c r="K33" i="1"/>
  <c r="L33" i="1" s="1"/>
  <c r="N33" i="1" s="1"/>
  <c r="O32" i="1"/>
  <c r="L32" i="1"/>
  <c r="N32" i="1" s="1"/>
  <c r="L31" i="1"/>
  <c r="K31" i="1"/>
  <c r="G31" i="1"/>
  <c r="H31" i="1" s="1"/>
  <c r="K30" i="1"/>
  <c r="L30" i="1" s="1"/>
  <c r="N30" i="1" s="1"/>
  <c r="H30" i="1"/>
  <c r="G30" i="1"/>
  <c r="O28" i="1"/>
  <c r="L28" i="1"/>
  <c r="N28" i="1" s="1"/>
  <c r="H28" i="1"/>
  <c r="L27" i="1"/>
  <c r="K27" i="1"/>
  <c r="G27" i="1"/>
  <c r="H27" i="1" s="1"/>
  <c r="J25" i="1"/>
  <c r="L25" i="1" s="1"/>
  <c r="N25" i="1" s="1"/>
  <c r="H25" i="1"/>
  <c r="L24" i="1"/>
  <c r="K24" i="1"/>
  <c r="G24" i="1"/>
  <c r="H24" i="1" s="1"/>
  <c r="L23" i="1"/>
  <c r="H23" i="1"/>
  <c r="N23" i="1" s="1"/>
  <c r="L22" i="1"/>
  <c r="H22" i="1"/>
  <c r="O1" i="1"/>
  <c r="N38" i="6" l="1"/>
  <c r="O38" i="6" s="1"/>
  <c r="N35" i="9"/>
  <c r="N40" i="8"/>
  <c r="O40" i="8" s="1"/>
  <c r="N36" i="8"/>
  <c r="N36" i="7"/>
  <c r="N38" i="7"/>
  <c r="O38" i="7" s="1"/>
  <c r="N39" i="5"/>
  <c r="N41" i="5"/>
  <c r="N40" i="5"/>
  <c r="O40" i="5" s="1"/>
  <c r="N33" i="5"/>
  <c r="O33" i="5" s="1"/>
  <c r="N36" i="4"/>
  <c r="O36" i="4" s="1"/>
  <c r="N42" i="3"/>
  <c r="N41" i="2"/>
  <c r="O41" i="2" s="1"/>
  <c r="N43" i="1"/>
  <c r="N40" i="4"/>
  <c r="O40" i="4" s="1"/>
  <c r="N41" i="4"/>
  <c r="N41" i="3"/>
  <c r="O41" i="3" s="1"/>
  <c r="O25" i="3"/>
  <c r="N22" i="7"/>
  <c r="O22" i="7" s="1"/>
  <c r="L23" i="8"/>
  <c r="L28" i="8" s="1"/>
  <c r="L24" i="3"/>
  <c r="N24" i="3" s="1"/>
  <c r="O24" i="3" s="1"/>
  <c r="N21" i="3"/>
  <c r="O21" i="3" s="1"/>
  <c r="N24" i="5"/>
  <c r="O24" i="5" s="1"/>
  <c r="O23" i="9"/>
  <c r="N23" i="9"/>
  <c r="N36" i="9"/>
  <c r="H26" i="9"/>
  <c r="O21" i="9"/>
  <c r="K28" i="9"/>
  <c r="G30" i="9"/>
  <c r="H30" i="9" s="1"/>
  <c r="O30" i="9" s="1"/>
  <c r="L22" i="9"/>
  <c r="G31" i="9"/>
  <c r="O27" i="1"/>
  <c r="N27" i="1"/>
  <c r="N31" i="1"/>
  <c r="O31" i="1" s="1"/>
  <c r="O26" i="4"/>
  <c r="N26" i="4"/>
  <c r="H29" i="1"/>
  <c r="N22" i="1"/>
  <c r="O22" i="1" s="1"/>
  <c r="L29" i="1"/>
  <c r="O30" i="2"/>
  <c r="H34" i="2"/>
  <c r="G35" i="2"/>
  <c r="O23" i="1"/>
  <c r="N24" i="1"/>
  <c r="O24" i="1" s="1"/>
  <c r="O25" i="1"/>
  <c r="O30" i="1"/>
  <c r="H35" i="1"/>
  <c r="G36" i="1"/>
  <c r="L28" i="2"/>
  <c r="O27" i="3"/>
  <c r="O38" i="3"/>
  <c r="O42" i="3"/>
  <c r="N38" i="4"/>
  <c r="O38" i="4" s="1"/>
  <c r="L36" i="1"/>
  <c r="K38" i="1"/>
  <c r="L38" i="1" s="1"/>
  <c r="K39" i="1"/>
  <c r="O45" i="1"/>
  <c r="O26" i="2"/>
  <c r="K32" i="3"/>
  <c r="L31" i="3"/>
  <c r="N31" i="3" s="1"/>
  <c r="O31" i="3" s="1"/>
  <c r="N42" i="1"/>
  <c r="O42" i="1" s="1"/>
  <c r="N44" i="1"/>
  <c r="O44" i="1" s="1"/>
  <c r="N46" i="1"/>
  <c r="O46" i="1" s="1"/>
  <c r="H28" i="2"/>
  <c r="N24" i="2"/>
  <c r="O24" i="2" s="1"/>
  <c r="L35" i="2"/>
  <c r="K37" i="2"/>
  <c r="L37" i="2" s="1"/>
  <c r="K38" i="2"/>
  <c r="O39" i="2"/>
  <c r="O42" i="2"/>
  <c r="O44" i="2"/>
  <c r="H30" i="3"/>
  <c r="O22" i="3"/>
  <c r="O26" i="3"/>
  <c r="N36" i="3"/>
  <c r="O36" i="3"/>
  <c r="N40" i="3"/>
  <c r="O40" i="3" s="1"/>
  <c r="N42" i="4"/>
  <c r="O42" i="4" s="1"/>
  <c r="N22" i="5"/>
  <c r="O22" i="5" s="1"/>
  <c r="L23" i="5"/>
  <c r="O23" i="2"/>
  <c r="H34" i="3"/>
  <c r="O30" i="5"/>
  <c r="N22" i="6"/>
  <c r="O22" i="6" s="1"/>
  <c r="L23" i="6"/>
  <c r="O37" i="7"/>
  <c r="G30" i="8"/>
  <c r="H29" i="8"/>
  <c r="O36" i="8"/>
  <c r="H30" i="4"/>
  <c r="L32" i="4"/>
  <c r="N32" i="4" s="1"/>
  <c r="O32" i="4" s="1"/>
  <c r="L34" i="4"/>
  <c r="N34" i="4" s="1"/>
  <c r="O34" i="4" s="1"/>
  <c r="O35" i="5"/>
  <c r="N24" i="7"/>
  <c r="O24" i="7" s="1"/>
  <c r="L24" i="4"/>
  <c r="O22" i="4"/>
  <c r="O25" i="4"/>
  <c r="L31" i="4"/>
  <c r="N31" i="4" s="1"/>
  <c r="O31" i="4" s="1"/>
  <c r="O41" i="4"/>
  <c r="H28" i="8"/>
  <c r="O21" i="5"/>
  <c r="H31" i="5"/>
  <c r="N35" i="5"/>
  <c r="G29" i="6"/>
  <c r="H28" i="6"/>
  <c r="L27" i="7"/>
  <c r="N35" i="7"/>
  <c r="O35" i="7"/>
  <c r="N39" i="7"/>
  <c r="O39" i="7" s="1"/>
  <c r="O37" i="8"/>
  <c r="N25" i="5"/>
  <c r="O25" i="5" s="1"/>
  <c r="O37" i="5"/>
  <c r="O39" i="5"/>
  <c r="O41" i="5"/>
  <c r="O33" i="6"/>
  <c r="O39" i="8"/>
  <c r="L29" i="6"/>
  <c r="O25" i="7"/>
  <c r="L28" i="7"/>
  <c r="N28" i="7" s="1"/>
  <c r="O28" i="7" s="1"/>
  <c r="N21" i="8"/>
  <c r="O21" i="8" s="1"/>
  <c r="O24" i="6"/>
  <c r="K32" i="6"/>
  <c r="O35" i="6"/>
  <c r="O37" i="6"/>
  <c r="O39" i="6"/>
  <c r="H23" i="7"/>
  <c r="N23" i="7" s="1"/>
  <c r="N21" i="7"/>
  <c r="O21" i="7" s="1"/>
  <c r="L29" i="7"/>
  <c r="N29" i="7" s="1"/>
  <c r="O29" i="7" s="1"/>
  <c r="L31" i="7"/>
  <c r="N31" i="7" s="1"/>
  <c r="O31" i="7" s="1"/>
  <c r="N22" i="8"/>
  <c r="O22" i="8" s="1"/>
  <c r="O24" i="8"/>
  <c r="N34" i="8"/>
  <c r="O34" i="8" s="1"/>
  <c r="O38" i="8"/>
  <c r="L30" i="3" l="1"/>
  <c r="N30" i="3" s="1"/>
  <c r="O30" i="3" s="1"/>
  <c r="N23" i="8"/>
  <c r="O23" i="8" s="1"/>
  <c r="H29" i="9"/>
  <c r="K30" i="9"/>
  <c r="L30" i="9" s="1"/>
  <c r="N30" i="9" s="1"/>
  <c r="L28" i="9"/>
  <c r="N28" i="9" s="1"/>
  <c r="K31" i="9"/>
  <c r="H31" i="9"/>
  <c r="O31" i="9" s="1"/>
  <c r="G33" i="9"/>
  <c r="H33" i="9" s="1"/>
  <c r="O33" i="9" s="1"/>
  <c r="N22" i="9"/>
  <c r="O22" i="9" s="1"/>
  <c r="L26" i="9"/>
  <c r="G34" i="7"/>
  <c r="H34" i="7" s="1"/>
  <c r="H32" i="7"/>
  <c r="L33" i="2"/>
  <c r="N28" i="2"/>
  <c r="O28" i="2" s="1"/>
  <c r="K34" i="6"/>
  <c r="L34" i="6" s="1"/>
  <c r="L32" i="6"/>
  <c r="K36" i="5"/>
  <c r="L36" i="5" s="1"/>
  <c r="L34" i="5"/>
  <c r="N36" i="1"/>
  <c r="G39" i="1"/>
  <c r="G38" i="1"/>
  <c r="H38" i="1" s="1"/>
  <c r="N38" i="1" s="1"/>
  <c r="H36" i="1"/>
  <c r="L32" i="7"/>
  <c r="K34" i="7"/>
  <c r="L34" i="7" s="1"/>
  <c r="N34" i="7" s="1"/>
  <c r="H29" i="6"/>
  <c r="G32" i="6"/>
  <c r="G31" i="6"/>
  <c r="H31" i="6" s="1"/>
  <c r="N23" i="6"/>
  <c r="O23" i="6" s="1"/>
  <c r="L27" i="6"/>
  <c r="H37" i="4"/>
  <c r="H35" i="4"/>
  <c r="N23" i="5"/>
  <c r="O23" i="5" s="1"/>
  <c r="L29" i="5"/>
  <c r="G38" i="2"/>
  <c r="G37" i="2"/>
  <c r="H37" i="2" s="1"/>
  <c r="H35" i="2"/>
  <c r="N29" i="6"/>
  <c r="L30" i="4"/>
  <c r="N24" i="4"/>
  <c r="O24" i="4" s="1"/>
  <c r="H30" i="8"/>
  <c r="H31" i="8" s="1"/>
  <c r="H32" i="8"/>
  <c r="N31" i="5"/>
  <c r="O31" i="5" s="1"/>
  <c r="L32" i="3"/>
  <c r="N32" i="3" s="1"/>
  <c r="O32" i="3" s="1"/>
  <c r="L34" i="3"/>
  <c r="N34" i="3" s="1"/>
  <c r="O34" i="3" s="1"/>
  <c r="H27" i="7"/>
  <c r="O23" i="7"/>
  <c r="N28" i="6"/>
  <c r="O28" i="6" s="1"/>
  <c r="H34" i="5"/>
  <c r="H36" i="5"/>
  <c r="H33" i="4"/>
  <c r="H32" i="5"/>
  <c r="N35" i="2"/>
  <c r="L34" i="1"/>
  <c r="N29" i="1"/>
  <c r="K35" i="8"/>
  <c r="L35" i="8" s="1"/>
  <c r="L33" i="8"/>
  <c r="H30" i="6"/>
  <c r="L30" i="7"/>
  <c r="N27" i="7"/>
  <c r="N28" i="8"/>
  <c r="O28" i="8" s="1"/>
  <c r="L31" i="8"/>
  <c r="L35" i="4"/>
  <c r="N35" i="4" s="1"/>
  <c r="L37" i="4"/>
  <c r="N29" i="8"/>
  <c r="O29" i="8" s="1"/>
  <c r="H33" i="3"/>
  <c r="L38" i="2"/>
  <c r="K40" i="2"/>
  <c r="L40" i="2" s="1"/>
  <c r="H33" i="2"/>
  <c r="L39" i="1"/>
  <c r="K41" i="1"/>
  <c r="L41" i="1" s="1"/>
  <c r="L33" i="3"/>
  <c r="N34" i="2"/>
  <c r="O34" i="2" s="1"/>
  <c r="H34" i="1"/>
  <c r="O29" i="1"/>
  <c r="N35" i="1"/>
  <c r="O35" i="1" s="1"/>
  <c r="N32" i="7" l="1"/>
  <c r="O32" i="7" s="1"/>
  <c r="N36" i="5"/>
  <c r="N37" i="4"/>
  <c r="H46" i="9"/>
  <c r="H40" i="9"/>
  <c r="N26" i="9"/>
  <c r="O26" i="9" s="1"/>
  <c r="L29" i="9"/>
  <c r="K33" i="9"/>
  <c r="L33" i="9" s="1"/>
  <c r="N33" i="9" s="1"/>
  <c r="L31" i="9"/>
  <c r="N31" i="9" s="1"/>
  <c r="H39" i="1"/>
  <c r="G41" i="1"/>
  <c r="H41" i="1" s="1"/>
  <c r="H37" i="1"/>
  <c r="L33" i="4"/>
  <c r="N30" i="4"/>
  <c r="O30" i="4" s="1"/>
  <c r="G40" i="2"/>
  <c r="H40" i="2" s="1"/>
  <c r="H38" i="2"/>
  <c r="N38" i="2" s="1"/>
  <c r="N31" i="6"/>
  <c r="O31" i="6" s="1"/>
  <c r="L36" i="2"/>
  <c r="N33" i="2"/>
  <c r="O33" i="2" s="1"/>
  <c r="N41" i="1"/>
  <c r="N31" i="8"/>
  <c r="O31" i="8" s="1"/>
  <c r="L48" i="8"/>
  <c r="L42" i="8"/>
  <c r="L37" i="1"/>
  <c r="N34" i="1"/>
  <c r="O34" i="1" s="1"/>
  <c r="H50" i="4"/>
  <c r="H44" i="4"/>
  <c r="L35" i="3"/>
  <c r="N35" i="3" s="1"/>
  <c r="O35" i="3" s="1"/>
  <c r="L37" i="3"/>
  <c r="N37" i="3" s="1"/>
  <c r="O37" i="3" s="1"/>
  <c r="H33" i="8"/>
  <c r="G35" i="8"/>
  <c r="H35" i="8" s="1"/>
  <c r="O37" i="4"/>
  <c r="H32" i="6"/>
  <c r="G34" i="6"/>
  <c r="H34" i="6" s="1"/>
  <c r="O36" i="1"/>
  <c r="H36" i="2"/>
  <c r="H50" i="3"/>
  <c r="H44" i="3"/>
  <c r="N35" i="8"/>
  <c r="H43" i="5"/>
  <c r="H49" i="5"/>
  <c r="H30" i="7"/>
  <c r="O27" i="7"/>
  <c r="N34" i="5"/>
  <c r="O34" i="5" s="1"/>
  <c r="N33" i="3"/>
  <c r="O33" i="3" s="1"/>
  <c r="L47" i="7"/>
  <c r="L41" i="7"/>
  <c r="N30" i="7"/>
  <c r="N32" i="8"/>
  <c r="O32" i="8" s="1"/>
  <c r="O35" i="4"/>
  <c r="N39" i="1"/>
  <c r="N33" i="8"/>
  <c r="O36" i="5"/>
  <c r="N30" i="8"/>
  <c r="O30" i="8" s="1"/>
  <c r="O35" i="2"/>
  <c r="N29" i="5"/>
  <c r="O29" i="5" s="1"/>
  <c r="L32" i="5"/>
  <c r="N27" i="6"/>
  <c r="O27" i="6" s="1"/>
  <c r="L30" i="6"/>
  <c r="O29" i="6"/>
  <c r="O38" i="1"/>
  <c r="N37" i="2"/>
  <c r="O37" i="2" s="1"/>
  <c r="O34" i="7"/>
  <c r="H42" i="8" l="1"/>
  <c r="H41" i="9"/>
  <c r="H48" i="9"/>
  <c r="H47" i="9"/>
  <c r="N29" i="9"/>
  <c r="O29" i="9" s="1"/>
  <c r="L46" i="9"/>
  <c r="L40" i="9"/>
  <c r="H43" i="8"/>
  <c r="N30" i="6"/>
  <c r="O30" i="6" s="1"/>
  <c r="L41" i="6"/>
  <c r="L47" i="6"/>
  <c r="L48" i="7"/>
  <c r="H45" i="4"/>
  <c r="L49" i="8"/>
  <c r="H51" i="4"/>
  <c r="H52" i="4" s="1"/>
  <c r="H54" i="1"/>
  <c r="H48" i="1"/>
  <c r="N32" i="5"/>
  <c r="O32" i="5" s="1"/>
  <c r="L43" i="5"/>
  <c r="L49" i="5"/>
  <c r="L44" i="3"/>
  <c r="H51" i="3"/>
  <c r="H52" i="3" s="1"/>
  <c r="N32" i="6"/>
  <c r="O32" i="6" s="1"/>
  <c r="N40" i="2"/>
  <c r="O40" i="2" s="1"/>
  <c r="O41" i="1"/>
  <c r="H50" i="5"/>
  <c r="H45" i="3"/>
  <c r="H46" i="3" s="1"/>
  <c r="H47" i="2"/>
  <c r="H53" i="2"/>
  <c r="O33" i="8"/>
  <c r="H41" i="6"/>
  <c r="O38" i="2"/>
  <c r="N34" i="6"/>
  <c r="O34" i="6" s="1"/>
  <c r="H44" i="5"/>
  <c r="H47" i="6"/>
  <c r="L53" i="2"/>
  <c r="L47" i="2"/>
  <c r="N36" i="2"/>
  <c r="O36" i="2" s="1"/>
  <c r="H48" i="8"/>
  <c r="L42" i="7"/>
  <c r="L43" i="7" s="1"/>
  <c r="L50" i="3"/>
  <c r="H47" i="7"/>
  <c r="H41" i="7"/>
  <c r="N41" i="7" s="1"/>
  <c r="O30" i="7"/>
  <c r="O35" i="8"/>
  <c r="L54" i="1"/>
  <c r="L48" i="1"/>
  <c r="N37" i="1"/>
  <c r="O37" i="1" s="1"/>
  <c r="N42" i="8"/>
  <c r="O42" i="8" s="1"/>
  <c r="L43" i="8"/>
  <c r="L44" i="4"/>
  <c r="L50" i="4"/>
  <c r="N33" i="4"/>
  <c r="O33" i="4" s="1"/>
  <c r="O39" i="1"/>
  <c r="N43" i="8" l="1"/>
  <c r="N40" i="9"/>
  <c r="O40" i="9" s="1"/>
  <c r="L41" i="9"/>
  <c r="N41" i="9" s="1"/>
  <c r="O41" i="9" s="1"/>
  <c r="H50" i="9"/>
  <c r="H49" i="9"/>
  <c r="N46" i="9"/>
  <c r="O46" i="9" s="1"/>
  <c r="L47" i="9"/>
  <c r="N47" i="9" s="1"/>
  <c r="O47" i="9" s="1"/>
  <c r="L48" i="9"/>
  <c r="H42" i="9"/>
  <c r="L55" i="1"/>
  <c r="N54" i="1"/>
  <c r="O54" i="1" s="1"/>
  <c r="L54" i="2"/>
  <c r="L55" i="2" s="1"/>
  <c r="N53" i="2"/>
  <c r="O53" i="2" s="1"/>
  <c r="H47" i="3"/>
  <c r="H48" i="3" s="1"/>
  <c r="L45" i="3"/>
  <c r="N45" i="3" s="1"/>
  <c r="O45" i="3" s="1"/>
  <c r="N44" i="3"/>
  <c r="O44" i="3" s="1"/>
  <c r="L51" i="3"/>
  <c r="N51" i="3" s="1"/>
  <c r="O51" i="3" s="1"/>
  <c r="N50" i="3"/>
  <c r="O50" i="3" s="1"/>
  <c r="H49" i="8"/>
  <c r="H50" i="8"/>
  <c r="N49" i="5"/>
  <c r="O49" i="5" s="1"/>
  <c r="L50" i="5"/>
  <c r="N50" i="5" s="1"/>
  <c r="O50" i="5" s="1"/>
  <c r="H53" i="4"/>
  <c r="H54" i="4" s="1"/>
  <c r="H46" i="4"/>
  <c r="O43" i="8"/>
  <c r="L45" i="4"/>
  <c r="N45" i="4" s="1"/>
  <c r="O45" i="4" s="1"/>
  <c r="N44" i="4"/>
  <c r="O44" i="4" s="1"/>
  <c r="H54" i="2"/>
  <c r="H55" i="2" s="1"/>
  <c r="H53" i="3"/>
  <c r="H54" i="3" s="1"/>
  <c r="N43" i="5"/>
  <c r="O43" i="5" s="1"/>
  <c r="L44" i="5"/>
  <c r="N44" i="5" s="1"/>
  <c r="O44" i="5" s="1"/>
  <c r="H55" i="1"/>
  <c r="N48" i="8"/>
  <c r="O48" i="8" s="1"/>
  <c r="N47" i="6"/>
  <c r="O47" i="6" s="1"/>
  <c r="L48" i="6"/>
  <c r="N48" i="6" s="1"/>
  <c r="H44" i="8"/>
  <c r="H48" i="7"/>
  <c r="L44" i="7"/>
  <c r="L45" i="7" s="1"/>
  <c r="N49" i="8"/>
  <c r="N50" i="4"/>
  <c r="O50" i="4" s="1"/>
  <c r="L51" i="4"/>
  <c r="N51" i="4" s="1"/>
  <c r="O51" i="4" s="1"/>
  <c r="H49" i="6"/>
  <c r="H48" i="6"/>
  <c r="H49" i="1"/>
  <c r="H50" i="1"/>
  <c r="L50" i="8"/>
  <c r="L49" i="7"/>
  <c r="L44" i="8"/>
  <c r="L49" i="1"/>
  <c r="N49" i="1" s="1"/>
  <c r="N48" i="1"/>
  <c r="O48" i="1" s="1"/>
  <c r="H42" i="7"/>
  <c r="N42" i="7" s="1"/>
  <c r="O41" i="7"/>
  <c r="L48" i="2"/>
  <c r="N47" i="2"/>
  <c r="O47" i="2" s="1"/>
  <c r="H45" i="5"/>
  <c r="H42" i="6"/>
  <c r="H48" i="2"/>
  <c r="H51" i="5"/>
  <c r="N47" i="7"/>
  <c r="O47" i="7" s="1"/>
  <c r="N41" i="6"/>
  <c r="O41" i="6" s="1"/>
  <c r="L42" i="6"/>
  <c r="L43" i="6" s="1"/>
  <c r="L51" i="5" l="1"/>
  <c r="L52" i="5" s="1"/>
  <c r="L53" i="5" s="1"/>
  <c r="L46" i="4"/>
  <c r="N46" i="4" s="1"/>
  <c r="O46" i="4" s="1"/>
  <c r="L45" i="5"/>
  <c r="N45" i="5" s="1"/>
  <c r="O45" i="5" s="1"/>
  <c r="L50" i="1"/>
  <c r="N50" i="1" s="1"/>
  <c r="O50" i="1" s="1"/>
  <c r="N48" i="9"/>
  <c r="O48" i="9" s="1"/>
  <c r="L49" i="9"/>
  <c r="N49" i="9" s="1"/>
  <c r="O49" i="9" s="1"/>
  <c r="L50" i="9"/>
  <c r="N50" i="9" s="1"/>
  <c r="O50" i="9" s="1"/>
  <c r="H43" i="9"/>
  <c r="L42" i="9"/>
  <c r="H56" i="2"/>
  <c r="N48" i="2"/>
  <c r="O48" i="2" s="1"/>
  <c r="L49" i="2"/>
  <c r="N44" i="8"/>
  <c r="O44" i="8" s="1"/>
  <c r="L45" i="8"/>
  <c r="L46" i="8" s="1"/>
  <c r="H51" i="1"/>
  <c r="H52" i="1" s="1"/>
  <c r="N48" i="7"/>
  <c r="O48" i="7" s="1"/>
  <c r="H49" i="7"/>
  <c r="N49" i="7" s="1"/>
  <c r="H51" i="8"/>
  <c r="H52" i="8" s="1"/>
  <c r="N42" i="6"/>
  <c r="O42" i="6" s="1"/>
  <c r="H49" i="2"/>
  <c r="H46" i="5"/>
  <c r="H47" i="5" s="1"/>
  <c r="L50" i="7"/>
  <c r="L51" i="7" s="1"/>
  <c r="O49" i="1"/>
  <c r="L52" i="4"/>
  <c r="H45" i="8"/>
  <c r="H46" i="8" s="1"/>
  <c r="H56" i="1"/>
  <c r="H47" i="4"/>
  <c r="H48" i="4" s="1"/>
  <c r="O49" i="8"/>
  <c r="L52" i="3"/>
  <c r="L46" i="3"/>
  <c r="N55" i="1"/>
  <c r="O55" i="1" s="1"/>
  <c r="O42" i="7"/>
  <c r="H51" i="6"/>
  <c r="H50" i="6"/>
  <c r="L56" i="2"/>
  <c r="N55" i="2"/>
  <c r="O55" i="2" s="1"/>
  <c r="H43" i="7"/>
  <c r="L44" i="6"/>
  <c r="H52" i="5"/>
  <c r="H53" i="5" s="1"/>
  <c r="H43" i="6"/>
  <c r="N50" i="8"/>
  <c r="O50" i="8" s="1"/>
  <c r="L51" i="8"/>
  <c r="L52" i="8" s="1"/>
  <c r="O48" i="6"/>
  <c r="L49" i="6"/>
  <c r="N54" i="2"/>
  <c r="O54" i="2" s="1"/>
  <c r="L56" i="1"/>
  <c r="N56" i="2" l="1"/>
  <c r="O56" i="2" s="1"/>
  <c r="N51" i="5"/>
  <c r="O51" i="5" s="1"/>
  <c r="L46" i="5"/>
  <c r="N46" i="5" s="1"/>
  <c r="O46" i="5" s="1"/>
  <c r="N46" i="8"/>
  <c r="O46" i="8" s="1"/>
  <c r="L47" i="4"/>
  <c r="L48" i="4" s="1"/>
  <c r="N48" i="4" s="1"/>
  <c r="O48" i="4" s="1"/>
  <c r="L51" i="1"/>
  <c r="L52" i="1" s="1"/>
  <c r="N52" i="1" s="1"/>
  <c r="O52" i="1" s="1"/>
  <c r="H44" i="9"/>
  <c r="N42" i="9"/>
  <c r="O42" i="9" s="1"/>
  <c r="L43" i="9"/>
  <c r="N43" i="9" s="1"/>
  <c r="O43" i="9" s="1"/>
  <c r="N49" i="6"/>
  <c r="O49" i="6" s="1"/>
  <c r="L50" i="6"/>
  <c r="N50" i="6" s="1"/>
  <c r="O50" i="6" s="1"/>
  <c r="N53" i="5"/>
  <c r="O53" i="5" s="1"/>
  <c r="L57" i="2"/>
  <c r="H50" i="7"/>
  <c r="N50" i="7" s="1"/>
  <c r="O49" i="7"/>
  <c r="L50" i="2"/>
  <c r="N49" i="2"/>
  <c r="O49" i="2" s="1"/>
  <c r="N51" i="8"/>
  <c r="O51" i="8" s="1"/>
  <c r="L45" i="6"/>
  <c r="H44" i="7"/>
  <c r="N43" i="7"/>
  <c r="O43" i="7" s="1"/>
  <c r="H57" i="1"/>
  <c r="H58" i="1" s="1"/>
  <c r="N52" i="4"/>
  <c r="O52" i="4" s="1"/>
  <c r="L53" i="4"/>
  <c r="N53" i="4" s="1"/>
  <c r="O53" i="4" s="1"/>
  <c r="H50" i="2"/>
  <c r="H51" i="2" s="1"/>
  <c r="H57" i="2"/>
  <c r="L57" i="1"/>
  <c r="N57" i="1" s="1"/>
  <c r="N56" i="1"/>
  <c r="O56" i="1" s="1"/>
  <c r="L53" i="3"/>
  <c r="N53" i="3" s="1"/>
  <c r="O53" i="3" s="1"/>
  <c r="N52" i="3"/>
  <c r="O52" i="3" s="1"/>
  <c r="H44" i="6"/>
  <c r="H45" i="6"/>
  <c r="N52" i="8"/>
  <c r="O52" i="8" s="1"/>
  <c r="N43" i="6"/>
  <c r="O43" i="6" s="1"/>
  <c r="L47" i="3"/>
  <c r="N47" i="3" s="1"/>
  <c r="O47" i="3" s="1"/>
  <c r="N46" i="3"/>
  <c r="O46" i="3" s="1"/>
  <c r="N45" i="8"/>
  <c r="O45" i="8" s="1"/>
  <c r="N52" i="5"/>
  <c r="O52" i="5" s="1"/>
  <c r="H51" i="7" l="1"/>
  <c r="N51" i="7" s="1"/>
  <c r="O51" i="7" s="1"/>
  <c r="N50" i="2"/>
  <c r="O50" i="2" s="1"/>
  <c r="L47" i="5"/>
  <c r="N47" i="5" s="1"/>
  <c r="O47" i="5" s="1"/>
  <c r="N47" i="4"/>
  <c r="O47" i="4" s="1"/>
  <c r="L51" i="6"/>
  <c r="N51" i="6" s="1"/>
  <c r="O51" i="6" s="1"/>
  <c r="L54" i="4"/>
  <c r="N54" i="4" s="1"/>
  <c r="O54" i="4" s="1"/>
  <c r="N51" i="1"/>
  <c r="O51" i="1" s="1"/>
  <c r="L58" i="1"/>
  <c r="N58" i="1" s="1"/>
  <c r="O58" i="1" s="1"/>
  <c r="L44" i="9"/>
  <c r="N44" i="9" s="1"/>
  <c r="O44" i="9" s="1"/>
  <c r="L48" i="3"/>
  <c r="N48" i="3" s="1"/>
  <c r="O48" i="3" s="1"/>
  <c r="L54" i="3"/>
  <c r="N54" i="3" s="1"/>
  <c r="O54" i="3" s="1"/>
  <c r="N44" i="7"/>
  <c r="O44" i="7" s="1"/>
  <c r="O57" i="1"/>
  <c r="H45" i="7"/>
  <c r="N57" i="2"/>
  <c r="O57" i="2" s="1"/>
  <c r="L51" i="2"/>
  <c r="N51" i="2" s="1"/>
  <c r="O51" i="2" s="1"/>
  <c r="N45" i="6"/>
  <c r="O45" i="6" s="1"/>
  <c r="O50" i="7"/>
  <c r="N44" i="6"/>
  <c r="O44" i="6" s="1"/>
  <c r="N45" i="7" l="1"/>
  <c r="O45" i="7" s="1"/>
</calcChain>
</file>

<file path=xl/comments1.xml><?xml version="1.0" encoding="utf-8"?>
<comments xmlns="http://schemas.openxmlformats.org/spreadsheetml/2006/main">
  <authors>
    <author>Cindy Speziale</author>
  </authors>
  <commentList>
    <comment ref="F23" authorId="0">
      <text>
        <r>
          <rPr>
            <b/>
            <sz val="9"/>
            <color indexed="81"/>
            <rFont val="Tahoma"/>
            <family val="2"/>
          </rPr>
          <t>Cindy Speziale:</t>
        </r>
        <r>
          <rPr>
            <sz val="9"/>
            <color indexed="81"/>
            <rFont val="Tahoma"/>
            <family val="2"/>
          </rPr>
          <t xml:space="preserve">
Changed to reflect actual approved rate versus tariff sheet which was an approved rate calculation for collection over 10 months. 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<sst xmlns="http://schemas.openxmlformats.org/spreadsheetml/2006/main" count="762" uniqueCount="78">
  <si>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</si>
  <si>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</si>
  <si>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</si>
  <si>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</si>
  <si>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</si>
  <si>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</si>
  <si>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</si>
  <si>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</si>
  <si>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Table 1-2.1: Bill Impact: Residential and General Service Less than 50kW</t>
  </si>
  <si>
    <t>Customer Class:</t>
  </si>
  <si>
    <t>Residential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</si>
  <si>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</si>
  <si>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</si>
  <si>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</si>
  <si>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</si>
  <si>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</si>
  <si>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</si>
  <si>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</si>
  <si>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</si>
  <si>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</si>
  <si>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</si>
  <si>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</si>
  <si>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</si>
  <si>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</si>
  <si>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</si>
  <si>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Incremental Rev Req</t>
  </si>
  <si>
    <t>Distribution Volumetric Rate</t>
  </si>
  <si>
    <t>per kWh</t>
  </si>
  <si>
    <t>Smart Meter Disposition Rider</t>
  </si>
  <si>
    <t>LRAM &amp; SSM Rate Rider</t>
  </si>
  <si>
    <t>Stranded Asset Rate Rider</t>
  </si>
  <si>
    <t>Sub-Total A</t>
  </si>
  <si>
    <t>Deferral/Variance Account Disposition Rate Rider</t>
  </si>
  <si>
    <t>Tax Charge Rate Rider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</si>
  <si>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</si>
  <si>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</si>
  <si>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</si>
  <si>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</si>
  <si>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</si>
  <si>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</si>
  <si>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</si>
  <si>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</si>
  <si>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</si>
  <si>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Energy - RPP - Tier 1</t>
  </si>
  <si>
    <t>per kW</t>
  </si>
  <si>
    <t>Energy - RPP - Tier 2</t>
  </si>
  <si>
    <t>TOU - Off Peak</t>
  </si>
  <si>
    <t>TOU - Mid Peak</t>
  </si>
  <si>
    <t>TOU - On Peak</t>
  </si>
  <si>
    <t>Total Bill on RPP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</si>
  <si>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</si>
  <si>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</si>
  <si>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</si>
  <si>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RPP (including OCEB)</t>
  </si>
  <si>
    <t>Total Bill on TOU (before Taxes)</t>
  </si>
  <si>
    <t>Total Bill on TOU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</si>
  <si>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</si>
  <si>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</si>
  <si>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</si>
  <si>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</si>
  <si>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should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</si>
  <si>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</si>
  <si>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</si>
  <si>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</si>
  <si>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</si>
  <si>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</si>
  <si>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</si>
  <si>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General Service Less Than 50 kW</t>
  </si>
  <si>
    <t>General Service 50 to to 999 kW</t>
  </si>
  <si>
    <t xml:space="preserve"> kW</t>
  </si>
  <si>
    <t>Global Adjustment Rate Rider</t>
  </si>
  <si>
    <t>General Service 50 to to 999 kW Interval Metered</t>
  </si>
  <si>
    <t>General Service 1,000 to 4,999 kW</t>
  </si>
  <si>
    <t>Umetered Scattered Load</t>
  </si>
  <si>
    <t xml:space="preserve">Sentinel Lighting </t>
  </si>
  <si>
    <t>Street Lighting</t>
  </si>
  <si>
    <t>Microfit</t>
  </si>
  <si>
    <t>Smart Meter Entity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</si>
</sst>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1009]mmmm\ d\,\ yyyy;@"/>
    <numFmt numFmtId="167" formatCode="_(&quot;$&quot;* #,##0.0000_);_(&quot;$&quot;* \(#,##0.0000\);_(&quot;$&quot;* &quot;-&quot;??_);_(@_)"/>
    <numFmt numFmtId="168" formatCode="0.00%;\(0.00%\)"/>
    <numFmt numFmtId="169" formatCode="_(&quot;$&quot;* #,##0.00000_);_(&quot;$&quot;* \(#,##0.00000\);_(&quot;$&quot;* &quot;-&quot;??_);_(@_)"/>
    <numFmt numFmtId="170" formatCode="_-&quot;$&quot;* #,##0.0000_-;\-&quot;$&quot;* #,##0.0000_-;_-&quot;$&quot;* &quot;-&quot;??_-;_-@_-"/>
    <numFmt numFmtId="171" formatCode="0_);\(0\)"/>
    <numFmt numFmtId="172" formatCode="_(&quot;$&quot;* #,##0.000_);_(&quot;$&quot;* \(#,##0.000\);_(&quot;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8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0"/>
      </top>
      <bottom/>
      <diagonal/>
    </border>
  </borders>
  <cellStyleXfs count="86">
    <xf numFmtId="0" fontId="0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35" fillId="0" borderId="0" applyNumberFormat="0" applyFont="0" applyFill="0" applyAlignment="0" applyProtection="0"/>
    <xf numFmtId="0" fontId="4" fillId="0" borderId="2" applyNumberForma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1" borderId="31" applyNumberFormat="0" applyFont="0" applyAlignment="0" applyProtection="0"/>
    <xf numFmtId="0" fontId="10" fillId="6" borderId="5" applyNumberFormat="0" applyAlignment="0" applyProtection="0"/>
    <xf numFmtId="9" fontId="1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9" fillId="0" borderId="32" applyNumberFormat="0" applyFont="0" applyBorder="0" applyAlignment="0" applyProtection="0"/>
    <xf numFmtId="0" fontId="19" fillId="0" borderId="32" applyNumberFormat="0" applyFont="0" applyBorder="0" applyAlignment="0" applyProtection="0"/>
    <xf numFmtId="0" fontId="14" fillId="0" borderId="0" applyNumberFormat="0" applyFill="0" applyBorder="0" applyAlignment="0" applyProtection="0"/>
  </cellStyleXfs>
  <cellXfs count="242">
    <xf numFmtId="0" fontId="0" fillId="0" borderId="0" xfId="0"/>
    <xf numFmtId="0" fontId="20" fillId="33" borderId="0" xfId="3" applyFont="1" applyFill="1" applyAlignment="1" applyProtection="1">
      <alignment vertical="top" wrapText="1"/>
    </xf>
    <xf numFmtId="0" fontId="19" fillId="33" borderId="0" xfId="3" applyFill="1" applyBorder="1" applyProtection="1"/>
    <xf numFmtId="0" fontId="21" fillId="0" borderId="0" xfId="3" applyFont="1"/>
    <xf numFmtId="0" fontId="22" fillId="0" borderId="0" xfId="3" applyFont="1" applyAlignment="1">
      <alignment horizontal="right" vertical="top"/>
    </xf>
    <xf numFmtId="0" fontId="19" fillId="0" borderId="0" xfId="3"/>
    <xf numFmtId="0" fontId="23" fillId="33" borderId="0" xfId="3" applyFont="1" applyFill="1" applyBorder="1" applyAlignment="1" applyProtection="1">
      <alignment wrapText="1"/>
    </xf>
    <xf numFmtId="0" fontId="22" fillId="35" borderId="10" xfId="3" applyFont="1" applyFill="1" applyBorder="1" applyAlignment="1">
      <alignment horizontal="right" vertical="top"/>
    </xf>
    <xf numFmtId="0" fontId="19" fillId="33" borderId="0" xfId="3" applyFill="1" applyBorder="1" applyAlignment="1" applyProtection="1">
      <alignment wrapText="1"/>
    </xf>
    <xf numFmtId="0" fontId="22" fillId="35" borderId="0" xfId="3" applyFont="1" applyFill="1" applyAlignment="1">
      <alignment horizontal="right" vertical="top"/>
    </xf>
    <xf numFmtId="166" fontId="22" fillId="35" borderId="0" xfId="3" applyNumberFormat="1" applyFont="1" applyFill="1" applyAlignment="1">
      <alignment horizontal="right" vertical="top"/>
    </xf>
    <xf numFmtId="0" fontId="19" fillId="0" borderId="0" xfId="3" applyProtection="1"/>
    <xf numFmtId="0" fontId="25" fillId="0" borderId="0" xfId="3" applyFont="1" applyAlignment="1">
      <alignment vertical="center"/>
    </xf>
    <xf numFmtId="0" fontId="21" fillId="0" borderId="0" xfId="3" applyFont="1" applyAlignment="1" applyProtection="1">
      <alignment horizontal="right"/>
    </xf>
    <xf numFmtId="0" fontId="19" fillId="0" borderId="0" xfId="3" applyFont="1" applyAlignment="1" applyProtection="1">
      <alignment horizontal="right"/>
    </xf>
    <xf numFmtId="0" fontId="26" fillId="0" borderId="0" xfId="3" applyFont="1" applyAlignment="1" applyProtection="1">
      <alignment horizontal="center"/>
    </xf>
    <xf numFmtId="0" fontId="19" fillId="0" borderId="0" xfId="3" applyFont="1" applyProtection="1"/>
    <xf numFmtId="0" fontId="21" fillId="0" borderId="0" xfId="3" applyFont="1" applyProtection="1"/>
    <xf numFmtId="0" fontId="21" fillId="35" borderId="11" xfId="3" applyFont="1" applyFill="1" applyBorder="1" applyProtection="1">
      <protection locked="0"/>
    </xf>
    <xf numFmtId="0" fontId="21" fillId="0" borderId="0" xfId="3" applyFont="1" applyAlignment="1" applyProtection="1"/>
    <xf numFmtId="0" fontId="21" fillId="0" borderId="0" xfId="3" applyFont="1" applyAlignment="1" applyProtection="1">
      <alignment horizontal="center"/>
    </xf>
    <xf numFmtId="0" fontId="21" fillId="0" borderId="15" xfId="3" applyFont="1" applyBorder="1" applyAlignment="1" applyProtection="1">
      <alignment horizontal="center"/>
    </xf>
    <xf numFmtId="0" fontId="21" fillId="0" borderId="16" xfId="3" applyFont="1" applyBorder="1" applyAlignment="1" applyProtection="1">
      <alignment horizontal="center"/>
    </xf>
    <xf numFmtId="0" fontId="21" fillId="0" borderId="17" xfId="3" applyFont="1" applyBorder="1" applyAlignment="1" applyProtection="1">
      <alignment horizontal="center"/>
    </xf>
    <xf numFmtId="0" fontId="21" fillId="0" borderId="19" xfId="3" quotePrefix="1" applyFont="1" applyBorder="1" applyAlignment="1" applyProtection="1">
      <alignment horizontal="center"/>
    </xf>
    <xf numFmtId="0" fontId="21" fillId="0" borderId="20" xfId="3" quotePrefix="1" applyFont="1" applyBorder="1" applyAlignment="1" applyProtection="1">
      <alignment horizontal="center"/>
    </xf>
    <xf numFmtId="0" fontId="19" fillId="0" borderId="0" xfId="3" applyAlignment="1" applyProtection="1">
      <alignment vertical="top"/>
    </xf>
    <xf numFmtId="0" fontId="19" fillId="36" borderId="0" xfId="3" applyFill="1" applyAlignment="1" applyProtection="1">
      <alignment vertical="top"/>
      <protection locked="0"/>
    </xf>
    <xf numFmtId="0" fontId="19" fillId="0" borderId="0" xfId="3" applyFill="1" applyAlignment="1" applyProtection="1">
      <alignment vertical="top"/>
    </xf>
    <xf numFmtId="167" fontId="0" fillId="35" borderId="18" xfId="1" applyNumberFormat="1" applyFont="1" applyFill="1" applyBorder="1" applyAlignment="1" applyProtection="1">
      <alignment vertical="top"/>
      <protection locked="0"/>
    </xf>
    <xf numFmtId="0" fontId="19" fillId="0" borderId="18" xfId="3" applyFill="1" applyBorder="1" applyAlignment="1" applyProtection="1">
      <alignment vertical="center"/>
    </xf>
    <xf numFmtId="44" fontId="0" fillId="0" borderId="16" xfId="1" applyNumberFormat="1" applyFont="1" applyBorder="1" applyAlignment="1" applyProtection="1">
      <alignment vertical="center"/>
    </xf>
    <xf numFmtId="0" fontId="19" fillId="0" borderId="0" xfId="3" applyAlignment="1" applyProtection="1">
      <alignment vertical="center"/>
    </xf>
    <xf numFmtId="167" fontId="0" fillId="35" borderId="18" xfId="1" applyNumberFormat="1" applyFont="1" applyFill="1" applyBorder="1" applyAlignment="1" applyProtection="1">
      <alignment vertical="center"/>
      <protection locked="0"/>
    </xf>
    <xf numFmtId="0" fontId="19" fillId="0" borderId="16" xfId="3" applyFill="1" applyBorder="1" applyAlignment="1" applyProtection="1">
      <alignment vertical="center"/>
    </xf>
    <xf numFmtId="44" fontId="19" fillId="0" borderId="18" xfId="3" applyNumberFormat="1" applyBorder="1" applyAlignment="1" applyProtection="1">
      <alignment vertical="center"/>
    </xf>
    <xf numFmtId="168" fontId="0" fillId="0" borderId="16" xfId="2" applyNumberFormat="1" applyFont="1" applyBorder="1" applyAlignment="1" applyProtection="1">
      <alignment vertical="center"/>
    </xf>
    <xf numFmtId="0" fontId="19" fillId="35" borderId="0" xfId="3" applyFill="1" applyAlignment="1" applyProtection="1">
      <alignment vertical="top"/>
    </xf>
    <xf numFmtId="169" fontId="0" fillId="35" borderId="18" xfId="1" applyNumberFormat="1" applyFont="1" applyFill="1" applyBorder="1" applyAlignment="1" applyProtection="1">
      <alignment vertical="top"/>
      <protection locked="0"/>
    </xf>
    <xf numFmtId="0" fontId="19" fillId="0" borderId="0" xfId="3" applyFont="1" applyAlignment="1" applyProtection="1">
      <alignment vertical="top"/>
    </xf>
    <xf numFmtId="0" fontId="21" fillId="37" borderId="12" xfId="3" applyFont="1" applyFill="1" applyBorder="1" applyAlignment="1" applyProtection="1">
      <alignment vertical="top"/>
      <protection locked="0"/>
    </xf>
    <xf numFmtId="0" fontId="19" fillId="37" borderId="13" xfId="3" applyFill="1" applyBorder="1" applyAlignment="1" applyProtection="1">
      <alignment vertical="top"/>
    </xf>
    <xf numFmtId="0" fontId="19" fillId="37" borderId="13" xfId="3" applyFill="1" applyBorder="1" applyAlignment="1" applyProtection="1">
      <alignment vertical="top"/>
      <protection locked="0"/>
    </xf>
    <xf numFmtId="170" fontId="0" fillId="37" borderId="11" xfId="1" applyNumberFormat="1" applyFont="1" applyFill="1" applyBorder="1" applyAlignment="1" applyProtection="1">
      <alignment vertical="top"/>
      <protection locked="0"/>
    </xf>
    <xf numFmtId="0" fontId="19" fillId="37" borderId="11" xfId="3" applyFill="1" applyBorder="1" applyAlignment="1" applyProtection="1">
      <alignment vertical="center"/>
      <protection locked="0"/>
    </xf>
    <xf numFmtId="164" fontId="0" fillId="37" borderId="14" xfId="1" applyFont="1" applyFill="1" applyBorder="1" applyAlignment="1" applyProtection="1">
      <alignment vertical="center"/>
    </xf>
    <xf numFmtId="0" fontId="19" fillId="37" borderId="0" xfId="3" applyFill="1" applyAlignment="1" applyProtection="1">
      <alignment vertical="center"/>
    </xf>
    <xf numFmtId="170" fontId="0" fillId="37" borderId="11" xfId="1" applyNumberFormat="1" applyFont="1" applyFill="1" applyBorder="1" applyAlignment="1" applyProtection="1">
      <alignment vertical="center"/>
      <protection locked="0"/>
    </xf>
    <xf numFmtId="0" fontId="19" fillId="37" borderId="14" xfId="3" applyFill="1" applyBorder="1" applyAlignment="1" applyProtection="1">
      <alignment vertical="center"/>
      <protection locked="0"/>
    </xf>
    <xf numFmtId="164" fontId="21" fillId="37" borderId="11" xfId="3" applyNumberFormat="1" applyFont="1" applyFill="1" applyBorder="1" applyAlignment="1" applyProtection="1">
      <alignment vertical="center"/>
    </xf>
    <xf numFmtId="168" fontId="21" fillId="37" borderId="14" xfId="2" applyNumberFormat="1" applyFont="1" applyFill="1" applyBorder="1" applyAlignment="1" applyProtection="1">
      <alignment vertical="center"/>
    </xf>
    <xf numFmtId="0" fontId="19" fillId="0" borderId="0" xfId="3" applyFill="1" applyProtection="1"/>
    <xf numFmtId="0" fontId="19" fillId="35" borderId="0" xfId="3" applyFont="1" applyFill="1" applyAlignment="1" applyProtection="1">
      <alignment vertical="top" wrapText="1"/>
    </xf>
    <xf numFmtId="0" fontId="19" fillId="0" borderId="21" xfId="3" applyBorder="1" applyAlignment="1" applyProtection="1">
      <alignment vertical="center"/>
    </xf>
    <xf numFmtId="0" fontId="19" fillId="0" borderId="18" xfId="3" applyBorder="1" applyAlignment="1" applyProtection="1">
      <alignment vertical="center"/>
    </xf>
    <xf numFmtId="0" fontId="19" fillId="0" borderId="0" xfId="3" applyBorder="1" applyAlignment="1" applyProtection="1">
      <alignment vertical="center"/>
    </xf>
    <xf numFmtId="0" fontId="19" fillId="38" borderId="11" xfId="3" applyFill="1" applyBorder="1" applyAlignment="1" applyProtection="1">
      <alignment vertical="top"/>
    </xf>
    <xf numFmtId="0" fontId="19" fillId="38" borderId="11" xfId="3" applyFill="1" applyBorder="1" applyAlignment="1" applyProtection="1">
      <alignment vertical="center"/>
    </xf>
    <xf numFmtId="164" fontId="0" fillId="38" borderId="14" xfId="1" applyFont="1" applyFill="1" applyBorder="1" applyAlignment="1" applyProtection="1">
      <alignment vertical="center"/>
    </xf>
    <xf numFmtId="0" fontId="21" fillId="37" borderId="12" xfId="3" applyFont="1" applyFill="1" applyBorder="1" applyAlignment="1" applyProtection="1">
      <alignment vertical="top" wrapText="1"/>
    </xf>
    <xf numFmtId="0" fontId="19" fillId="37" borderId="13" xfId="3" applyFill="1" applyBorder="1" applyProtection="1"/>
    <xf numFmtId="0" fontId="19" fillId="37" borderId="11" xfId="3" applyFill="1" applyBorder="1" applyProtection="1"/>
    <xf numFmtId="0" fontId="19" fillId="37" borderId="11" xfId="3" applyFill="1" applyBorder="1" applyAlignment="1" applyProtection="1">
      <alignment vertical="center"/>
    </xf>
    <xf numFmtId="164" fontId="21" fillId="37" borderId="14" xfId="3" applyNumberFormat="1" applyFont="1" applyFill="1" applyBorder="1" applyAlignment="1" applyProtection="1">
      <alignment vertical="center"/>
    </xf>
    <xf numFmtId="0" fontId="19" fillId="37" borderId="14" xfId="3" applyFill="1" applyBorder="1" applyAlignment="1" applyProtection="1">
      <alignment vertical="center"/>
    </xf>
    <xf numFmtId="0" fontId="19" fillId="36" borderId="0" xfId="3" applyFill="1" applyAlignment="1" applyProtection="1">
      <alignment vertical="center"/>
      <protection locked="0"/>
    </xf>
    <xf numFmtId="0" fontId="19" fillId="0" borderId="0" xfId="3" applyFill="1" applyAlignment="1" applyProtection="1">
      <alignment vertical="center"/>
    </xf>
    <xf numFmtId="1" fontId="19" fillId="0" borderId="18" xfId="3" applyNumberFormat="1" applyFill="1" applyBorder="1" applyAlignment="1" applyProtection="1">
      <alignment vertical="center"/>
    </xf>
    <xf numFmtId="1" fontId="19" fillId="0" borderId="16" xfId="3" applyNumberFormat="1" applyFill="1" applyBorder="1" applyAlignment="1" applyProtection="1">
      <alignment vertical="center"/>
    </xf>
    <xf numFmtId="0" fontId="1" fillId="34" borderId="0" xfId="4" applyFill="1" applyProtection="1"/>
    <xf numFmtId="0" fontId="19" fillId="0" borderId="0" xfId="3" applyAlignment="1" applyProtection="1">
      <alignment vertical="center" wrapText="1"/>
    </xf>
    <xf numFmtId="0" fontId="19" fillId="37" borderId="11" xfId="3" applyFill="1" applyBorder="1" applyAlignment="1" applyProtection="1">
      <alignment vertical="top"/>
    </xf>
    <xf numFmtId="0" fontId="21" fillId="37" borderId="0" xfId="3" applyFont="1" applyFill="1" applyAlignment="1" applyProtection="1">
      <alignment vertical="center"/>
    </xf>
    <xf numFmtId="0" fontId="21" fillId="37" borderId="11" xfId="3" applyFont="1" applyFill="1" applyBorder="1" applyAlignment="1" applyProtection="1">
      <alignment vertical="center"/>
    </xf>
    <xf numFmtId="0" fontId="21" fillId="37" borderId="14" xfId="3" applyFont="1" applyFill="1" applyBorder="1" applyAlignment="1" applyProtection="1">
      <alignment vertical="center"/>
    </xf>
    <xf numFmtId="0" fontId="19" fillId="0" borderId="0" xfId="3" applyAlignment="1" applyProtection="1">
      <alignment vertical="top" wrapText="1"/>
    </xf>
    <xf numFmtId="167" fontId="19" fillId="35" borderId="18" xfId="1" applyNumberFormat="1" applyFill="1" applyBorder="1" applyAlignment="1" applyProtection="1">
      <alignment vertical="top"/>
      <protection locked="0"/>
    </xf>
    <xf numFmtId="44" fontId="19" fillId="0" borderId="16" xfId="1" applyNumberFormat="1" applyBorder="1" applyAlignment="1" applyProtection="1">
      <alignment vertical="center"/>
    </xf>
    <xf numFmtId="167" fontId="19" fillId="35" borderId="18" xfId="1" applyNumberFormat="1" applyFill="1" applyBorder="1" applyAlignment="1" applyProtection="1">
      <alignment vertical="center"/>
      <protection locked="0"/>
    </xf>
    <xf numFmtId="168" fontId="19" fillId="0" borderId="16" xfId="2" applyNumberFormat="1" applyBorder="1" applyAlignment="1" applyProtection="1">
      <alignment vertical="center"/>
    </xf>
    <xf numFmtId="167" fontId="19" fillId="0" borderId="18" xfId="1" applyNumberFormat="1" applyFill="1" applyBorder="1" applyAlignment="1" applyProtection="1">
      <alignment vertical="top"/>
      <protection locked="0"/>
    </xf>
    <xf numFmtId="1" fontId="19" fillId="0" borderId="18" xfId="3" applyNumberFormat="1" applyFont="1" applyFill="1" applyBorder="1" applyAlignment="1" applyProtection="1">
      <alignment vertical="center"/>
    </xf>
    <xf numFmtId="1" fontId="19" fillId="35" borderId="18" xfId="3" applyNumberFormat="1" applyFont="1" applyFill="1" applyBorder="1" applyAlignment="1" applyProtection="1">
      <alignment vertical="center"/>
    </xf>
    <xf numFmtId="0" fontId="19" fillId="39" borderId="22" xfId="3" applyFont="1" applyFill="1" applyBorder="1" applyProtection="1"/>
    <xf numFmtId="0" fontId="19" fillId="39" borderId="23" xfId="3" applyFill="1" applyBorder="1" applyAlignment="1" applyProtection="1">
      <alignment vertical="top"/>
    </xf>
    <xf numFmtId="0" fontId="19" fillId="39" borderId="23" xfId="3" applyFill="1" applyBorder="1" applyAlignment="1" applyProtection="1">
      <alignment vertical="top"/>
      <protection locked="0"/>
    </xf>
    <xf numFmtId="170" fontId="19" fillId="39" borderId="24" xfId="1" applyNumberFormat="1" applyFill="1" applyBorder="1" applyAlignment="1" applyProtection="1">
      <alignment vertical="top"/>
      <protection locked="0"/>
    </xf>
    <xf numFmtId="0" fontId="19" fillId="39" borderId="25" xfId="3" applyFill="1" applyBorder="1" applyAlignment="1" applyProtection="1">
      <alignment vertical="center"/>
      <protection locked="0"/>
    </xf>
    <xf numFmtId="44" fontId="19" fillId="39" borderId="23" xfId="1" applyNumberFormat="1" applyFill="1" applyBorder="1" applyAlignment="1" applyProtection="1">
      <alignment vertical="center"/>
    </xf>
    <xf numFmtId="0" fontId="19" fillId="39" borderId="23" xfId="3" applyFill="1" applyBorder="1" applyAlignment="1" applyProtection="1">
      <alignment vertical="center"/>
    </xf>
    <xf numFmtId="0" fontId="19" fillId="39" borderId="24" xfId="3" applyFill="1" applyBorder="1" applyAlignment="1" applyProtection="1">
      <alignment vertical="center"/>
      <protection locked="0"/>
    </xf>
    <xf numFmtId="164" fontId="19" fillId="39" borderId="23" xfId="1" applyFill="1" applyBorder="1" applyAlignment="1" applyProtection="1">
      <alignment vertical="center"/>
    </xf>
    <xf numFmtId="164" fontId="19" fillId="39" borderId="24" xfId="3" applyNumberFormat="1" applyFill="1" applyBorder="1" applyAlignment="1" applyProtection="1">
      <alignment vertical="center"/>
    </xf>
    <xf numFmtId="168" fontId="19" fillId="39" borderId="26" xfId="2" applyNumberFormat="1" applyFill="1" applyBorder="1" applyAlignment="1" applyProtection="1">
      <alignment vertical="center"/>
    </xf>
    <xf numFmtId="0" fontId="21" fillId="0" borderId="0" xfId="3" applyFont="1" applyFill="1" applyAlignment="1" applyProtection="1">
      <alignment vertical="top"/>
    </xf>
    <xf numFmtId="9" fontId="19" fillId="0" borderId="18" xfId="3" applyNumberFormat="1" applyFill="1" applyBorder="1" applyAlignment="1" applyProtection="1">
      <alignment vertical="top"/>
    </xf>
    <xf numFmtId="9" fontId="19" fillId="0" borderId="0" xfId="3" applyNumberFormat="1" applyFill="1" applyBorder="1" applyAlignment="1" applyProtection="1">
      <alignment vertical="center"/>
    </xf>
    <xf numFmtId="44" fontId="21" fillId="0" borderId="21" xfId="3" applyNumberFormat="1" applyFont="1" applyFill="1" applyBorder="1" applyAlignment="1" applyProtection="1">
      <alignment vertical="center"/>
    </xf>
    <xf numFmtId="0" fontId="21" fillId="0" borderId="18" xfId="3" applyFont="1" applyFill="1" applyBorder="1" applyAlignment="1" applyProtection="1">
      <alignment vertical="center"/>
    </xf>
    <xf numFmtId="9" fontId="21" fillId="0" borderId="18" xfId="3" applyNumberFormat="1" applyFont="1" applyFill="1" applyBorder="1" applyAlignment="1" applyProtection="1">
      <alignment vertical="center"/>
    </xf>
    <xf numFmtId="44" fontId="21" fillId="0" borderId="16" xfId="3" applyNumberFormat="1" applyFont="1" applyFill="1" applyBorder="1" applyAlignment="1" applyProtection="1">
      <alignment vertical="center"/>
    </xf>
    <xf numFmtId="0" fontId="21" fillId="0" borderId="0" xfId="3" applyFont="1" applyFill="1" applyBorder="1" applyAlignment="1" applyProtection="1">
      <alignment vertical="center"/>
    </xf>
    <xf numFmtId="44" fontId="21" fillId="0" borderId="18" xfId="3" applyNumberFormat="1" applyFont="1" applyFill="1" applyBorder="1" applyAlignment="1" applyProtection="1">
      <alignment vertical="center"/>
    </xf>
    <xf numFmtId="168" fontId="21" fillId="0" borderId="16" xfId="2" applyNumberFormat="1" applyFont="1" applyFill="1" applyBorder="1" applyAlignment="1" applyProtection="1">
      <alignment vertical="center"/>
    </xf>
    <xf numFmtId="0" fontId="19" fillId="0" borderId="0" xfId="3" applyFont="1" applyFill="1" applyAlignment="1" applyProtection="1">
      <alignment horizontal="left" vertical="top" indent="1"/>
    </xf>
    <xf numFmtId="9" fontId="19" fillId="0" borderId="18" xfId="3" applyNumberFormat="1" applyFill="1" applyBorder="1" applyAlignment="1" applyProtection="1">
      <alignment vertical="top"/>
      <protection locked="0"/>
    </xf>
    <xf numFmtId="44" fontId="19" fillId="0" borderId="21" xfId="3" applyNumberFormat="1" applyFont="1" applyFill="1" applyBorder="1" applyAlignment="1" applyProtection="1">
      <alignment vertical="center"/>
    </xf>
    <xf numFmtId="0" fontId="19" fillId="0" borderId="18" xfId="3" applyFont="1" applyFill="1" applyBorder="1" applyAlignment="1" applyProtection="1">
      <alignment vertical="center"/>
    </xf>
    <xf numFmtId="9" fontId="19" fillId="0" borderId="18" xfId="3" applyNumberFormat="1" applyFont="1" applyFill="1" applyBorder="1" applyAlignment="1" applyProtection="1">
      <alignment vertical="top"/>
      <protection locked="0"/>
    </xf>
    <xf numFmtId="9" fontId="19" fillId="0" borderId="18" xfId="3" applyNumberFormat="1" applyFont="1" applyFill="1" applyBorder="1" applyAlignment="1" applyProtection="1">
      <alignment vertical="center"/>
    </xf>
    <xf numFmtId="44" fontId="19" fillId="0" borderId="16" xfId="3" applyNumberFormat="1" applyFont="1" applyFill="1" applyBorder="1" applyAlignment="1" applyProtection="1">
      <alignment vertical="center"/>
    </xf>
    <xf numFmtId="0" fontId="19" fillId="0" borderId="0" xfId="3" applyFont="1" applyFill="1" applyBorder="1" applyAlignment="1" applyProtection="1">
      <alignment vertical="center"/>
    </xf>
    <xf numFmtId="44" fontId="19" fillId="0" borderId="18" xfId="3" applyNumberFormat="1" applyFont="1" applyFill="1" applyBorder="1" applyAlignment="1" applyProtection="1">
      <alignment vertical="center"/>
    </xf>
    <xf numFmtId="168" fontId="19" fillId="0" borderId="16" xfId="2" applyNumberFormat="1" applyFont="1" applyFill="1" applyBorder="1" applyAlignment="1" applyProtection="1">
      <alignment vertical="center"/>
    </xf>
    <xf numFmtId="0" fontId="21" fillId="0" borderId="0" xfId="3" applyFont="1" applyAlignment="1" applyProtection="1">
      <alignment horizontal="left" vertical="top" wrapText="1" indent="1"/>
    </xf>
    <xf numFmtId="0" fontId="19" fillId="0" borderId="18" xfId="3" applyFill="1" applyBorder="1" applyAlignment="1" applyProtection="1">
      <alignment vertical="top"/>
    </xf>
    <xf numFmtId="0" fontId="19" fillId="0" borderId="0" xfId="3" applyFill="1" applyBorder="1" applyAlignment="1" applyProtection="1">
      <alignment vertical="center"/>
    </xf>
    <xf numFmtId="44" fontId="29" fillId="0" borderId="21" xfId="3" applyNumberFormat="1" applyFont="1" applyFill="1" applyBorder="1" applyAlignment="1" applyProtection="1">
      <alignment vertical="center"/>
    </xf>
    <xf numFmtId="44" fontId="29" fillId="0" borderId="16" xfId="3" applyNumberFormat="1" applyFont="1" applyFill="1" applyBorder="1" applyAlignment="1" applyProtection="1">
      <alignment vertical="center"/>
    </xf>
    <xf numFmtId="44" fontId="29" fillId="0" borderId="18" xfId="3" applyNumberFormat="1" applyFont="1" applyFill="1" applyBorder="1" applyAlignment="1" applyProtection="1">
      <alignment vertical="center"/>
    </xf>
    <xf numFmtId="168" fontId="29" fillId="0" borderId="16" xfId="2" applyNumberFormat="1" applyFont="1" applyFill="1" applyBorder="1" applyAlignment="1" applyProtection="1">
      <alignment vertical="center"/>
    </xf>
    <xf numFmtId="0" fontId="19" fillId="40" borderId="0" xfId="3" applyFill="1" applyAlignment="1" applyProtection="1">
      <alignment vertical="top"/>
    </xf>
    <xf numFmtId="0" fontId="19" fillId="40" borderId="18" xfId="3" applyFill="1" applyBorder="1" applyAlignment="1" applyProtection="1">
      <alignment vertical="top"/>
    </xf>
    <xf numFmtId="0" fontId="19" fillId="40" borderId="0" xfId="3" applyFill="1" applyBorder="1" applyAlignment="1" applyProtection="1">
      <alignment vertical="center"/>
    </xf>
    <xf numFmtId="44" fontId="21" fillId="40" borderId="21" xfId="3" applyNumberFormat="1" applyFont="1" applyFill="1" applyBorder="1" applyAlignment="1" applyProtection="1">
      <alignment vertical="center"/>
    </xf>
    <xf numFmtId="0" fontId="21" fillId="40" borderId="18" xfId="3" applyFont="1" applyFill="1" applyBorder="1" applyAlignment="1" applyProtection="1">
      <alignment vertical="center"/>
    </xf>
    <xf numFmtId="44" fontId="21" fillId="40" borderId="16" xfId="3" applyNumberFormat="1" applyFont="1" applyFill="1" applyBorder="1" applyAlignment="1" applyProtection="1">
      <alignment vertical="center"/>
    </xf>
    <xf numFmtId="0" fontId="21" fillId="40" borderId="0" xfId="3" applyFont="1" applyFill="1" applyBorder="1" applyAlignment="1" applyProtection="1">
      <alignment vertical="center"/>
    </xf>
    <xf numFmtId="44" fontId="21" fillId="40" borderId="18" xfId="3" applyNumberFormat="1" applyFont="1" applyFill="1" applyBorder="1" applyAlignment="1" applyProtection="1">
      <alignment vertical="center"/>
    </xf>
    <xf numFmtId="168" fontId="21" fillId="40" borderId="16" xfId="2" applyNumberFormat="1" applyFont="1" applyFill="1" applyBorder="1" applyAlignment="1" applyProtection="1">
      <alignment vertical="center"/>
    </xf>
    <xf numFmtId="170" fontId="19" fillId="39" borderId="25" xfId="1" applyNumberFormat="1" applyFill="1" applyBorder="1" applyAlignment="1" applyProtection="1">
      <alignment vertical="top"/>
      <protection locked="0"/>
    </xf>
    <xf numFmtId="0" fontId="19" fillId="39" borderId="23" xfId="3" applyFill="1" applyBorder="1" applyAlignment="1" applyProtection="1">
      <alignment vertical="center"/>
      <protection locked="0"/>
    </xf>
    <xf numFmtId="164" fontId="19" fillId="39" borderId="27" xfId="1" applyFill="1" applyBorder="1" applyAlignment="1" applyProtection="1">
      <alignment vertical="center"/>
    </xf>
    <xf numFmtId="0" fontId="19" fillId="39" borderId="25" xfId="3" applyFill="1" applyBorder="1" applyAlignment="1" applyProtection="1">
      <alignment vertical="center"/>
    </xf>
    <xf numFmtId="164" fontId="19" fillId="39" borderId="24" xfId="1" applyFill="1" applyBorder="1" applyAlignment="1" applyProtection="1">
      <alignment vertical="center"/>
    </xf>
    <xf numFmtId="164" fontId="19" fillId="39" borderId="25" xfId="3" applyNumberFormat="1" applyFill="1" applyBorder="1" applyAlignment="1" applyProtection="1">
      <alignment vertical="center"/>
    </xf>
    <xf numFmtId="44" fontId="21" fillId="0" borderId="28" xfId="3" applyNumberFormat="1" applyFont="1" applyFill="1" applyBorder="1" applyAlignment="1" applyProtection="1">
      <alignment vertical="center"/>
    </xf>
    <xf numFmtId="9" fontId="19" fillId="0" borderId="18" xfId="3" applyNumberFormat="1" applyFont="1" applyFill="1" applyBorder="1" applyAlignment="1" applyProtection="1">
      <alignment vertical="center"/>
      <protection locked="0"/>
    </xf>
    <xf numFmtId="0" fontId="19" fillId="40" borderId="19" xfId="3" applyFill="1" applyBorder="1" applyAlignment="1" applyProtection="1">
      <alignment vertical="top"/>
    </xf>
    <xf numFmtId="0" fontId="19" fillId="40" borderId="29" xfId="3" applyFill="1" applyBorder="1" applyAlignment="1" applyProtection="1">
      <alignment vertical="center"/>
    </xf>
    <xf numFmtId="44" fontId="21" fillId="40" borderId="30" xfId="3" applyNumberFormat="1" applyFont="1" applyFill="1" applyBorder="1" applyAlignment="1" applyProtection="1">
      <alignment vertical="center"/>
    </xf>
    <xf numFmtId="0" fontId="21" fillId="40" borderId="19" xfId="3" applyFont="1" applyFill="1" applyBorder="1" applyAlignment="1" applyProtection="1">
      <alignment vertical="center"/>
    </xf>
    <xf numFmtId="44" fontId="21" fillId="40" borderId="20" xfId="3" applyNumberFormat="1" applyFont="1" applyFill="1" applyBorder="1" applyAlignment="1" applyProtection="1">
      <alignment vertical="center"/>
    </xf>
    <xf numFmtId="0" fontId="21" fillId="40" borderId="29" xfId="3" applyFont="1" applyFill="1" applyBorder="1" applyAlignment="1" applyProtection="1">
      <alignment vertical="center"/>
    </xf>
    <xf numFmtId="44" fontId="21" fillId="40" borderId="19" xfId="3" applyNumberFormat="1" applyFont="1" applyFill="1" applyBorder="1" applyAlignment="1" applyProtection="1">
      <alignment vertical="center"/>
    </xf>
    <xf numFmtId="168" fontId="21" fillId="40" borderId="20" xfId="2" applyNumberFormat="1" applyFont="1" applyFill="1" applyBorder="1" applyAlignment="1" applyProtection="1">
      <alignment vertical="center"/>
    </xf>
    <xf numFmtId="44" fontId="19" fillId="39" borderId="25" xfId="3" applyNumberFormat="1" applyFill="1" applyBorder="1" applyAlignment="1" applyProtection="1">
      <alignment vertical="center"/>
    </xf>
    <xf numFmtId="10" fontId="19" fillId="39" borderId="26" xfId="2" applyNumberFormat="1" applyFill="1" applyBorder="1" applyAlignment="1" applyProtection="1">
      <alignment vertical="center"/>
    </xf>
    <xf numFmtId="164" fontId="19" fillId="0" borderId="0" xfId="3" applyNumberFormat="1" applyProtection="1"/>
    <xf numFmtId="10" fontId="19" fillId="35" borderId="11" xfId="2" applyNumberFormat="1" applyFill="1" applyBorder="1" applyProtection="1">
      <protection locked="0"/>
    </xf>
    <xf numFmtId="0" fontId="30" fillId="0" borderId="0" xfId="3" applyFont="1" applyProtection="1"/>
    <xf numFmtId="168" fontId="22" fillId="0" borderId="0" xfId="3" applyNumberFormat="1" applyFont="1" applyAlignment="1">
      <alignment horizontal="right" vertical="top"/>
    </xf>
    <xf numFmtId="0" fontId="23" fillId="33" borderId="0" xfId="3" applyFont="1" applyFill="1" applyBorder="1" applyAlignment="1" applyProtection="1"/>
    <xf numFmtId="171" fontId="22" fillId="35" borderId="10" xfId="3" applyNumberFormat="1" applyFont="1" applyFill="1" applyBorder="1" applyAlignment="1">
      <alignment horizontal="right" vertical="top"/>
    </xf>
    <xf numFmtId="0" fontId="19" fillId="33" borderId="0" xfId="3" applyFill="1" applyBorder="1" applyAlignment="1" applyProtection="1">
      <alignment horizontal="left" indent="1"/>
    </xf>
    <xf numFmtId="0" fontId="26" fillId="33" borderId="0" xfId="3" applyFont="1" applyFill="1" applyBorder="1" applyAlignment="1" applyProtection="1"/>
    <xf numFmtId="171" fontId="22" fillId="35" borderId="0" xfId="3" applyNumberFormat="1" applyFont="1" applyFill="1" applyAlignment="1">
      <alignment horizontal="right" vertical="top"/>
    </xf>
    <xf numFmtId="168" fontId="19" fillId="0" borderId="0" xfId="3" applyNumberFormat="1"/>
    <xf numFmtId="168" fontId="26" fillId="0" borderId="0" xfId="3" applyNumberFormat="1" applyFont="1" applyAlignment="1" applyProtection="1">
      <alignment horizontal="center"/>
    </xf>
    <xf numFmtId="168" fontId="19" fillId="0" borderId="0" xfId="3" applyNumberFormat="1" applyProtection="1"/>
    <xf numFmtId="167" fontId="19" fillId="38" borderId="11" xfId="3" applyNumberFormat="1" applyFill="1" applyBorder="1" applyAlignment="1" applyProtection="1">
      <alignment vertical="top"/>
    </xf>
    <xf numFmtId="44" fontId="19" fillId="39" borderId="27" xfId="1" applyNumberFormat="1" applyFill="1" applyBorder="1" applyAlignment="1" applyProtection="1">
      <alignment vertical="center"/>
    </xf>
    <xf numFmtId="44" fontId="19" fillId="33" borderId="0" xfId="3" applyNumberFormat="1" applyFill="1" applyBorder="1" applyProtection="1"/>
    <xf numFmtId="44" fontId="21" fillId="0" borderId="0" xfId="3" applyNumberFormat="1" applyFont="1"/>
    <xf numFmtId="44" fontId="19" fillId="0" borderId="0" xfId="3" applyNumberFormat="1" applyProtection="1"/>
    <xf numFmtId="44" fontId="19" fillId="0" borderId="0" xfId="3" applyNumberFormat="1"/>
    <xf numFmtId="44" fontId="26" fillId="0" borderId="0" xfId="3" applyNumberFormat="1" applyFont="1" applyAlignment="1" applyProtection="1">
      <alignment horizontal="center"/>
    </xf>
    <xf numFmtId="44" fontId="21" fillId="0" borderId="16" xfId="3" applyNumberFormat="1" applyFont="1" applyBorder="1" applyAlignment="1" applyProtection="1">
      <alignment horizontal="center"/>
    </xf>
    <xf numFmtId="44" fontId="21" fillId="0" borderId="20" xfId="3" quotePrefix="1" applyNumberFormat="1" applyFont="1" applyBorder="1" applyAlignment="1" applyProtection="1">
      <alignment horizontal="center"/>
    </xf>
    <xf numFmtId="44" fontId="0" fillId="37" borderId="14" xfId="1" applyNumberFormat="1" applyFont="1" applyFill="1" applyBorder="1" applyAlignment="1" applyProtection="1">
      <alignment vertical="center"/>
    </xf>
    <xf numFmtId="44" fontId="21" fillId="37" borderId="11" xfId="3" applyNumberFormat="1" applyFont="1" applyFill="1" applyBorder="1" applyAlignment="1" applyProtection="1">
      <alignment vertical="center"/>
    </xf>
    <xf numFmtId="44" fontId="0" fillId="38" borderId="14" xfId="1" applyNumberFormat="1" applyFont="1" applyFill="1" applyBorder="1" applyAlignment="1" applyProtection="1">
      <alignment vertical="center"/>
    </xf>
    <xf numFmtId="44" fontId="21" fillId="37" borderId="14" xfId="3" applyNumberFormat="1" applyFont="1" applyFill="1" applyBorder="1" applyAlignment="1" applyProtection="1">
      <alignment vertical="center"/>
    </xf>
    <xf numFmtId="44" fontId="19" fillId="39" borderId="24" xfId="3" applyNumberFormat="1" applyFill="1" applyBorder="1" applyAlignment="1" applyProtection="1">
      <alignment vertical="center"/>
    </xf>
    <xf numFmtId="44" fontId="19" fillId="39" borderId="24" xfId="1" applyNumberFormat="1" applyFill="1" applyBorder="1" applyAlignment="1" applyProtection="1">
      <alignment vertical="center"/>
    </xf>
    <xf numFmtId="167" fontId="19" fillId="35" borderId="18" xfId="1" applyNumberFormat="1" applyFont="1" applyFill="1" applyBorder="1" applyAlignment="1" applyProtection="1">
      <alignment vertical="center"/>
      <protection locked="0"/>
    </xf>
    <xf numFmtId="167" fontId="0" fillId="37" borderId="11" xfId="1" applyNumberFormat="1" applyFont="1" applyFill="1" applyBorder="1" applyAlignment="1" applyProtection="1">
      <alignment vertical="top"/>
      <protection locked="0"/>
    </xf>
    <xf numFmtId="167" fontId="0" fillId="37" borderId="11" xfId="1" applyNumberFormat="1" applyFont="1" applyFill="1" applyBorder="1" applyAlignment="1" applyProtection="1">
      <alignment vertical="center"/>
      <protection locked="0"/>
    </xf>
    <xf numFmtId="167" fontId="19" fillId="37" borderId="11" xfId="3" applyNumberFormat="1" applyFill="1" applyBorder="1" applyProtection="1"/>
    <xf numFmtId="167" fontId="19" fillId="37" borderId="11" xfId="3" applyNumberFormat="1" applyFill="1" applyBorder="1" applyAlignment="1" applyProtection="1">
      <alignment vertical="center"/>
    </xf>
    <xf numFmtId="167" fontId="19" fillId="37" borderId="11" xfId="3" applyNumberFormat="1" applyFill="1" applyBorder="1" applyAlignment="1" applyProtection="1">
      <alignment vertical="top"/>
    </xf>
    <xf numFmtId="167" fontId="21" fillId="37" borderId="11" xfId="3" applyNumberFormat="1" applyFont="1" applyFill="1" applyBorder="1" applyAlignment="1" applyProtection="1">
      <alignment vertical="center"/>
    </xf>
    <xf numFmtId="172" fontId="19" fillId="39" borderId="23" xfId="1" applyNumberFormat="1" applyFill="1" applyBorder="1" applyAlignment="1" applyProtection="1">
      <alignment vertical="center"/>
    </xf>
    <xf numFmtId="0" fontId="19" fillId="34" borderId="0" xfId="3" applyFont="1" applyFill="1" applyProtection="1"/>
    <xf numFmtId="0" fontId="19" fillId="34" borderId="0" xfId="3" applyFill="1" applyProtection="1"/>
    <xf numFmtId="170" fontId="0" fillId="35" borderId="18" xfId="1" applyNumberFormat="1" applyFont="1" applyFill="1" applyBorder="1" applyAlignment="1" applyProtection="1">
      <alignment vertical="top"/>
      <protection locked="0"/>
    </xf>
    <xf numFmtId="164" fontId="0" fillId="0" borderId="16" xfId="1" applyFont="1" applyBorder="1" applyAlignment="1" applyProtection="1">
      <alignment vertical="center"/>
    </xf>
    <xf numFmtId="170" fontId="0" fillId="35" borderId="18" xfId="1" applyNumberFormat="1" applyFont="1" applyFill="1" applyBorder="1" applyAlignment="1" applyProtection="1">
      <alignment vertical="center"/>
      <protection locked="0"/>
    </xf>
    <xf numFmtId="164" fontId="19" fillId="0" borderId="18" xfId="3" applyNumberFormat="1" applyBorder="1" applyAlignment="1" applyProtection="1">
      <alignment vertical="center"/>
    </xf>
    <xf numFmtId="10" fontId="0" fillId="0" borderId="16" xfId="2" applyNumberFormat="1" applyFont="1" applyBorder="1" applyAlignment="1" applyProtection="1">
      <alignment vertical="center"/>
    </xf>
    <xf numFmtId="10" fontId="21" fillId="37" borderId="14" xfId="2" applyNumberFormat="1" applyFont="1" applyFill="1" applyBorder="1" applyAlignment="1" applyProtection="1">
      <alignment vertical="center"/>
    </xf>
    <xf numFmtId="170" fontId="19" fillId="35" borderId="18" xfId="1" applyNumberFormat="1" applyFill="1" applyBorder="1" applyAlignment="1" applyProtection="1">
      <alignment vertical="top"/>
      <protection locked="0"/>
    </xf>
    <xf numFmtId="164" fontId="19" fillId="0" borderId="16" xfId="1" applyBorder="1" applyAlignment="1" applyProtection="1">
      <alignment vertical="center"/>
    </xf>
    <xf numFmtId="170" fontId="19" fillId="35" borderId="18" xfId="1" applyNumberFormat="1" applyFill="1" applyBorder="1" applyAlignment="1" applyProtection="1">
      <alignment vertical="center"/>
      <protection locked="0"/>
    </xf>
    <xf numFmtId="10" fontId="19" fillId="0" borderId="16" xfId="2" applyNumberFormat="1" applyBorder="1" applyAlignment="1" applyProtection="1">
      <alignment vertical="center"/>
    </xf>
    <xf numFmtId="170" fontId="19" fillId="0" borderId="18" xfId="1" applyNumberFormat="1" applyFill="1" applyBorder="1" applyAlignment="1" applyProtection="1">
      <alignment vertical="top"/>
      <protection locked="0"/>
    </xf>
    <xf numFmtId="164" fontId="21" fillId="0" borderId="21" xfId="3" applyNumberFormat="1" applyFont="1" applyFill="1" applyBorder="1" applyAlignment="1" applyProtection="1">
      <alignment vertical="center"/>
    </xf>
    <xf numFmtId="164" fontId="21" fillId="0" borderId="16" xfId="3" applyNumberFormat="1" applyFont="1" applyFill="1" applyBorder="1" applyAlignment="1" applyProtection="1">
      <alignment vertical="center"/>
    </xf>
    <xf numFmtId="164" fontId="21" fillId="0" borderId="18" xfId="3" applyNumberFormat="1" applyFont="1" applyFill="1" applyBorder="1" applyAlignment="1" applyProtection="1">
      <alignment vertical="center"/>
    </xf>
    <xf numFmtId="10" fontId="21" fillId="0" borderId="16" xfId="2" applyNumberFormat="1" applyFont="1" applyFill="1" applyBorder="1" applyAlignment="1" applyProtection="1">
      <alignment vertical="center"/>
    </xf>
    <xf numFmtId="164" fontId="19" fillId="0" borderId="21" xfId="3" applyNumberFormat="1" applyFont="1" applyFill="1" applyBorder="1" applyAlignment="1" applyProtection="1">
      <alignment vertical="center"/>
    </xf>
    <xf numFmtId="164" fontId="19" fillId="0" borderId="16" xfId="3" applyNumberFormat="1" applyFont="1" applyFill="1" applyBorder="1" applyAlignment="1" applyProtection="1">
      <alignment vertical="center"/>
    </xf>
    <xf numFmtId="164" fontId="19" fillId="0" borderId="18" xfId="3" applyNumberFormat="1" applyFont="1" applyFill="1" applyBorder="1" applyAlignment="1" applyProtection="1">
      <alignment vertical="center"/>
    </xf>
    <xf numFmtId="10" fontId="19" fillId="0" borderId="16" xfId="2" applyNumberFormat="1" applyFont="1" applyFill="1" applyBorder="1" applyAlignment="1" applyProtection="1">
      <alignment vertical="center"/>
    </xf>
    <xf numFmtId="164" fontId="29" fillId="0" borderId="21" xfId="3" applyNumberFormat="1" applyFont="1" applyFill="1" applyBorder="1" applyAlignment="1" applyProtection="1">
      <alignment vertical="center"/>
    </xf>
    <xf numFmtId="164" fontId="29" fillId="0" borderId="16" xfId="3" applyNumberFormat="1" applyFont="1" applyFill="1" applyBorder="1" applyAlignment="1" applyProtection="1">
      <alignment vertical="center"/>
    </xf>
    <xf numFmtId="164" fontId="29" fillId="0" borderId="18" xfId="3" applyNumberFormat="1" applyFont="1" applyFill="1" applyBorder="1" applyAlignment="1" applyProtection="1">
      <alignment vertical="center"/>
    </xf>
    <xf numFmtId="10" fontId="29" fillId="0" borderId="16" xfId="2" applyNumberFormat="1" applyFont="1" applyFill="1" applyBorder="1" applyAlignment="1" applyProtection="1">
      <alignment vertical="center"/>
    </xf>
    <xf numFmtId="164" fontId="21" fillId="40" borderId="21" xfId="3" applyNumberFormat="1" applyFont="1" applyFill="1" applyBorder="1" applyAlignment="1" applyProtection="1">
      <alignment vertical="center"/>
    </xf>
    <xf numFmtId="164" fontId="21" fillId="40" borderId="16" xfId="3" applyNumberFormat="1" applyFont="1" applyFill="1" applyBorder="1" applyAlignment="1" applyProtection="1">
      <alignment vertical="center"/>
    </xf>
    <xf numFmtId="164" fontId="21" fillId="40" borderId="18" xfId="3" applyNumberFormat="1" applyFont="1" applyFill="1" applyBorder="1" applyAlignment="1" applyProtection="1">
      <alignment vertical="center"/>
    </xf>
    <xf numFmtId="10" fontId="21" fillId="40" borderId="16" xfId="2" applyNumberFormat="1" applyFont="1" applyFill="1" applyBorder="1" applyAlignment="1" applyProtection="1">
      <alignment vertical="center"/>
    </xf>
    <xf numFmtId="164" fontId="21" fillId="0" borderId="28" xfId="3" applyNumberFormat="1" applyFont="1" applyFill="1" applyBorder="1" applyAlignment="1" applyProtection="1">
      <alignment vertical="center"/>
    </xf>
    <xf numFmtId="164" fontId="21" fillId="40" borderId="30" xfId="3" applyNumberFormat="1" applyFont="1" applyFill="1" applyBorder="1" applyAlignment="1" applyProtection="1">
      <alignment vertical="center"/>
    </xf>
    <xf numFmtId="164" fontId="21" fillId="40" borderId="20" xfId="3" applyNumberFormat="1" applyFont="1" applyFill="1" applyBorder="1" applyAlignment="1" applyProtection="1">
      <alignment vertical="center"/>
    </xf>
    <xf numFmtId="164" fontId="21" fillId="40" borderId="19" xfId="3" applyNumberFormat="1" applyFont="1" applyFill="1" applyBorder="1" applyAlignment="1" applyProtection="1">
      <alignment vertical="center"/>
    </xf>
    <xf numFmtId="10" fontId="21" fillId="40" borderId="20" xfId="2" applyNumberFormat="1" applyFont="1" applyFill="1" applyBorder="1" applyAlignment="1" applyProtection="1">
      <alignment vertical="center"/>
    </xf>
    <xf numFmtId="1" fontId="19" fillId="34" borderId="18" xfId="3" applyNumberFormat="1" applyFont="1" applyFill="1" applyBorder="1" applyAlignment="1" applyProtection="1">
      <alignment vertical="center"/>
    </xf>
    <xf numFmtId="0" fontId="1" fillId="34" borderId="0" xfId="4" applyFont="1" applyFill="1" applyBorder="1" applyAlignment="1" applyProtection="1">
      <alignment horizontal="center" wrapText="1"/>
    </xf>
    <xf numFmtId="0" fontId="1" fillId="34" borderId="0" xfId="4" applyFill="1" applyBorder="1" applyAlignment="1" applyProtection="1">
      <alignment horizontal="center" wrapText="1"/>
    </xf>
    <xf numFmtId="0" fontId="24" fillId="0" borderId="0" xfId="3" applyFont="1" applyAlignment="1" applyProtection="1">
      <alignment horizontal="center"/>
    </xf>
    <xf numFmtId="0" fontId="26" fillId="35" borderId="0" xfId="3" applyFont="1" applyFill="1" applyAlignment="1" applyProtection="1">
      <alignment horizontal="left" vertical="center"/>
    </xf>
    <xf numFmtId="0" fontId="21" fillId="0" borderId="12" xfId="3" applyFont="1" applyBorder="1" applyAlignment="1" applyProtection="1">
      <alignment horizontal="center"/>
    </xf>
    <xf numFmtId="0" fontId="21" fillId="0" borderId="13" xfId="3" applyFont="1" applyBorder="1" applyAlignment="1" applyProtection="1">
      <alignment horizontal="center"/>
    </xf>
    <xf numFmtId="0" fontId="21" fillId="0" borderId="14" xfId="3" applyFont="1" applyBorder="1" applyAlignment="1" applyProtection="1">
      <alignment horizontal="center"/>
    </xf>
    <xf numFmtId="0" fontId="21" fillId="40" borderId="0" xfId="3" applyFont="1" applyFill="1" applyAlignment="1" applyProtection="1">
      <alignment horizontal="left" vertical="top" wrapText="1"/>
    </xf>
    <xf numFmtId="0" fontId="21" fillId="0" borderId="0" xfId="3" applyFont="1" applyAlignment="1" applyProtection="1">
      <alignment horizontal="center" wrapText="1"/>
    </xf>
    <xf numFmtId="0" fontId="19" fillId="0" borderId="0" xfId="3" applyAlignment="1">
      <alignment horizontal="center" wrapText="1"/>
    </xf>
    <xf numFmtId="0" fontId="21" fillId="0" borderId="18" xfId="3" applyFont="1" applyFill="1" applyBorder="1" applyAlignment="1" applyProtection="1">
      <alignment horizontal="center" wrapText="1"/>
    </xf>
    <xf numFmtId="0" fontId="19" fillId="0" borderId="19" xfId="3" applyBorder="1" applyAlignment="1">
      <alignment wrapText="1"/>
    </xf>
    <xf numFmtId="0" fontId="21" fillId="0" borderId="16" xfId="3" applyFont="1" applyFill="1" applyBorder="1" applyAlignment="1" applyProtection="1">
      <alignment horizontal="center" wrapText="1"/>
    </xf>
    <xf numFmtId="0" fontId="19" fillId="0" borderId="20" xfId="3" applyBorder="1" applyAlignment="1">
      <alignment wrapText="1"/>
    </xf>
    <xf numFmtId="0" fontId="27" fillId="0" borderId="0" xfId="3" applyFont="1" applyAlignment="1" applyProtection="1">
      <alignment horizontal="left" vertical="top" wrapText="1" indent="1"/>
    </xf>
    <xf numFmtId="0" fontId="23" fillId="33" borderId="0" xfId="3" applyFont="1" applyFill="1" applyBorder="1" applyAlignment="1" applyProtection="1">
      <alignment horizontal="left" indent="7"/>
    </xf>
    <xf numFmtId="168" fontId="21" fillId="0" borderId="16" xfId="3" applyNumberFormat="1" applyFont="1" applyFill="1" applyBorder="1" applyAlignment="1" applyProtection="1">
      <alignment horizontal="center" wrapText="1"/>
    </xf>
    <xf numFmtId="168" fontId="19" fillId="0" borderId="20" xfId="3" applyNumberFormat="1" applyBorder="1" applyAlignment="1">
      <alignment wrapText="1"/>
    </xf>
    <xf numFmtId="44" fontId="24" fillId="0" borderId="0" xfId="3" applyNumberFormat="1" applyFont="1" applyAlignment="1" applyProtection="1">
      <alignment horizontal="center"/>
    </xf>
    <xf numFmtId="44" fontId="26" fillId="35" borderId="0" xfId="3" applyNumberFormat="1" applyFont="1" applyFill="1" applyAlignment="1" applyProtection="1">
      <alignment horizontal="left" vertical="center"/>
    </xf>
    <xf numFmtId="44" fontId="21" fillId="0" borderId="14" xfId="3" applyNumberFormat="1" applyFont="1" applyBorder="1" applyAlignment="1" applyProtection="1">
      <alignment horizontal="center"/>
    </xf>
    <xf numFmtId="44" fontId="21" fillId="0" borderId="12" xfId="3" applyNumberFormat="1" applyFont="1" applyBorder="1" applyAlignment="1" applyProtection="1">
      <alignment horizontal="center"/>
    </xf>
    <xf numFmtId="44" fontId="21" fillId="0" borderId="18" xfId="3" applyNumberFormat="1" applyFont="1" applyFill="1" applyBorder="1" applyAlignment="1" applyProtection="1">
      <alignment horizontal="center" wrapText="1"/>
    </xf>
    <xf numFmtId="44" fontId="19" fillId="0" borderId="19" xfId="3" applyNumberFormat="1" applyBorder="1" applyAlignment="1">
      <alignment wrapText="1"/>
    </xf>
  </cellXfs>
  <cellStyles count="86">
    <cellStyle name="20% - Accent1 2" xfId="5"/>
    <cellStyle name="20% - Accent1 2 2" xfId="6"/>
    <cellStyle name="20% - Accent2 2" xfId="7"/>
    <cellStyle name="20% - Accent2 2 2" xfId="8"/>
    <cellStyle name="20% - Accent3 2" xfId="9"/>
    <cellStyle name="20% - Accent3 2 2" xfId="10"/>
    <cellStyle name="20% - Accent4 2" xfId="11"/>
    <cellStyle name="20% - Accent4 2 2" xfId="12"/>
    <cellStyle name="20% - Accent5 2" xfId="13"/>
    <cellStyle name="20% - Accent5 2 2" xfId="14"/>
    <cellStyle name="20% - Accent6 2" xfId="15"/>
    <cellStyle name="20% - Accent6 2 2" xfId="16"/>
    <cellStyle name="40% - Accent1 2" xfId="17"/>
    <cellStyle name="40% - Accent1 2 2" xfId="18"/>
    <cellStyle name="40% - Accent2 2" xfId="19"/>
    <cellStyle name="40% - Accent2 2 2" xfId="20"/>
    <cellStyle name="40% - Accent3 2" xfId="21"/>
    <cellStyle name="40% - Accent3 2 2" xfId="22"/>
    <cellStyle name="40% - Accent3 3" xfId="23"/>
    <cellStyle name="40% - Accent4 2" xfId="24"/>
    <cellStyle name="40% - Accent4 2 2" xfId="25"/>
    <cellStyle name="40% - Accent4 2 2 2" xfId="26"/>
    <cellStyle name="40% - Accent4 3" xfId="27"/>
    <cellStyle name="40% - Accent4 3 2" xfId="28"/>
    <cellStyle name="40% - Accent4 3 3" xfId="29"/>
    <cellStyle name="40% - Accent4 3 4" xfId="4"/>
    <cellStyle name="40% - Accent5 2" xfId="30"/>
    <cellStyle name="40% - Accent5 2 2" xfId="31"/>
    <cellStyle name="40% - Accent6 2" xfId="32"/>
    <cellStyle name="40% - Accent6 2 2" xfId="33"/>
    <cellStyle name="60% - Accent1 2" xfId="34"/>
    <cellStyle name="60% - Accent2 2" xfId="35"/>
    <cellStyle name="60% - Accent3 2" xfId="36"/>
    <cellStyle name="60% - Accent4 2" xfId="37"/>
    <cellStyle name="60% - Accent5 2" xfId="38"/>
    <cellStyle name="60% - Accent6 2" xfId="39"/>
    <cellStyle name="Accent1 2" xfId="40"/>
    <cellStyle name="Accent2 2" xfId="41"/>
    <cellStyle name="Accent3 2" xfId="42"/>
    <cellStyle name="Accent4 2" xfId="43"/>
    <cellStyle name="Accent5 2" xfId="44"/>
    <cellStyle name="Accent6 2" xfId="45"/>
    <cellStyle name="Bad 2" xfId="46"/>
    <cellStyle name="Calculation 2" xfId="47"/>
    <cellStyle name="Check Cell 2" xfId="48"/>
    <cellStyle name="Comma 2" xfId="49"/>
    <cellStyle name="Comma0" xfId="50"/>
    <cellStyle name="Comma0 2" xfId="51"/>
    <cellStyle name="Currency" xfId="1" builtinId="4"/>
    <cellStyle name="Currency 2" xfId="52"/>
    <cellStyle name="Currency 3" xfId="53"/>
    <cellStyle name="Currency0" xfId="54"/>
    <cellStyle name="Currency0 2" xfId="55"/>
    <cellStyle name="Date" xfId="56"/>
    <cellStyle name="Date 2" xfId="57"/>
    <cellStyle name="Explanatory Text 2" xfId="58"/>
    <cellStyle name="Fixed" xfId="59"/>
    <cellStyle name="Fixed 2" xfId="60"/>
    <cellStyle name="Good 2" xfId="61"/>
    <cellStyle name="Heading 1 2" xfId="62"/>
    <cellStyle name="Heading 1 3" xfId="63"/>
    <cellStyle name="Heading 2 2" xfId="64"/>
    <cellStyle name="Heading 2 2 2" xfId="65"/>
    <cellStyle name="Heading 2 3" xfId="66"/>
    <cellStyle name="Heading 3 2" xfId="67"/>
    <cellStyle name="Heading 4 2" xfId="68"/>
    <cellStyle name="Input 2" xfId="69"/>
    <cellStyle name="Linked Cell 2" xfId="70"/>
    <cellStyle name="Neutral 2" xfId="71"/>
    <cellStyle name="Normal" xfId="0" builtinId="0"/>
    <cellStyle name="Normal 2" xfId="3"/>
    <cellStyle name="Normal 3" xfId="72"/>
    <cellStyle name="Normal 3 2" xfId="73"/>
    <cellStyle name="Normal 4" xfId="74"/>
    <cellStyle name="Normal 5" xfId="75"/>
    <cellStyle name="Note 2" xfId="76"/>
    <cellStyle name="Note 2 2" xfId="77"/>
    <cellStyle name="Note 3" xfId="78"/>
    <cellStyle name="Output 2" xfId="79"/>
    <cellStyle name="Percent" xfId="2" builtinId="5"/>
    <cellStyle name="Percent 2" xfId="80"/>
    <cellStyle name="Title 2" xfId="81"/>
    <cellStyle name="Total 2" xfId="82"/>
    <cellStyle name="Total 2 2" xfId="83"/>
    <cellStyle name="Total 3" xfId="84"/>
    <cellStyle name="Warning Text 2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T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$T$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$T$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$T$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$T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T$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$T$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$T$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$T$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1571625</xdr:colOff>
          <xdr:row>6</xdr:row>
          <xdr:rowOff>9525</xdr:rowOff>
        </xdr:from>
        <xdr:to>
          <xdr:col>3</xdr:col>
          <xdr:colOff>400050</xdr:colOff>
          <xdr:row>6</xdr:row>
          <xdr:rowOff>104775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9525</xdr:rowOff>
        </xdr:from>
        <xdr:to>
          <xdr:col>6</xdr:col>
          <xdr:colOff>190500</xdr:colOff>
          <xdr:row>6</xdr:row>
          <xdr:rowOff>104775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2</xdr:row>
          <xdr:rowOff>85725</xdr:rowOff>
        </xdr:from>
        <xdr:to>
          <xdr:col>1</xdr:col>
          <xdr:colOff>1000125</xdr:colOff>
          <xdr:row>2</xdr:row>
          <xdr:rowOff>133350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942975</xdr:colOff>
          <xdr:row>2</xdr:row>
          <xdr:rowOff>85725</xdr:rowOff>
        </xdr:from>
        <xdr:to>
          <xdr:col>1</xdr:col>
          <xdr:colOff>1676400</xdr:colOff>
          <xdr:row>2</xdr:row>
          <xdr:rowOff>133350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</xdr:row>
          <xdr:rowOff>19050</xdr:rowOff>
        </xdr:from>
        <xdr:to>
          <xdr:col>1</xdr:col>
          <xdr:colOff>866775</xdr:colOff>
          <xdr:row>2</xdr:row>
          <xdr:rowOff>57150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828675</xdr:colOff>
          <xdr:row>2</xdr:row>
          <xdr:rowOff>19050</xdr:rowOff>
        </xdr:from>
        <xdr:to>
          <xdr:col>1</xdr:col>
          <xdr:colOff>1476375</xdr:colOff>
          <xdr:row>2</xdr:row>
          <xdr:rowOff>57150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</xdr:row>
          <xdr:rowOff>66675</xdr:rowOff>
        </xdr:from>
        <xdr:to>
          <xdr:col>1</xdr:col>
          <xdr:colOff>523875</xdr:colOff>
          <xdr:row>1</xdr:row>
          <xdr:rowOff>85725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</xdr:row>
          <xdr:rowOff>66675</xdr:rowOff>
        </xdr:from>
        <xdr:to>
          <xdr:col>1</xdr:col>
          <xdr:colOff>904875</xdr:colOff>
          <xdr:row>1</xdr:row>
          <xdr:rowOff>85725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</xdr:row>
          <xdr:rowOff>19050</xdr:rowOff>
        </xdr:from>
        <xdr:to>
          <xdr:col>1</xdr:col>
          <xdr:colOff>866775</xdr:colOff>
          <xdr:row>2</xdr:row>
          <xdr:rowOff>57150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2</xdr:row>
          <xdr:rowOff>19050</xdr:rowOff>
        </xdr:from>
        <xdr:to>
          <xdr:col>1</xdr:col>
          <xdr:colOff>1485900</xdr:colOff>
          <xdr:row>2</xdr:row>
          <xdr:rowOff>57150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</xdr:row>
          <xdr:rowOff>66675</xdr:rowOff>
        </xdr:from>
        <xdr:to>
          <xdr:col>1</xdr:col>
          <xdr:colOff>523875</xdr:colOff>
          <xdr:row>1</xdr:row>
          <xdr:rowOff>85725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</xdr:row>
          <xdr:rowOff>66675</xdr:rowOff>
        </xdr:from>
        <xdr:to>
          <xdr:col>1</xdr:col>
          <xdr:colOff>904875</xdr:colOff>
          <xdr:row>1</xdr:row>
          <xdr:rowOff>85725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</xdr:row>
          <xdr:rowOff>95250</xdr:rowOff>
        </xdr:from>
        <xdr:to>
          <xdr:col>1</xdr:col>
          <xdr:colOff>581025</xdr:colOff>
          <xdr:row>1</xdr:row>
          <xdr:rowOff>123825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</xdr:row>
          <xdr:rowOff>95250</xdr:rowOff>
        </xdr:from>
        <xdr:to>
          <xdr:col>1</xdr:col>
          <xdr:colOff>1000125</xdr:colOff>
          <xdr:row>1</xdr:row>
          <xdr:rowOff>123825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</xdr:row>
          <xdr:rowOff>95250</xdr:rowOff>
        </xdr:from>
        <xdr:to>
          <xdr:col>1</xdr:col>
          <xdr:colOff>581025</xdr:colOff>
          <xdr:row>1</xdr:row>
          <xdr:rowOff>123825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</xdr:row>
          <xdr:rowOff>95250</xdr:rowOff>
        </xdr:from>
        <xdr:to>
          <xdr:col>1</xdr:col>
          <xdr:colOff>1000125</xdr:colOff>
          <xdr:row>1</xdr:row>
          <xdr:rowOff>123825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3</xdr:row>
          <xdr:rowOff>66675</xdr:rowOff>
        </xdr:from>
        <xdr:to>
          <xdr:col>1</xdr:col>
          <xdr:colOff>1447800</xdr:colOff>
          <xdr:row>3</xdr:row>
          <xdr:rowOff>123825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1362075</xdr:colOff>
          <xdr:row>3</xdr:row>
          <xdr:rowOff>66675</xdr:rowOff>
        </xdr:from>
        <xdr:to>
          <xdr:col>3</xdr:col>
          <xdr:colOff>542925</xdr:colOff>
          <xdr:row>3</xdr:row>
          <xdr:rowOff>123825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/Ontario%20Energy%20Board/Rate%20Design/2013/Original%20Application/Original%20Submission/OEB%20Excel%20Documents/Filing_Requirements_Chapter2_Appendices_OEB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/Ontario%20Energy%20Board/Rate%20Design/2013/Chapter%202%20Appendices/Filing_Requirements_Chapter2_Appendices_V1.1%20July%2012%20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App.2-A_Capital Projects"/>
      <sheetName val="App.2-B_FA Continuity_2009_OEB"/>
      <sheetName val="App.2-B_FA Continuity_2009_Act"/>
      <sheetName val="App.2-B_FA Continuity_2010"/>
      <sheetName val="App.2-B_FA Continuity_2011"/>
      <sheetName val="App.2-B_FA Continuity_2012CGAAP"/>
      <sheetName val="App.2-B_FA Continuity_2013CGAAP"/>
      <sheetName val="App.2-B_FA Continuity_2013MCGAA"/>
      <sheetName val="App.2-B_Gross Assets_Summary"/>
      <sheetName val="App.2-CA_CGAAP_DepExp_2011"/>
      <sheetName val="App.2-CB_MIFRS_DepExp_2011"/>
      <sheetName val="App.2-CC_MIFRS_DepExp_2012"/>
      <sheetName val="App.2-CD_MIFRS_DepExp_2013"/>
      <sheetName val="App.2-B_AD_Summary"/>
      <sheetName val="App.2-CE_CGAAP_DepExp_2011"/>
      <sheetName val="App.2-CF_CGAAP_DepExp_2012"/>
      <sheetName val="App.2-CF_CGAAP_DepExp_2013"/>
      <sheetName val="App.2-CG_MCGAAP_DepExp_2013"/>
      <sheetName val="App.2-CI_AltAccStd_DepExp"/>
      <sheetName val="App.2-D_Overhead"/>
      <sheetName val="App.2-EA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ers"/>
      <sheetName val="App.2-K_Employee Costs"/>
      <sheetName val="App.2-L_OM&amp;A_per_Cust_FTEE"/>
      <sheetName val="App.2-M_Regulatory_Costs"/>
      <sheetName val="App.2-N_Corp_Cost_Allocation 09"/>
      <sheetName val="App.2-N_Corp_Cost_Allocatio 10"/>
      <sheetName val="App.2-N_Corp_Cost_Allocatio 11"/>
      <sheetName val="App.2-N_Corp_Cost_Allocatio 12"/>
      <sheetName val="App.2-N_Corp_Cost_Allocatio 13"/>
      <sheetName val="App.2-N_Corp_Cost_Variances"/>
      <sheetName val="App.2-OA Capital Structure 09"/>
      <sheetName val="App.2-OA Capital Structure  10"/>
      <sheetName val="App.2-OA Capital Structure 11"/>
      <sheetName val="App.2-OA Capital Structure 12"/>
      <sheetName val="App.2-OA Capital Structure 13"/>
      <sheetName val="App.2-OB_Debt Instruments 09-11"/>
      <sheetName val="App.2-OB_Debt Instruments 12"/>
      <sheetName val="App.2-OB_Debt Instruments 13"/>
      <sheetName val="App.2-P_Cost_Allocation"/>
      <sheetName val="App.2-Q_Cost of Serv. Emb. Dx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_Bill Impacts RS"/>
      <sheetName val="App.2-W_Bill Impacts GS &lt; 50"/>
      <sheetName val="App.2-W_Bill Impacts GS &gt;50"/>
      <sheetName val="App.2-W_Bill Impacts GS &gt;50 IM"/>
      <sheetName val="App.2-W_Bill Impacts GS &gt;1,000"/>
      <sheetName val="App.2-W_Bill Impacts USL"/>
      <sheetName val="App.2-W_Bill Impacts Sentinel"/>
      <sheetName val="App.2-W_Bill Impacts ST"/>
      <sheetName val="App.2-W_Bill Impacts - Microfit"/>
      <sheetName val="App.2-X_CoS_Flowchart"/>
      <sheetName val="Sheet1"/>
      <sheetName val="Sheet2"/>
      <sheetName val="Sheet3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Names"/>
      <sheetName val="LDC Info"/>
      <sheetName val="Index"/>
      <sheetName val="App.2-A_Capital Projects"/>
      <sheetName val="App.2-B_FA Continuity_2009_OEB"/>
      <sheetName val="App.2-B_FA Continuity_2009_Act"/>
      <sheetName val="App.2-B_FA Continuity_2010"/>
      <sheetName val="App.2-B_FA Continuity_2011"/>
      <sheetName val="App.2-B_FA Continuity_2012CGAAP"/>
      <sheetName val="App.2-B_FA Continuity_2013CGAAP"/>
      <sheetName val="App.2-B_FA Continuity_2013MCGAA"/>
      <sheetName val="App.2-B_FA Continuity_2012MIFRS"/>
      <sheetName val="App.2-B_FACONTNOTUSE_2013MIFRS"/>
      <sheetName val="App.2-B_Gross Assets_Summary"/>
      <sheetName val="App.2-CA_CGAAP_DepExp_2011"/>
      <sheetName val="App.2-CB_MIFRS_DepExp_2011"/>
      <sheetName val="App.2-CC_MIFRS_DepExp_2012"/>
      <sheetName val="App.2-CD_MIFRS_DepExp_2013"/>
      <sheetName val="App.2-B_AD_Summary"/>
      <sheetName val="App.2-CE_CGAAP_DepExp_2011"/>
      <sheetName val="App.2-CF_CGAAP_DepExp_2012"/>
      <sheetName val="App.2-CF_CGAAP_DepExp_2013"/>
      <sheetName val="App.2-CG_MCGAAP_DepExp_2013"/>
      <sheetName val="App.2-CH_MIFRS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ers"/>
      <sheetName val="App.2-K_Employee Costs"/>
      <sheetName val="App.2-L_OM&amp;A_per_Cust_FTEE"/>
      <sheetName val="App.2-M_Regulatory_Costs"/>
      <sheetName val="App.2-N_Corp_Cost_Allocation 09"/>
      <sheetName val="App.2-N_Corp_Cost_Allocatio 10"/>
      <sheetName val="App.2-N_Corp_Cost_Allocatio 11"/>
      <sheetName val="App.2-N_Corp_Cost_Allocatio 12"/>
      <sheetName val="App.2-N_Corp_Cost_Allocatio 13"/>
      <sheetName val="App.2-N_Corp_Cost_Variances"/>
      <sheetName val="App.2-OA Capital Structure 09"/>
      <sheetName val="App.2-OA Capital Structure  10"/>
      <sheetName val="App.2-OA Capital Structure 11"/>
      <sheetName val="App.2-OA Capital Structure 12"/>
      <sheetName val="App.2-OA Capital Structure 13"/>
      <sheetName val="App.2-OB_Debt Instruments 09-11"/>
      <sheetName val="App.2-OB_Debt Instruments 12"/>
      <sheetName val="App.2-OB_Debt Instruments 13"/>
      <sheetName val="App.2-P_Cost_Allocation"/>
      <sheetName val="App.2-Q_Cost of Serv. Emb. Dx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_Bill Impacts RS"/>
      <sheetName val="App.2-W_Bill Impacts GS &lt; 50"/>
      <sheetName val="App.2-W_Bill Impacts GS &gt;50"/>
      <sheetName val="App.2-W_Bill Impacts GS &gt;50 IM"/>
      <sheetName val="App.2-W_Bill Impacts GS &gt;1,000"/>
      <sheetName val="App.2-W_Bill Impacts USL"/>
      <sheetName val="App.2-W_Bill Impacts Sentinel"/>
      <sheetName val="App.2-W_Bill Impacts ST"/>
      <sheetName val="App.2-W_Bill Impacts - Microfit"/>
      <sheetName val="App.2-X_CoS_Flowchart"/>
      <sheetName val="Sheet1"/>
      <sheetName val="Sheet2"/>
      <sheetName val="Sheet3"/>
    </sheetNames>
    <sheetDataSet>
      <sheetData sheetId="0"/>
      <sheetData sheetId="1">
        <row r="18">
          <cell r="E18" t="str">
            <v>EB-2012-0167</v>
          </cell>
        </row>
      </sheetData>
      <sheetData sheetId="2"/>
      <sheetData sheetId="3"/>
      <sheetData sheetId="4"/>
      <sheetData sheetId="5">
        <row r="29">
          <cell r="E29">
            <v>512186</v>
          </cell>
        </row>
      </sheetData>
      <sheetData sheetId="6">
        <row r="29">
          <cell r="G29">
            <v>-350443</v>
          </cell>
        </row>
      </sheetData>
      <sheetData sheetId="7">
        <row r="29">
          <cell r="K29">
            <v>17794.560000000001</v>
          </cell>
        </row>
      </sheetData>
      <sheetData sheetId="8">
        <row r="29">
          <cell r="K29">
            <v>-9751.7999999999993</v>
          </cell>
        </row>
      </sheetData>
      <sheetData sheetId="9"/>
      <sheetData sheetId="10">
        <row r="23">
          <cell r="F23">
            <v>45124.53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6">
          <cell r="B26">
            <v>11935063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2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U75"/>
  <sheetViews>
    <sheetView showGridLines="0" tabSelected="1" topLeftCell="A10" zoomScaleNormal="100" workbookViewId="0">
      <selection activeCell="U37" sqref="U37"/>
    </sheetView>
  </sheetViews>
  <sheetFormatPr defaultColWidth="9.140625" defaultRowHeight="12.75" x14ac:dyDescent="0.2"/>
  <cols>
    <col min="1" max="1" width="1.28515625" style="11" customWidth="1"/>
    <col min="2" max="2" width="26.5703125" style="11" customWidth="1"/>
    <col min="3" max="3" width="1.28515625" style="11" customWidth="1"/>
    <col min="4" max="4" width="11.28515625" style="11" customWidth="1"/>
    <col min="5" max="5" width="1.28515625" style="11" customWidth="1"/>
    <col min="6" max="6" width="12.28515625" style="11" customWidth="1"/>
    <col min="7" max="7" width="8.5703125" style="11" customWidth="1"/>
    <col min="8" max="8" width="10.42578125" style="11" customWidth="1"/>
    <col min="9" max="9" width="2.85546875" style="11" customWidth="1"/>
    <col min="10" max="10" width="12.140625" style="11" customWidth="1"/>
    <col min="11" max="11" width="8.5703125" style="11" customWidth="1"/>
    <col min="12" max="12" width="10.7109375" style="11" customWidth="1"/>
    <col min="13" max="13" width="2.85546875" style="11" customWidth="1"/>
    <col min="14" max="14" width="12.7109375" style="11" bestFit="1" customWidth="1"/>
    <col min="15" max="15" width="13.85546875" style="11" bestFit="1" customWidth="1"/>
    <col min="16" max="16" width="3.85546875" style="11" customWidth="1"/>
    <col min="17" max="19" width="9.140625" style="11"/>
    <col min="20" max="20" width="0" style="11" hidden="1" customWidth="1"/>
    <col min="21" max="16384" width="9.140625" style="1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'[3]LDC Info'!$E$18</f>
        <v>EB-2012-0167</v>
      </c>
      <c r="P1" s="5"/>
      <c r="T1" s="2">
        <v>1</v>
      </c>
    </row>
    <row r="2" spans="1:20" s="2" customFormat="1" ht="15" customHeight="1" x14ac:dyDescent="0.25">
      <c r="A2" s="6"/>
      <c r="B2" s="218"/>
      <c r="C2" s="219"/>
      <c r="D2" s="219"/>
      <c r="E2" s="219"/>
      <c r="F2" s="219"/>
      <c r="G2" s="219"/>
      <c r="H2" s="219"/>
      <c r="I2" s="219"/>
      <c r="J2" s="219"/>
      <c r="K2" s="219"/>
      <c r="N2" s="3" t="s">
        <v>1</v>
      </c>
      <c r="O2" s="7"/>
      <c r="P2" s="5"/>
    </row>
    <row r="3" spans="1:20" s="2" customFormat="1" ht="15" customHeight="1" x14ac:dyDescent="0.25">
      <c r="A3" s="6"/>
      <c r="B3" s="219"/>
      <c r="C3" s="219"/>
      <c r="D3" s="219"/>
      <c r="E3" s="219"/>
      <c r="F3" s="219"/>
      <c r="G3" s="219"/>
      <c r="H3" s="219"/>
      <c r="I3" s="219"/>
      <c r="J3" s="219"/>
      <c r="K3" s="219"/>
      <c r="N3" s="3" t="s">
        <v>2</v>
      </c>
      <c r="O3" s="7"/>
      <c r="P3" s="5"/>
    </row>
    <row r="4" spans="1:20" s="2" customFormat="1" ht="15" customHeight="1" x14ac:dyDescent="0.25">
      <c r="A4" s="6"/>
      <c r="B4" s="219"/>
      <c r="C4" s="219"/>
      <c r="D4" s="219"/>
      <c r="E4" s="219"/>
      <c r="F4" s="219"/>
      <c r="G4" s="219"/>
      <c r="H4" s="219"/>
      <c r="I4" s="219"/>
      <c r="J4" s="219"/>
      <c r="K4" s="219"/>
      <c r="N4" s="3" t="s">
        <v>3</v>
      </c>
      <c r="O4" s="7"/>
      <c r="P4" s="5"/>
    </row>
    <row r="5" spans="1:20" s="2" customFormat="1" ht="15" customHeight="1" x14ac:dyDescent="0.2">
      <c r="A5" s="8"/>
      <c r="B5" s="219"/>
      <c r="C5" s="219"/>
      <c r="D5" s="219"/>
      <c r="E5" s="219"/>
      <c r="F5" s="219"/>
      <c r="G5" s="219"/>
      <c r="H5" s="219"/>
      <c r="I5" s="219"/>
      <c r="J5" s="219"/>
      <c r="K5" s="219"/>
      <c r="N5" s="3" t="s">
        <v>4</v>
      </c>
      <c r="O5" s="9"/>
      <c r="P5" s="5"/>
    </row>
    <row r="6" spans="1:20" s="2" customFormat="1" ht="9" customHeight="1" x14ac:dyDescent="0.2">
      <c r="A6" s="8"/>
      <c r="B6" s="219"/>
      <c r="C6" s="219"/>
      <c r="D6" s="219"/>
      <c r="E6" s="219"/>
      <c r="F6" s="219"/>
      <c r="G6" s="219"/>
      <c r="H6" s="219"/>
      <c r="I6" s="219"/>
      <c r="J6" s="219"/>
      <c r="K6" s="219"/>
      <c r="N6" s="3"/>
      <c r="O6" s="4"/>
      <c r="P6" s="5"/>
    </row>
    <row r="7" spans="1:20" s="2" customForma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N7" s="3" t="s">
        <v>5</v>
      </c>
      <c r="O7" s="10">
        <v>41388</v>
      </c>
      <c r="P7" s="5"/>
    </row>
    <row r="8" spans="1:20" s="2" customFormat="1" ht="15" customHeight="1" x14ac:dyDescent="0.2">
      <c r="N8" s="11"/>
      <c r="O8" s="5"/>
      <c r="P8" s="5"/>
    </row>
    <row r="9" spans="1:20" ht="7.5" customHeight="1" x14ac:dyDescent="0.2">
      <c r="L9" s="5"/>
      <c r="M9" s="5"/>
      <c r="N9" s="5"/>
      <c r="O9" s="5"/>
      <c r="P9" s="5"/>
    </row>
    <row r="10" spans="1:20" ht="18.75" customHeight="1" x14ac:dyDescent="0.25">
      <c r="B10" s="220" t="s">
        <v>6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5"/>
    </row>
    <row r="11" spans="1:20" ht="18.75" customHeight="1" x14ac:dyDescent="0.25">
      <c r="B11" s="220" t="s">
        <v>7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5"/>
    </row>
    <row r="12" spans="1:20" ht="7.5" customHeight="1" x14ac:dyDescent="0.2">
      <c r="L12" s="5"/>
      <c r="M12" s="5"/>
      <c r="N12" s="5"/>
      <c r="O12" s="5"/>
      <c r="P12" s="5"/>
    </row>
    <row r="13" spans="1:20" ht="7.5" customHeight="1" x14ac:dyDescent="0.2">
      <c r="L13" s="5"/>
      <c r="M13" s="5"/>
      <c r="N13" s="5"/>
      <c r="O13" s="5"/>
      <c r="P13" s="5"/>
    </row>
    <row r="14" spans="1:20" ht="15" x14ac:dyDescent="0.2">
      <c r="A14" s="12" t="s">
        <v>8</v>
      </c>
      <c r="L14" s="5"/>
      <c r="M14" s="5"/>
      <c r="N14" s="5"/>
      <c r="O14" s="5"/>
      <c r="P14" s="5"/>
    </row>
    <row r="15" spans="1:20" ht="15.75" x14ac:dyDescent="0.2">
      <c r="B15" s="13" t="s">
        <v>9</v>
      </c>
      <c r="D15" s="221" t="s">
        <v>10</v>
      </c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</row>
    <row r="16" spans="1:20" ht="7.5" customHeight="1" x14ac:dyDescent="0.25">
      <c r="B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15" x14ac:dyDescent="0.2">
      <c r="B17" s="16"/>
      <c r="D17" s="17" t="s">
        <v>11</v>
      </c>
      <c r="E17" s="17"/>
      <c r="F17" s="18">
        <v>800</v>
      </c>
      <c r="G17" s="17" t="s">
        <v>12</v>
      </c>
    </row>
    <row r="18" spans="2:15" ht="10.5" customHeight="1" x14ac:dyDescent="0.2">
      <c r="B18" s="16"/>
    </row>
    <row r="19" spans="2:15" x14ac:dyDescent="0.2">
      <c r="B19" s="16"/>
      <c r="D19" s="19"/>
      <c r="E19" s="19"/>
      <c r="F19" s="222" t="s">
        <v>13</v>
      </c>
      <c r="G19" s="223"/>
      <c r="H19" s="224"/>
      <c r="J19" s="222" t="s">
        <v>14</v>
      </c>
      <c r="K19" s="223"/>
      <c r="L19" s="224"/>
      <c r="N19" s="222" t="s">
        <v>15</v>
      </c>
      <c r="O19" s="224"/>
    </row>
    <row r="20" spans="2:15" x14ac:dyDescent="0.2">
      <c r="B20" s="16"/>
      <c r="D20" s="226" t="s">
        <v>16</v>
      </c>
      <c r="E20" s="20"/>
      <c r="F20" s="21" t="s">
        <v>17</v>
      </c>
      <c r="G20" s="21" t="s">
        <v>18</v>
      </c>
      <c r="H20" s="22" t="s">
        <v>19</v>
      </c>
      <c r="J20" s="21" t="s">
        <v>17</v>
      </c>
      <c r="K20" s="23" t="s">
        <v>18</v>
      </c>
      <c r="L20" s="22" t="s">
        <v>19</v>
      </c>
      <c r="N20" s="228" t="s">
        <v>20</v>
      </c>
      <c r="O20" s="230" t="s">
        <v>21</v>
      </c>
    </row>
    <row r="21" spans="2:15" x14ac:dyDescent="0.2">
      <c r="B21" s="16"/>
      <c r="D21" s="227"/>
      <c r="E21" s="20"/>
      <c r="F21" s="24" t="s">
        <v>22</v>
      </c>
      <c r="G21" s="24"/>
      <c r="H21" s="25" t="s">
        <v>22</v>
      </c>
      <c r="J21" s="24" t="s">
        <v>22</v>
      </c>
      <c r="K21" s="25"/>
      <c r="L21" s="25" t="s">
        <v>22</v>
      </c>
      <c r="N21" s="229"/>
      <c r="O21" s="231"/>
    </row>
    <row r="22" spans="2:15" ht="15" x14ac:dyDescent="0.2">
      <c r="B22" s="26" t="s">
        <v>23</v>
      </c>
      <c r="C22" s="26"/>
      <c r="D22" s="27" t="s">
        <v>24</v>
      </c>
      <c r="E22" s="28"/>
      <c r="F22" s="29">
        <v>9.85</v>
      </c>
      <c r="G22" s="30">
        <v>1</v>
      </c>
      <c r="H22" s="31">
        <f>G22*F22</f>
        <v>9.85</v>
      </c>
      <c r="I22" s="32"/>
      <c r="J22" s="33">
        <v>12.63</v>
      </c>
      <c r="K22" s="34">
        <v>1</v>
      </c>
      <c r="L22" s="31">
        <f>K22*J22</f>
        <v>12.63</v>
      </c>
      <c r="M22" s="32"/>
      <c r="N22" s="35">
        <f>L22-H22</f>
        <v>2.7800000000000011</v>
      </c>
      <c r="O22" s="36">
        <f>IF((H22)=0,"",(N22/H22))</f>
        <v>0.28223350253807117</v>
      </c>
    </row>
    <row r="23" spans="2:15" ht="15" x14ac:dyDescent="0.2">
      <c r="B23" s="37" t="s">
        <v>25</v>
      </c>
      <c r="C23" s="26"/>
      <c r="D23" s="27" t="s">
        <v>24</v>
      </c>
      <c r="E23" s="28"/>
      <c r="F23" s="29">
        <v>1.8666666666666667</v>
      </c>
      <c r="G23" s="30">
        <v>1</v>
      </c>
      <c r="H23" s="31">
        <f t="shared" ref="H23:H28" si="0">G23*F23</f>
        <v>1.8666666666666667</v>
      </c>
      <c r="I23" s="32"/>
      <c r="J23" s="33">
        <v>0</v>
      </c>
      <c r="K23" s="34">
        <v>1</v>
      </c>
      <c r="L23" s="31">
        <f t="shared" ref="L23:L27" si="1">K23*J23</f>
        <v>0</v>
      </c>
      <c r="M23" s="32"/>
      <c r="N23" s="35">
        <f t="shared" ref="N23:N29" si="2">L23-H23</f>
        <v>-1.8666666666666667</v>
      </c>
      <c r="O23" s="36">
        <f>IF((H23)=0,"",(N23/H23))</f>
        <v>-1</v>
      </c>
    </row>
    <row r="24" spans="2:15" ht="15" x14ac:dyDescent="0.2">
      <c r="B24" s="26" t="s">
        <v>26</v>
      </c>
      <c r="C24" s="26"/>
      <c r="D24" s="27" t="s">
        <v>27</v>
      </c>
      <c r="E24" s="28"/>
      <c r="F24" s="29">
        <v>1.24E-2</v>
      </c>
      <c r="G24" s="30">
        <f>$F$17</f>
        <v>800</v>
      </c>
      <c r="H24" s="31">
        <f t="shared" si="0"/>
        <v>9.92</v>
      </c>
      <c r="I24" s="32"/>
      <c r="J24" s="33">
        <v>1.2200000000000001E-2</v>
      </c>
      <c r="K24" s="30">
        <f>$F$17</f>
        <v>800</v>
      </c>
      <c r="L24" s="31">
        <f t="shared" si="1"/>
        <v>9.76</v>
      </c>
      <c r="M24" s="32"/>
      <c r="N24" s="35">
        <f t="shared" si="2"/>
        <v>-0.16000000000000014</v>
      </c>
      <c r="O24" s="36">
        <f t="shared" ref="O24:O29" si="3">IF((H24)=0,"",(N24/H24))</f>
        <v>-1.612903225806453E-2</v>
      </c>
    </row>
    <row r="25" spans="2:15" ht="15" x14ac:dyDescent="0.2">
      <c r="B25" s="26" t="s">
        <v>28</v>
      </c>
      <c r="C25" s="26"/>
      <c r="D25" s="27" t="s">
        <v>24</v>
      </c>
      <c r="E25" s="28"/>
      <c r="F25" s="29">
        <v>-1.3166666666666669</v>
      </c>
      <c r="G25" s="30">
        <v>1</v>
      </c>
      <c r="H25" s="31">
        <f>G25*F25</f>
        <v>-1.3166666666666669</v>
      </c>
      <c r="I25" s="32"/>
      <c r="J25" s="33">
        <f>+F25</f>
        <v>-1.3166666666666669</v>
      </c>
      <c r="K25" s="30">
        <v>1</v>
      </c>
      <c r="L25" s="31">
        <f t="shared" si="1"/>
        <v>-1.3166666666666669</v>
      </c>
      <c r="M25" s="32"/>
      <c r="N25" s="35">
        <f t="shared" si="2"/>
        <v>0</v>
      </c>
      <c r="O25" s="36">
        <f t="shared" si="3"/>
        <v>0</v>
      </c>
    </row>
    <row r="26" spans="2:15" ht="15" x14ac:dyDescent="0.2">
      <c r="B26" s="26" t="s">
        <v>77</v>
      </c>
      <c r="C26" s="26"/>
      <c r="D26" s="27" t="s">
        <v>24</v>
      </c>
      <c r="E26" s="28"/>
      <c r="F26" s="29">
        <v>0</v>
      </c>
      <c r="G26" s="30">
        <v>1</v>
      </c>
      <c r="H26" s="31">
        <f>G26*F26</f>
        <v>0</v>
      </c>
      <c r="I26" s="32"/>
      <c r="J26" s="33">
        <v>0.79</v>
      </c>
      <c r="K26" s="30">
        <v>1</v>
      </c>
      <c r="L26" s="31">
        <f t="shared" si="1"/>
        <v>0.79</v>
      </c>
      <c r="M26" s="32"/>
      <c r="N26" s="35">
        <f t="shared" ref="N26" si="4">L26-H26</f>
        <v>0.79</v>
      </c>
      <c r="O26" s="36" t="str">
        <f t="shared" ref="O26" si="5">IF((H26)=0,"",(N26/H26))</f>
        <v/>
      </c>
    </row>
    <row r="27" spans="2:15" ht="15" x14ac:dyDescent="0.2">
      <c r="B27" s="26" t="s">
        <v>29</v>
      </c>
      <c r="C27" s="26"/>
      <c r="D27" s="27" t="s">
        <v>27</v>
      </c>
      <c r="E27" s="28"/>
      <c r="F27" s="38">
        <v>4.0000000000000003E-5</v>
      </c>
      <c r="G27" s="30">
        <f>$F$17</f>
        <v>800</v>
      </c>
      <c r="H27" s="31">
        <f t="shared" si="0"/>
        <v>3.2000000000000001E-2</v>
      </c>
      <c r="I27" s="32"/>
      <c r="J27" s="33">
        <v>0</v>
      </c>
      <c r="K27" s="30">
        <f t="shared" ref="K27:K33" si="6">$F$17</f>
        <v>800</v>
      </c>
      <c r="L27" s="31">
        <f t="shared" si="1"/>
        <v>0</v>
      </c>
      <c r="M27" s="32"/>
      <c r="N27" s="35">
        <f t="shared" si="2"/>
        <v>-3.2000000000000001E-2</v>
      </c>
      <c r="O27" s="36">
        <f t="shared" si="3"/>
        <v>-1</v>
      </c>
    </row>
    <row r="28" spans="2:15" ht="15" x14ac:dyDescent="0.2">
      <c r="B28" s="39" t="s">
        <v>30</v>
      </c>
      <c r="C28" s="26"/>
      <c r="D28" s="27" t="s">
        <v>24</v>
      </c>
      <c r="E28" s="28"/>
      <c r="F28" s="29">
        <v>0</v>
      </c>
      <c r="G28" s="30">
        <v>1</v>
      </c>
      <c r="H28" s="31">
        <f t="shared" si="0"/>
        <v>0</v>
      </c>
      <c r="I28" s="32"/>
      <c r="J28" s="33">
        <v>2.2799999999999998</v>
      </c>
      <c r="K28" s="30">
        <v>1</v>
      </c>
      <c r="L28" s="31">
        <f>K28*J28</f>
        <v>2.2799999999999998</v>
      </c>
      <c r="M28" s="32"/>
      <c r="N28" s="35">
        <f t="shared" si="2"/>
        <v>2.2799999999999998</v>
      </c>
      <c r="O28" s="36" t="str">
        <f t="shared" si="3"/>
        <v/>
      </c>
    </row>
    <row r="29" spans="2:15" s="51" customFormat="1" ht="15" x14ac:dyDescent="0.2">
      <c r="B29" s="40" t="s">
        <v>31</v>
      </c>
      <c r="C29" s="41"/>
      <c r="D29" s="42"/>
      <c r="E29" s="41"/>
      <c r="F29" s="43"/>
      <c r="G29" s="44"/>
      <c r="H29" s="45">
        <f>SUM(H22:H28)</f>
        <v>20.352</v>
      </c>
      <c r="I29" s="46"/>
      <c r="J29" s="47"/>
      <c r="K29" s="48"/>
      <c r="L29" s="45">
        <f>SUM(L22:L28)</f>
        <v>24.143333333333334</v>
      </c>
      <c r="M29" s="46"/>
      <c r="N29" s="49">
        <f t="shared" si="2"/>
        <v>3.7913333333333341</v>
      </c>
      <c r="O29" s="50">
        <f t="shared" si="3"/>
        <v>0.18628799790356398</v>
      </c>
    </row>
    <row r="30" spans="2:15" ht="25.5" x14ac:dyDescent="0.2">
      <c r="B30" s="52" t="s">
        <v>32</v>
      </c>
      <c r="C30" s="26"/>
      <c r="D30" s="27" t="s">
        <v>27</v>
      </c>
      <c r="E30" s="28"/>
      <c r="F30" s="33">
        <v>-3.3999999999999998E-3</v>
      </c>
      <c r="G30" s="30">
        <f>$F$17</f>
        <v>800</v>
      </c>
      <c r="H30" s="31">
        <f>G30*F30</f>
        <v>-2.7199999999999998</v>
      </c>
      <c r="I30" s="32"/>
      <c r="J30" s="33">
        <v>-2.8999999999999998E-3</v>
      </c>
      <c r="K30" s="30">
        <f>$F$17</f>
        <v>800</v>
      </c>
      <c r="L30" s="31">
        <f>K30*J30</f>
        <v>-2.3199999999999998</v>
      </c>
      <c r="M30" s="32"/>
      <c r="N30" s="35">
        <f>L30-H30</f>
        <v>0.39999999999999991</v>
      </c>
      <c r="O30" s="36">
        <f>IF((H30)=0,"",(N30/H30))</f>
        <v>-0.14705882352941174</v>
      </c>
    </row>
    <row r="31" spans="2:15" ht="15" x14ac:dyDescent="0.2">
      <c r="B31" s="52" t="s">
        <v>33</v>
      </c>
      <c r="C31" s="26"/>
      <c r="D31" s="27" t="s">
        <v>27</v>
      </c>
      <c r="E31" s="28"/>
      <c r="F31" s="29">
        <v>-2.9999999999999997E-4</v>
      </c>
      <c r="G31" s="30">
        <f t="shared" ref="G31" si="7">$F$17</f>
        <v>800</v>
      </c>
      <c r="H31" s="31">
        <f t="shared" ref="H31" si="8">G31*F31</f>
        <v>-0.24</v>
      </c>
      <c r="I31" s="53"/>
      <c r="J31" s="33"/>
      <c r="K31" s="30">
        <f t="shared" ref="K31" si="9">$F$17</f>
        <v>800</v>
      </c>
      <c r="L31" s="31">
        <f t="shared" ref="L31:L32" si="10">K31*J31</f>
        <v>0</v>
      </c>
      <c r="M31" s="54"/>
      <c r="N31" s="35">
        <f t="shared" ref="N31:N32" si="11">L31-H31</f>
        <v>0.24</v>
      </c>
      <c r="O31" s="36">
        <f t="shared" ref="O31:O58" si="12">IF((H31)=0,"",(N31/H31))</f>
        <v>-1</v>
      </c>
    </row>
    <row r="32" spans="2:15" ht="15" x14ac:dyDescent="0.2">
      <c r="B32" s="52"/>
      <c r="C32" s="26"/>
      <c r="D32" s="27"/>
      <c r="E32" s="28"/>
      <c r="F32" s="29"/>
      <c r="G32" s="30"/>
      <c r="H32" s="31"/>
      <c r="I32" s="55"/>
      <c r="J32" s="33"/>
      <c r="K32" s="30">
        <v>1</v>
      </c>
      <c r="L32" s="31">
        <f t="shared" si="10"/>
        <v>0</v>
      </c>
      <c r="M32" s="55"/>
      <c r="N32" s="35">
        <f t="shared" si="11"/>
        <v>0</v>
      </c>
      <c r="O32" s="36" t="str">
        <f t="shared" si="12"/>
        <v/>
      </c>
    </row>
    <row r="33" spans="2:21" ht="15" x14ac:dyDescent="0.2">
      <c r="B33" s="39" t="s">
        <v>34</v>
      </c>
      <c r="C33" s="26"/>
      <c r="D33" s="27"/>
      <c r="E33" s="28"/>
      <c r="F33" s="56"/>
      <c r="G33" s="57"/>
      <c r="H33" s="58"/>
      <c r="I33" s="32"/>
      <c r="J33" s="33"/>
      <c r="K33" s="30">
        <f t="shared" si="6"/>
        <v>800</v>
      </c>
      <c r="L33" s="31">
        <f>K33*J33</f>
        <v>0</v>
      </c>
      <c r="M33" s="32"/>
      <c r="N33" s="35">
        <f>L33-H33</f>
        <v>0</v>
      </c>
      <c r="O33" s="36" t="str">
        <f t="shared" si="12"/>
        <v/>
      </c>
    </row>
    <row r="34" spans="2:21" ht="25.5" x14ac:dyDescent="0.2">
      <c r="B34" s="59" t="s">
        <v>35</v>
      </c>
      <c r="C34" s="60"/>
      <c r="D34" s="60"/>
      <c r="E34" s="60"/>
      <c r="F34" s="61"/>
      <c r="G34" s="62"/>
      <c r="H34" s="63">
        <f>SUM(H30:H31)+H29</f>
        <v>17.391999999999999</v>
      </c>
      <c r="I34" s="46"/>
      <c r="J34" s="62"/>
      <c r="K34" s="64"/>
      <c r="L34" s="63">
        <f>SUM(L30:L32)+L29</f>
        <v>21.823333333333334</v>
      </c>
      <c r="M34" s="46"/>
      <c r="N34" s="49">
        <f t="shared" ref="N34:N58" si="13">L34-H34</f>
        <v>4.4313333333333347</v>
      </c>
      <c r="O34" s="50">
        <f t="shared" si="12"/>
        <v>0.25479147500766647</v>
      </c>
    </row>
    <row r="35" spans="2:21" ht="15" x14ac:dyDescent="0.25">
      <c r="B35" s="32" t="s">
        <v>36</v>
      </c>
      <c r="C35" s="32"/>
      <c r="D35" s="65" t="s">
        <v>27</v>
      </c>
      <c r="E35" s="66"/>
      <c r="F35" s="33">
        <v>6.4000000000000003E-3</v>
      </c>
      <c r="G35" s="67">
        <f>F17*(1+F61)</f>
        <v>835.83999999999992</v>
      </c>
      <c r="H35" s="31">
        <f>G35*F35</f>
        <v>5.3493759999999995</v>
      </c>
      <c r="I35" s="32"/>
      <c r="J35" s="33">
        <v>6.4999999999999997E-3</v>
      </c>
      <c r="K35" s="68">
        <f>F17*(1+J61)</f>
        <v>827.36</v>
      </c>
      <c r="L35" s="31">
        <f>K35*J35</f>
        <v>5.37784</v>
      </c>
      <c r="M35" s="32"/>
      <c r="N35" s="35">
        <f t="shared" si="13"/>
        <v>2.8464000000000489E-2</v>
      </c>
      <c r="O35" s="36">
        <f t="shared" si="12"/>
        <v>5.3209944486984073E-3</v>
      </c>
      <c r="Q35" s="69"/>
      <c r="R35" s="69"/>
      <c r="S35" s="69"/>
      <c r="T35" s="69"/>
      <c r="U35" s="69"/>
    </row>
    <row r="36" spans="2:21" ht="25.5" x14ac:dyDescent="0.25">
      <c r="B36" s="70" t="s">
        <v>37</v>
      </c>
      <c r="C36" s="32"/>
      <c r="D36" s="65" t="s">
        <v>27</v>
      </c>
      <c r="E36" s="66"/>
      <c r="F36" s="33">
        <v>4.8999999999999998E-3</v>
      </c>
      <c r="G36" s="67">
        <f>G35</f>
        <v>835.83999999999992</v>
      </c>
      <c r="H36" s="31">
        <f>G36*F36</f>
        <v>4.0956159999999997</v>
      </c>
      <c r="I36" s="32"/>
      <c r="J36" s="33">
        <v>4.7000000000000002E-3</v>
      </c>
      <c r="K36" s="68">
        <f>K35</f>
        <v>827.36</v>
      </c>
      <c r="L36" s="31">
        <f>K36*J36</f>
        <v>3.888592</v>
      </c>
      <c r="M36" s="32"/>
      <c r="N36" s="35">
        <f t="shared" si="13"/>
        <v>-0.20702399999999965</v>
      </c>
      <c r="O36" s="36">
        <f t="shared" si="12"/>
        <v>-5.0547707597587192E-2</v>
      </c>
      <c r="Q36" s="69"/>
      <c r="R36" s="69"/>
      <c r="S36" s="69"/>
      <c r="T36" s="69"/>
      <c r="U36" s="69"/>
    </row>
    <row r="37" spans="2:21" ht="25.5" x14ac:dyDescent="0.2">
      <c r="B37" s="59" t="s">
        <v>38</v>
      </c>
      <c r="C37" s="41"/>
      <c r="D37" s="41"/>
      <c r="E37" s="41"/>
      <c r="F37" s="71"/>
      <c r="G37" s="62"/>
      <c r="H37" s="63">
        <f>SUM(H34:H36)</f>
        <v>26.836991999999999</v>
      </c>
      <c r="I37" s="72"/>
      <c r="J37" s="73"/>
      <c r="K37" s="74"/>
      <c r="L37" s="63">
        <f>SUM(L34:L36)</f>
        <v>31.089765333333332</v>
      </c>
      <c r="M37" s="72"/>
      <c r="N37" s="49">
        <f t="shared" si="13"/>
        <v>4.2527733333333337</v>
      </c>
      <c r="O37" s="50">
        <f t="shared" si="12"/>
        <v>0.15846684059574687</v>
      </c>
    </row>
    <row r="38" spans="2:21" ht="25.5" x14ac:dyDescent="0.2">
      <c r="B38" s="75" t="s">
        <v>39</v>
      </c>
      <c r="C38" s="26"/>
      <c r="D38" s="27" t="s">
        <v>27</v>
      </c>
      <c r="E38" s="28"/>
      <c r="F38" s="76">
        <v>5.1999999999999998E-3</v>
      </c>
      <c r="G38" s="67">
        <f>G36</f>
        <v>835.83999999999992</v>
      </c>
      <c r="H38" s="77">
        <f t="shared" ref="H38:H46" si="14">G38*F38</f>
        <v>4.3463679999999991</v>
      </c>
      <c r="I38" s="32"/>
      <c r="J38" s="78">
        <v>4.4000000000000003E-3</v>
      </c>
      <c r="K38" s="68">
        <f>K36</f>
        <v>827.36</v>
      </c>
      <c r="L38" s="77">
        <f t="shared" ref="L38:L46" si="15">K38*J38</f>
        <v>3.6403840000000001</v>
      </c>
      <c r="M38" s="32"/>
      <c r="N38" s="35">
        <f t="shared" si="13"/>
        <v>-0.70598399999999906</v>
      </c>
      <c r="O38" s="79">
        <f t="shared" si="12"/>
        <v>-0.1624307927906701</v>
      </c>
    </row>
    <row r="39" spans="2:21" ht="25.5" x14ac:dyDescent="0.2">
      <c r="B39" s="75" t="s">
        <v>40</v>
      </c>
      <c r="C39" s="26"/>
      <c r="D39" s="27" t="s">
        <v>27</v>
      </c>
      <c r="E39" s="28"/>
      <c r="F39" s="76">
        <v>1.1000000000000001E-3</v>
      </c>
      <c r="G39" s="67">
        <f>G36</f>
        <v>835.83999999999992</v>
      </c>
      <c r="H39" s="77">
        <f t="shared" si="14"/>
        <v>0.91942400000000002</v>
      </c>
      <c r="I39" s="32"/>
      <c r="J39" s="78">
        <v>1.1999999999999999E-3</v>
      </c>
      <c r="K39" s="68">
        <f>K36</f>
        <v>827.36</v>
      </c>
      <c r="L39" s="77">
        <f t="shared" si="15"/>
        <v>0.99283199999999994</v>
      </c>
      <c r="M39" s="32"/>
      <c r="N39" s="35">
        <f t="shared" si="13"/>
        <v>7.3407999999999918E-2</v>
      </c>
      <c r="O39" s="79">
        <f t="shared" si="12"/>
        <v>7.9841291939301035E-2</v>
      </c>
    </row>
    <row r="40" spans="2:21" x14ac:dyDescent="0.2">
      <c r="B40" s="26" t="s">
        <v>41</v>
      </c>
      <c r="C40" s="26"/>
      <c r="D40" s="27" t="s">
        <v>24</v>
      </c>
      <c r="E40" s="28"/>
      <c r="F40" s="76">
        <v>0.25</v>
      </c>
      <c r="G40" s="30">
        <v>1</v>
      </c>
      <c r="H40" s="77">
        <f t="shared" si="14"/>
        <v>0.25</v>
      </c>
      <c r="I40" s="32"/>
      <c r="J40" s="78">
        <v>0.25</v>
      </c>
      <c r="K40" s="34">
        <v>1</v>
      </c>
      <c r="L40" s="77">
        <f t="shared" si="15"/>
        <v>0.25</v>
      </c>
      <c r="M40" s="32"/>
      <c r="N40" s="35">
        <f t="shared" si="13"/>
        <v>0</v>
      </c>
      <c r="O40" s="79">
        <f t="shared" si="12"/>
        <v>0</v>
      </c>
    </row>
    <row r="41" spans="2:21" x14ac:dyDescent="0.2">
      <c r="B41" s="26" t="s">
        <v>42</v>
      </c>
      <c r="C41" s="26"/>
      <c r="D41" s="27" t="s">
        <v>27</v>
      </c>
      <c r="E41" s="28"/>
      <c r="F41" s="76">
        <v>7.0000000000000001E-3</v>
      </c>
      <c r="G41" s="67">
        <f>G39</f>
        <v>835.83999999999992</v>
      </c>
      <c r="H41" s="77">
        <f t="shared" si="14"/>
        <v>5.8508799999999992</v>
      </c>
      <c r="I41" s="32"/>
      <c r="J41" s="78">
        <v>7.0000000000000001E-3</v>
      </c>
      <c r="K41" s="68">
        <f>K39</f>
        <v>827.36</v>
      </c>
      <c r="L41" s="77">
        <f t="shared" si="15"/>
        <v>5.7915200000000002</v>
      </c>
      <c r="M41" s="32"/>
      <c r="N41" s="35">
        <f t="shared" si="13"/>
        <v>-5.9359999999998969E-2</v>
      </c>
      <c r="O41" s="79">
        <f t="shared" si="12"/>
        <v>-1.0145482388973791E-2</v>
      </c>
    </row>
    <row r="42" spans="2:21" ht="15" x14ac:dyDescent="0.25">
      <c r="B42" s="39" t="s">
        <v>43</v>
      </c>
      <c r="C42" s="26"/>
      <c r="D42" s="27" t="s">
        <v>27</v>
      </c>
      <c r="E42" s="28"/>
      <c r="F42" s="80">
        <v>7.3999999999999996E-2</v>
      </c>
      <c r="G42" s="67"/>
      <c r="H42" s="77">
        <f t="shared" si="14"/>
        <v>0</v>
      </c>
      <c r="I42" s="32"/>
      <c r="J42" s="80">
        <v>7.8E-2</v>
      </c>
      <c r="K42" s="67"/>
      <c r="L42" s="77">
        <f>K42*J42</f>
        <v>0</v>
      </c>
      <c r="M42" s="32"/>
      <c r="N42" s="35">
        <f t="shared" si="13"/>
        <v>0</v>
      </c>
      <c r="O42" s="79" t="str">
        <f t="shared" si="12"/>
        <v/>
      </c>
      <c r="Q42" s="69"/>
      <c r="R42" s="69"/>
      <c r="S42" s="69"/>
      <c r="T42" s="69"/>
      <c r="U42" s="69"/>
    </row>
    <row r="43" spans="2:21" ht="15" x14ac:dyDescent="0.25">
      <c r="B43" s="39" t="s">
        <v>45</v>
      </c>
      <c r="C43" s="26"/>
      <c r="D43" s="27" t="s">
        <v>27</v>
      </c>
      <c r="E43" s="28"/>
      <c r="F43" s="80">
        <v>8.6999999999999994E-2</v>
      </c>
      <c r="G43" s="67"/>
      <c r="H43" s="77">
        <f t="shared" si="14"/>
        <v>0</v>
      </c>
      <c r="I43" s="32"/>
      <c r="J43" s="80">
        <v>9.0999999999999998E-2</v>
      </c>
      <c r="K43" s="67"/>
      <c r="L43" s="77">
        <f>K43*J43</f>
        <v>0</v>
      </c>
      <c r="M43" s="32"/>
      <c r="N43" s="35">
        <f t="shared" si="13"/>
        <v>0</v>
      </c>
      <c r="O43" s="79" t="str">
        <f t="shared" si="12"/>
        <v/>
      </c>
      <c r="Q43" s="69"/>
      <c r="R43" s="69"/>
      <c r="S43" s="69"/>
      <c r="T43" s="69"/>
      <c r="U43" s="69"/>
    </row>
    <row r="44" spans="2:21" x14ac:dyDescent="0.2">
      <c r="B44" s="39" t="s">
        <v>46</v>
      </c>
      <c r="C44" s="26"/>
      <c r="D44" s="27" t="s">
        <v>27</v>
      </c>
      <c r="E44" s="28"/>
      <c r="F44" s="80">
        <v>6.3E-2</v>
      </c>
      <c r="G44" s="81">
        <f>0.64*$F$17*(1+$F$61)</f>
        <v>534.93759999999997</v>
      </c>
      <c r="H44" s="77">
        <f t="shared" si="14"/>
        <v>33.701068800000002</v>
      </c>
      <c r="I44" s="32"/>
      <c r="J44" s="80">
        <v>6.7000000000000004E-2</v>
      </c>
      <c r="K44" s="82">
        <f>0.64*$F$17*(1+$J$61)</f>
        <v>529.5104</v>
      </c>
      <c r="L44" s="77">
        <f t="shared" si="15"/>
        <v>35.477196800000002</v>
      </c>
      <c r="M44" s="32"/>
      <c r="N44" s="35">
        <f t="shared" si="13"/>
        <v>1.7761279999999999</v>
      </c>
      <c r="O44" s="79">
        <f t="shared" si="12"/>
        <v>5.2702423491091173E-2</v>
      </c>
    </row>
    <row r="45" spans="2:21" x14ac:dyDescent="0.2">
      <c r="B45" s="39" t="s">
        <v>47</v>
      </c>
      <c r="C45" s="26"/>
      <c r="D45" s="27" t="s">
        <v>27</v>
      </c>
      <c r="E45" s="28"/>
      <c r="F45" s="80">
        <v>9.9000000000000005E-2</v>
      </c>
      <c r="G45" s="81">
        <f>0.18*$F$17*(1+$F$61)</f>
        <v>150.4512</v>
      </c>
      <c r="H45" s="77">
        <f t="shared" si="14"/>
        <v>14.8946688</v>
      </c>
      <c r="I45" s="32"/>
      <c r="J45" s="80">
        <v>0.104</v>
      </c>
      <c r="K45" s="82">
        <f>0.18*$F$17*(1+$J$61)</f>
        <v>148.9248</v>
      </c>
      <c r="L45" s="77">
        <f t="shared" si="15"/>
        <v>15.488179199999999</v>
      </c>
      <c r="M45" s="32"/>
      <c r="N45" s="35">
        <f t="shared" si="13"/>
        <v>0.59351039999999955</v>
      </c>
      <c r="O45" s="79">
        <f t="shared" si="12"/>
        <v>3.9847170015623282E-2</v>
      </c>
    </row>
    <row r="46" spans="2:21" ht="13.5" thickBot="1" x14ac:dyDescent="0.25">
      <c r="B46" s="16" t="s">
        <v>48</v>
      </c>
      <c r="C46" s="26"/>
      <c r="D46" s="27" t="s">
        <v>27</v>
      </c>
      <c r="E46" s="28"/>
      <c r="F46" s="80">
        <v>0.11799999999999999</v>
      </c>
      <c r="G46" s="81">
        <f>0.18*$F$17*(1+$F$61)</f>
        <v>150.4512</v>
      </c>
      <c r="H46" s="77">
        <f t="shared" si="14"/>
        <v>17.753241599999999</v>
      </c>
      <c r="I46" s="32"/>
      <c r="J46" s="80">
        <v>0.124</v>
      </c>
      <c r="K46" s="82">
        <f>0.18*$F$17*(1+$J$61)</f>
        <v>148.9248</v>
      </c>
      <c r="L46" s="77">
        <f t="shared" si="15"/>
        <v>18.466675200000001</v>
      </c>
      <c r="M46" s="32"/>
      <c r="N46" s="35">
        <f t="shared" si="13"/>
        <v>0.71343360000000189</v>
      </c>
      <c r="O46" s="79">
        <f t="shared" si="12"/>
        <v>4.0186103252264752E-2</v>
      </c>
    </row>
    <row r="47" spans="2:21" ht="8.25" customHeight="1" thickBot="1" x14ac:dyDescent="0.25">
      <c r="B47" s="83"/>
      <c r="C47" s="84"/>
      <c r="D47" s="85"/>
      <c r="E47" s="84"/>
      <c r="F47" s="86"/>
      <c r="G47" s="87"/>
      <c r="H47" s="88"/>
      <c r="I47" s="89"/>
      <c r="J47" s="86"/>
      <c r="K47" s="90"/>
      <c r="L47" s="91"/>
      <c r="M47" s="89"/>
      <c r="N47" s="92"/>
      <c r="O47" s="93"/>
    </row>
    <row r="48" spans="2:21" x14ac:dyDescent="0.2">
      <c r="B48" s="94" t="s">
        <v>49</v>
      </c>
      <c r="C48" s="26"/>
      <c r="D48" s="26"/>
      <c r="E48" s="26"/>
      <c r="F48" s="95"/>
      <c r="G48" s="96"/>
      <c r="H48" s="97">
        <f>SUM(H37:H43)</f>
        <v>38.203663999999996</v>
      </c>
      <c r="I48" s="98"/>
      <c r="J48" s="99"/>
      <c r="K48" s="99"/>
      <c r="L48" s="100">
        <f>SUM(L37:L43)</f>
        <v>41.764501333333328</v>
      </c>
      <c r="M48" s="101"/>
      <c r="N48" s="102">
        <f t="shared" si="13"/>
        <v>3.5608373333333319</v>
      </c>
      <c r="O48" s="103">
        <f t="shared" si="12"/>
        <v>9.3206696963237148E-2</v>
      </c>
    </row>
    <row r="49" spans="1:15" x14ac:dyDescent="0.2">
      <c r="B49" s="104" t="s">
        <v>50</v>
      </c>
      <c r="C49" s="26"/>
      <c r="D49" s="26"/>
      <c r="E49" s="26"/>
      <c r="F49" s="105">
        <v>0.13</v>
      </c>
      <c r="G49" s="96"/>
      <c r="H49" s="106">
        <f>H48*F49</f>
        <v>4.9664763199999999</v>
      </c>
      <c r="I49" s="107"/>
      <c r="J49" s="108">
        <v>0.13</v>
      </c>
      <c r="K49" s="109"/>
      <c r="L49" s="110">
        <f>L48*J49</f>
        <v>5.4293851733333325</v>
      </c>
      <c r="M49" s="111"/>
      <c r="N49" s="112">
        <f t="shared" si="13"/>
        <v>0.46290885333333254</v>
      </c>
      <c r="O49" s="113">
        <f t="shared" si="12"/>
        <v>9.320669696323701E-2</v>
      </c>
    </row>
    <row r="50" spans="1:15" x14ac:dyDescent="0.2">
      <c r="B50" s="114" t="s">
        <v>51</v>
      </c>
      <c r="C50" s="26"/>
      <c r="D50" s="26"/>
      <c r="E50" s="26"/>
      <c r="F50" s="115"/>
      <c r="G50" s="116"/>
      <c r="H50" s="106">
        <f>H48+H49</f>
        <v>43.170140319999994</v>
      </c>
      <c r="I50" s="107"/>
      <c r="J50" s="107"/>
      <c r="K50" s="107"/>
      <c r="L50" s="110">
        <f>L48+L49</f>
        <v>47.193886506666658</v>
      </c>
      <c r="M50" s="111"/>
      <c r="N50" s="112">
        <f t="shared" si="13"/>
        <v>4.0237461866666635</v>
      </c>
      <c r="O50" s="113">
        <f t="shared" si="12"/>
        <v>9.3206696963237107E-2</v>
      </c>
    </row>
    <row r="51" spans="1:15" x14ac:dyDescent="0.2">
      <c r="B51" s="232" t="s">
        <v>52</v>
      </c>
      <c r="C51" s="232"/>
      <c r="D51" s="232"/>
      <c r="E51" s="26"/>
      <c r="F51" s="115"/>
      <c r="G51" s="116"/>
      <c r="H51" s="117">
        <f>ROUND(-H50*10%,2)</f>
        <v>-4.32</v>
      </c>
      <c r="I51" s="107"/>
      <c r="J51" s="107"/>
      <c r="K51" s="107"/>
      <c r="L51" s="118">
        <f>ROUND(-L50*10%,2)</f>
        <v>-4.72</v>
      </c>
      <c r="M51" s="111"/>
      <c r="N51" s="119">
        <f t="shared" si="13"/>
        <v>-0.39999999999999947</v>
      </c>
      <c r="O51" s="120">
        <f t="shared" si="12"/>
        <v>9.2592592592592463E-2</v>
      </c>
    </row>
    <row r="52" spans="1:15" ht="13.5" thickBot="1" x14ac:dyDescent="0.25">
      <c r="B52" s="225" t="s">
        <v>53</v>
      </c>
      <c r="C52" s="225"/>
      <c r="D52" s="225"/>
      <c r="E52" s="121"/>
      <c r="F52" s="122"/>
      <c r="G52" s="123"/>
      <c r="H52" s="124">
        <f>SUM(H50:H51)</f>
        <v>38.850140319999994</v>
      </c>
      <c r="I52" s="125"/>
      <c r="J52" s="125"/>
      <c r="K52" s="125"/>
      <c r="L52" s="126">
        <f>SUM(L50:L51)</f>
        <v>42.473886506666659</v>
      </c>
      <c r="M52" s="127"/>
      <c r="N52" s="128">
        <f t="shared" si="13"/>
        <v>3.6237461866666649</v>
      </c>
      <c r="O52" s="129">
        <f t="shared" si="12"/>
        <v>9.3274983225766259E-2</v>
      </c>
    </row>
    <row r="53" spans="1:15" ht="8.25" customHeight="1" thickBot="1" x14ac:dyDescent="0.25">
      <c r="B53" s="83"/>
      <c r="C53" s="84"/>
      <c r="D53" s="85"/>
      <c r="E53" s="84"/>
      <c r="F53" s="130"/>
      <c r="G53" s="131"/>
      <c r="H53" s="132"/>
      <c r="I53" s="133"/>
      <c r="J53" s="130"/>
      <c r="K53" s="87"/>
      <c r="L53" s="134"/>
      <c r="M53" s="89"/>
      <c r="N53" s="135"/>
      <c r="O53" s="93"/>
    </row>
    <row r="54" spans="1:15" x14ac:dyDescent="0.2">
      <c r="B54" s="94" t="s">
        <v>54</v>
      </c>
      <c r="C54" s="26"/>
      <c r="D54" s="26"/>
      <c r="E54" s="26"/>
      <c r="F54" s="95"/>
      <c r="G54" s="96"/>
      <c r="H54" s="97">
        <f>SUM(H37:H41,H44:H46)</f>
        <v>104.55264320000001</v>
      </c>
      <c r="I54" s="98"/>
      <c r="J54" s="99"/>
      <c r="K54" s="99"/>
      <c r="L54" s="136">
        <f>SUM(L37:L41,L44:L46)</f>
        <v>111.19655253333333</v>
      </c>
      <c r="M54" s="101"/>
      <c r="N54" s="102">
        <f t="shared" ref="N54" si="16">L54-H54</f>
        <v>6.6439093333333261</v>
      </c>
      <c r="O54" s="103">
        <f t="shared" ref="O54" si="17">IF((H54)=0,"",(N54/H54))</f>
        <v>6.3546067607531564E-2</v>
      </c>
    </row>
    <row r="55" spans="1:15" x14ac:dyDescent="0.2">
      <c r="B55" s="104" t="s">
        <v>50</v>
      </c>
      <c r="C55" s="26"/>
      <c r="D55" s="26"/>
      <c r="E55" s="26"/>
      <c r="F55" s="105">
        <v>0.13</v>
      </c>
      <c r="G55" s="116"/>
      <c r="H55" s="106">
        <f>H54*F55</f>
        <v>13.591843616000002</v>
      </c>
      <c r="I55" s="107"/>
      <c r="J55" s="137">
        <v>0.13</v>
      </c>
      <c r="K55" s="107"/>
      <c r="L55" s="110">
        <f>L54*J55</f>
        <v>14.455551829333334</v>
      </c>
      <c r="M55" s="111"/>
      <c r="N55" s="112">
        <f t="shared" si="13"/>
        <v>0.86370821333333225</v>
      </c>
      <c r="O55" s="113">
        <f t="shared" si="12"/>
        <v>6.3546067607531551E-2</v>
      </c>
    </row>
    <row r="56" spans="1:15" x14ac:dyDescent="0.2">
      <c r="B56" s="114" t="s">
        <v>51</v>
      </c>
      <c r="C56" s="26"/>
      <c r="D56" s="26"/>
      <c r="E56" s="26"/>
      <c r="F56" s="115"/>
      <c r="G56" s="116"/>
      <c r="H56" s="106">
        <f>H54+H55</f>
        <v>118.14448681600001</v>
      </c>
      <c r="I56" s="107"/>
      <c r="J56" s="107"/>
      <c r="K56" s="107"/>
      <c r="L56" s="110">
        <f>L54+L55</f>
        <v>125.65210436266666</v>
      </c>
      <c r="M56" s="111"/>
      <c r="N56" s="112">
        <f t="shared" si="13"/>
        <v>7.5076175466666513</v>
      </c>
      <c r="O56" s="113">
        <f t="shared" si="12"/>
        <v>6.3546067607531509E-2</v>
      </c>
    </row>
    <row r="57" spans="1:15" x14ac:dyDescent="0.2">
      <c r="B57" s="232" t="s">
        <v>52</v>
      </c>
      <c r="C57" s="232"/>
      <c r="D57" s="232"/>
      <c r="E57" s="26"/>
      <c r="F57" s="115"/>
      <c r="G57" s="116"/>
      <c r="H57" s="117">
        <f>ROUND(-H56*10%,2)</f>
        <v>-11.81</v>
      </c>
      <c r="I57" s="107"/>
      <c r="J57" s="107"/>
      <c r="K57" s="107"/>
      <c r="L57" s="118">
        <f>ROUND(-L56*10%,2)</f>
        <v>-12.57</v>
      </c>
      <c r="M57" s="111"/>
      <c r="N57" s="119">
        <f t="shared" si="13"/>
        <v>-0.75999999999999979</v>
      </c>
      <c r="O57" s="120">
        <f t="shared" si="12"/>
        <v>6.4352243861134611E-2</v>
      </c>
    </row>
    <row r="58" spans="1:15" ht="13.5" thickBot="1" x14ac:dyDescent="0.25">
      <c r="B58" s="225" t="s">
        <v>55</v>
      </c>
      <c r="C58" s="225"/>
      <c r="D58" s="225"/>
      <c r="E58" s="121"/>
      <c r="F58" s="138"/>
      <c r="G58" s="139"/>
      <c r="H58" s="140">
        <f>H56+H57</f>
        <v>106.33448681600001</v>
      </c>
      <c r="I58" s="141"/>
      <c r="J58" s="141"/>
      <c r="K58" s="141"/>
      <c r="L58" s="142">
        <f>L56+L57</f>
        <v>113.08210436266666</v>
      </c>
      <c r="M58" s="143"/>
      <c r="N58" s="144">
        <f t="shared" si="13"/>
        <v>6.7476175466666461</v>
      </c>
      <c r="O58" s="145">
        <f t="shared" si="12"/>
        <v>6.3456529943504092E-2</v>
      </c>
    </row>
    <row r="59" spans="1:15" ht="8.25" customHeight="1" thickBot="1" x14ac:dyDescent="0.25">
      <c r="B59" s="83"/>
      <c r="C59" s="84"/>
      <c r="D59" s="85"/>
      <c r="E59" s="84"/>
      <c r="F59" s="130"/>
      <c r="G59" s="131"/>
      <c r="H59" s="132"/>
      <c r="I59" s="133"/>
      <c r="J59" s="130"/>
      <c r="K59" s="87"/>
      <c r="L59" s="134"/>
      <c r="M59" s="89"/>
      <c r="N59" s="146"/>
      <c r="O59" s="147"/>
    </row>
    <row r="60" spans="1:15" ht="10.5" customHeight="1" x14ac:dyDescent="0.2">
      <c r="L60" s="148"/>
    </row>
    <row r="61" spans="1:15" x14ac:dyDescent="0.2">
      <c r="B61" s="17" t="s">
        <v>56</v>
      </c>
      <c r="F61" s="149">
        <v>4.48E-2</v>
      </c>
      <c r="J61" s="149">
        <v>3.4200000000000001E-2</v>
      </c>
    </row>
    <row r="62" spans="1:15" ht="10.5" customHeight="1" x14ac:dyDescent="0.2"/>
    <row r="63" spans="1:15" ht="10.5" customHeight="1" x14ac:dyDescent="0.2">
      <c r="A63" s="150" t="s">
        <v>57</v>
      </c>
    </row>
    <row r="64" spans="1:15" ht="10.5" customHeight="1" x14ac:dyDescent="0.2"/>
    <row r="65" spans="1:1" x14ac:dyDescent="0.2">
      <c r="A65" s="11" t="s">
        <v>58</v>
      </c>
    </row>
    <row r="66" spans="1:1" x14ac:dyDescent="0.2">
      <c r="A66" s="11" t="s">
        <v>59</v>
      </c>
    </row>
    <row r="68" spans="1:1" x14ac:dyDescent="0.2">
      <c r="A68" s="11" t="s">
        <v>60</v>
      </c>
    </row>
    <row r="69" spans="1:1" x14ac:dyDescent="0.2">
      <c r="A69" s="11" t="s">
        <v>61</v>
      </c>
    </row>
    <row r="71" spans="1:1" x14ac:dyDescent="0.2">
      <c r="A71" s="11" t="s">
        <v>62</v>
      </c>
    </row>
    <row r="72" spans="1:1" x14ac:dyDescent="0.2">
      <c r="A72" s="11" t="s">
        <v>63</v>
      </c>
    </row>
    <row r="73" spans="1:1" x14ac:dyDescent="0.2">
      <c r="A73" s="11" t="s">
        <v>64</v>
      </c>
    </row>
    <row r="74" spans="1:1" x14ac:dyDescent="0.2">
      <c r="A74" s="11" t="s">
        <v>65</v>
      </c>
    </row>
    <row r="75" spans="1:1" x14ac:dyDescent="0.2">
      <c r="A75" s="11" t="s">
        <v>66</v>
      </c>
    </row>
  </sheetData>
  <sheetProtection selectLockedCells="1"/>
  <mergeCells count="14">
    <mergeCell ref="B58:D58"/>
    <mergeCell ref="D20:D21"/>
    <mergeCell ref="N20:N21"/>
    <mergeCell ref="O20:O21"/>
    <mergeCell ref="B51:D51"/>
    <mergeCell ref="B52:D52"/>
    <mergeCell ref="B57:D57"/>
    <mergeCell ref="B2:K6"/>
    <mergeCell ref="B10:O10"/>
    <mergeCell ref="B11:O11"/>
    <mergeCell ref="D15:O15"/>
    <mergeCell ref="F19:H19"/>
    <mergeCell ref="J19:L19"/>
    <mergeCell ref="N19:O19"/>
  </mergeCells>
  <dataValidations count="3">
    <dataValidation type="list" allowBlank="1" showInputMessage="1" showErrorMessage="1" sqref="E35:E36 E53 E59 E22:E28 E30:E33 E38:E41 E44:E47">
      <formula1>#REF!</formula1>
    </dataValidation>
    <dataValidation type="list" allowBlank="1" showInputMessage="1" showErrorMessage="1" prompt="Select Charge Unit - monthly, per kWh, per kW" sqref="D35:D36 D53 D59 D22:D28 D30:D33 D38:D47">
      <formula1>"Monthly, per kWh, per kW"</formula1>
    </dataValidation>
    <dataValidation type="list" allowBlank="1" showInputMessage="1" showErrorMessage="1" sqref="E42:E43">
      <formula1>#REF!</formula1>
    </dataValidation>
  </dataValidations>
  <pageMargins left="0.75" right="0.75" top="1" bottom="1" header="0.5" footer="0.5"/>
  <pageSetup scale="64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1571625</xdr:colOff>
                    <xdr:row>6</xdr:row>
                    <xdr:rowOff>9525</xdr:rowOff>
                  </from>
                  <to>
                    <xdr:col>3</xdr:col>
                    <xdr:colOff>400050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257175</xdr:colOff>
                    <xdr:row>6</xdr:row>
                    <xdr:rowOff>9525</xdr:rowOff>
                  </from>
                  <to>
                    <xdr:col>6</xdr:col>
                    <xdr:colOff>190500</xdr:colOff>
                    <xdr:row>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9">
    <pageSetUpPr fitToPage="1"/>
  </sheetPr>
  <dimension ref="A1:T74"/>
  <sheetViews>
    <sheetView showGridLines="0" topLeftCell="A16" zoomScaleNormal="100" workbookViewId="0">
      <selection activeCell="O24" sqref="O24"/>
    </sheetView>
  </sheetViews>
  <sheetFormatPr defaultColWidth="9.140625" defaultRowHeight="12.75" x14ac:dyDescent="0.2"/>
  <cols>
    <col min="1" max="1" width="1.28515625" style="11" customWidth="1"/>
    <col min="2" max="2" width="26.5703125" style="11" customWidth="1"/>
    <col min="3" max="3" width="1.28515625" style="11" customWidth="1"/>
    <col min="4" max="4" width="11.28515625" style="11" customWidth="1"/>
    <col min="5" max="5" width="1.28515625" style="11" customWidth="1"/>
    <col min="6" max="6" width="12.28515625" style="11" customWidth="1"/>
    <col min="7" max="7" width="8.5703125" style="11" customWidth="1"/>
    <col min="8" max="8" width="10.42578125" style="11" customWidth="1"/>
    <col min="9" max="9" width="2.85546875" style="11" customWidth="1"/>
    <col min="10" max="10" width="12.140625" style="11" customWidth="1"/>
    <col min="11" max="11" width="8.5703125" style="11" customWidth="1"/>
    <col min="12" max="12" width="9.7109375" style="11" customWidth="1"/>
    <col min="13" max="13" width="2.85546875" style="11" customWidth="1"/>
    <col min="14" max="14" width="12.7109375" style="11" bestFit="1" customWidth="1"/>
    <col min="15" max="15" width="12.28515625" style="159" bestFit="1" customWidth="1"/>
    <col min="16" max="16" width="3.85546875" style="11" customWidth="1"/>
    <col min="17" max="19" width="9.140625" style="11"/>
    <col min="20" max="20" width="0" style="11" hidden="1" customWidth="1"/>
    <col min="21" max="16384" width="9.140625" style="1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151" t="str">
        <f>'[3]LDC Info'!$E$18</f>
        <v>EB-2012-0167</v>
      </c>
      <c r="P1" s="5"/>
      <c r="T1" s="2">
        <v>1</v>
      </c>
    </row>
    <row r="2" spans="1:20" s="2" customFormat="1" ht="1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N2" s="3" t="s">
        <v>1</v>
      </c>
      <c r="O2" s="153"/>
      <c r="P2" s="5"/>
    </row>
    <row r="3" spans="1:20" s="2" customFormat="1" ht="15" customHeight="1" x14ac:dyDescent="0.25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N3" s="3" t="s">
        <v>2</v>
      </c>
      <c r="O3" s="153"/>
      <c r="P3" s="5"/>
    </row>
    <row r="4" spans="1:20" s="2" customFormat="1" ht="15" customHeight="1" x14ac:dyDescent="0.25">
      <c r="A4" s="152"/>
      <c r="B4" s="152"/>
      <c r="C4" s="152"/>
      <c r="D4" s="152"/>
      <c r="E4" s="152"/>
      <c r="F4" s="152"/>
      <c r="G4" s="152"/>
      <c r="H4" s="152"/>
      <c r="I4" s="154"/>
      <c r="J4" s="154"/>
      <c r="K4" s="154"/>
      <c r="N4" s="3" t="s">
        <v>3</v>
      </c>
      <c r="O4" s="153"/>
      <c r="P4" s="5"/>
    </row>
    <row r="5" spans="1:20" s="2" customFormat="1" ht="15" customHeight="1" x14ac:dyDescent="0.25">
      <c r="C5" s="155"/>
      <c r="D5" s="155"/>
      <c r="E5" s="155"/>
      <c r="N5" s="3" t="s">
        <v>4</v>
      </c>
      <c r="O5" s="156"/>
      <c r="P5" s="5"/>
    </row>
    <row r="6" spans="1:20" s="2" customFormat="1" ht="9" customHeight="1" x14ac:dyDescent="0.2">
      <c r="N6" s="3"/>
      <c r="O6" s="151"/>
      <c r="P6" s="5"/>
    </row>
    <row r="7" spans="1:20" s="2" customFormat="1" x14ac:dyDescent="0.2">
      <c r="N7" s="3" t="s">
        <v>5</v>
      </c>
      <c r="O7" s="10">
        <v>41388</v>
      </c>
      <c r="P7" s="5"/>
    </row>
    <row r="8" spans="1:20" s="2" customFormat="1" ht="15" customHeight="1" x14ac:dyDescent="0.2">
      <c r="N8" s="11"/>
      <c r="O8" s="157"/>
      <c r="P8" s="5"/>
    </row>
    <row r="9" spans="1:20" ht="7.5" customHeight="1" x14ac:dyDescent="0.2">
      <c r="L9" s="5"/>
      <c r="M9" s="5"/>
      <c r="N9" s="5"/>
      <c r="O9" s="157"/>
      <c r="P9" s="5"/>
    </row>
    <row r="10" spans="1:20" ht="18.75" customHeight="1" x14ac:dyDescent="0.25">
      <c r="B10" s="220" t="s">
        <v>6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5"/>
    </row>
    <row r="11" spans="1:20" ht="18.75" customHeight="1" x14ac:dyDescent="0.25">
      <c r="B11" s="220" t="s">
        <v>7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5"/>
    </row>
    <row r="12" spans="1:20" ht="7.5" customHeight="1" x14ac:dyDescent="0.2">
      <c r="L12" s="5"/>
      <c r="M12" s="5"/>
      <c r="N12" s="5"/>
      <c r="O12" s="157"/>
      <c r="P12" s="5"/>
    </row>
    <row r="13" spans="1:20" ht="7.5" customHeight="1" x14ac:dyDescent="0.2">
      <c r="L13" s="5"/>
      <c r="M13" s="5"/>
      <c r="N13" s="5"/>
      <c r="O13" s="157"/>
      <c r="P13" s="5"/>
    </row>
    <row r="14" spans="1:20" ht="15.75" x14ac:dyDescent="0.2">
      <c r="B14" s="13" t="s">
        <v>9</v>
      </c>
      <c r="D14" s="221" t="s">
        <v>67</v>
      </c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</row>
    <row r="15" spans="1:20" ht="7.5" customHeight="1" x14ac:dyDescent="0.25">
      <c r="B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8"/>
    </row>
    <row r="16" spans="1:20" x14ac:dyDescent="0.2">
      <c r="B16" s="16"/>
      <c r="D16" s="17" t="s">
        <v>11</v>
      </c>
      <c r="E16" s="17"/>
      <c r="F16" s="18">
        <v>2000</v>
      </c>
      <c r="G16" s="17" t="s">
        <v>12</v>
      </c>
    </row>
    <row r="17" spans="2:15" ht="10.5" customHeight="1" x14ac:dyDescent="0.2">
      <c r="B17" s="16"/>
    </row>
    <row r="18" spans="2:15" x14ac:dyDescent="0.2">
      <c r="B18" s="16"/>
      <c r="D18" s="19"/>
      <c r="E18" s="19"/>
      <c r="F18" s="222" t="s">
        <v>13</v>
      </c>
      <c r="G18" s="223"/>
      <c r="H18" s="224"/>
      <c r="J18" s="222" t="s">
        <v>14</v>
      </c>
      <c r="K18" s="223"/>
      <c r="L18" s="224"/>
      <c r="N18" s="222" t="s">
        <v>15</v>
      </c>
      <c r="O18" s="224"/>
    </row>
    <row r="19" spans="2:15" x14ac:dyDescent="0.2">
      <c r="B19" s="16"/>
      <c r="D19" s="226" t="s">
        <v>16</v>
      </c>
      <c r="E19" s="20"/>
      <c r="F19" s="21" t="s">
        <v>17</v>
      </c>
      <c r="G19" s="21" t="s">
        <v>18</v>
      </c>
      <c r="H19" s="22" t="s">
        <v>19</v>
      </c>
      <c r="J19" s="21" t="s">
        <v>17</v>
      </c>
      <c r="K19" s="23" t="s">
        <v>18</v>
      </c>
      <c r="L19" s="22" t="s">
        <v>19</v>
      </c>
      <c r="N19" s="228" t="s">
        <v>20</v>
      </c>
      <c r="O19" s="234" t="s">
        <v>21</v>
      </c>
    </row>
    <row r="20" spans="2:15" x14ac:dyDescent="0.2">
      <c r="B20" s="16"/>
      <c r="D20" s="227"/>
      <c r="E20" s="20"/>
      <c r="F20" s="24" t="s">
        <v>22</v>
      </c>
      <c r="G20" s="24"/>
      <c r="H20" s="25" t="s">
        <v>22</v>
      </c>
      <c r="J20" s="24" t="s">
        <v>22</v>
      </c>
      <c r="K20" s="25"/>
      <c r="L20" s="25" t="s">
        <v>22</v>
      </c>
      <c r="N20" s="229"/>
      <c r="O20" s="235"/>
    </row>
    <row r="21" spans="2:15" ht="15" x14ac:dyDescent="0.2">
      <c r="B21" s="26" t="s">
        <v>23</v>
      </c>
      <c r="C21" s="26"/>
      <c r="D21" s="27" t="s">
        <v>24</v>
      </c>
      <c r="E21" s="28"/>
      <c r="F21" s="29">
        <v>17.84</v>
      </c>
      <c r="G21" s="30">
        <v>1</v>
      </c>
      <c r="H21" s="31">
        <f>G21*F21</f>
        <v>17.84</v>
      </c>
      <c r="I21" s="32"/>
      <c r="J21" s="33">
        <v>25.96</v>
      </c>
      <c r="K21" s="34">
        <v>1</v>
      </c>
      <c r="L21" s="31">
        <f>K21*J21</f>
        <v>25.96</v>
      </c>
      <c r="M21" s="32"/>
      <c r="N21" s="35">
        <f>L21-H21</f>
        <v>8.120000000000001</v>
      </c>
      <c r="O21" s="36">
        <f>IF((H21)=0,"",(N21/H21))</f>
        <v>0.45515695067264578</v>
      </c>
    </row>
    <row r="22" spans="2:15" ht="15" x14ac:dyDescent="0.2">
      <c r="B22" s="37" t="s">
        <v>25</v>
      </c>
      <c r="C22" s="26"/>
      <c r="D22" s="27" t="s">
        <v>24</v>
      </c>
      <c r="E22" s="28"/>
      <c r="F22" s="29">
        <v>6.8416666666666677</v>
      </c>
      <c r="G22" s="30">
        <v>1</v>
      </c>
      <c r="H22" s="31">
        <f t="shared" ref="H22:H27" si="0">G22*F22</f>
        <v>6.8416666666666677</v>
      </c>
      <c r="I22" s="32"/>
      <c r="J22" s="33">
        <v>0</v>
      </c>
      <c r="K22" s="34">
        <v>1</v>
      </c>
      <c r="L22" s="31">
        <f t="shared" ref="L22:L27" si="1">K22*J22</f>
        <v>0</v>
      </c>
      <c r="M22" s="32"/>
      <c r="N22" s="35">
        <f t="shared" ref="N22:N28" si="2">L22-H22</f>
        <v>-6.8416666666666677</v>
      </c>
      <c r="O22" s="36">
        <f t="shared" ref="O22:O28" si="3">IF((H22)=0,"",(N22/H22))</f>
        <v>-1</v>
      </c>
    </row>
    <row r="23" spans="2:15" ht="15" x14ac:dyDescent="0.2">
      <c r="B23" s="26" t="s">
        <v>26</v>
      </c>
      <c r="C23" s="26"/>
      <c r="D23" s="27" t="s">
        <v>27</v>
      </c>
      <c r="E23" s="28"/>
      <c r="F23" s="29">
        <v>1.2999999999999999E-2</v>
      </c>
      <c r="G23" s="30">
        <f>$F$16</f>
        <v>2000</v>
      </c>
      <c r="H23" s="31">
        <f t="shared" si="0"/>
        <v>26</v>
      </c>
      <c r="I23" s="32"/>
      <c r="J23" s="33">
        <v>1.34E-2</v>
      </c>
      <c r="K23" s="30">
        <f>$F$16</f>
        <v>2000</v>
      </c>
      <c r="L23" s="31">
        <f t="shared" si="1"/>
        <v>26.8</v>
      </c>
      <c r="M23" s="32"/>
      <c r="N23" s="35">
        <f t="shared" si="2"/>
        <v>0.80000000000000071</v>
      </c>
      <c r="O23" s="36">
        <f t="shared" si="3"/>
        <v>3.0769230769230795E-2</v>
      </c>
    </row>
    <row r="24" spans="2:15" ht="15" x14ac:dyDescent="0.2">
      <c r="B24" s="26" t="s">
        <v>28</v>
      </c>
      <c r="C24" s="26"/>
      <c r="D24" s="27" t="s">
        <v>24</v>
      </c>
      <c r="E24" s="28"/>
      <c r="F24" s="29">
        <v>3.4916666666666667</v>
      </c>
      <c r="G24" s="30">
        <v>1</v>
      </c>
      <c r="H24" s="31">
        <f>G24*F24</f>
        <v>3.4916666666666667</v>
      </c>
      <c r="I24" s="32"/>
      <c r="J24" s="33">
        <f>+F24</f>
        <v>3.4916666666666667</v>
      </c>
      <c r="K24" s="30">
        <v>1</v>
      </c>
      <c r="L24" s="31">
        <f t="shared" si="1"/>
        <v>3.4916666666666667</v>
      </c>
      <c r="M24" s="32"/>
      <c r="N24" s="35">
        <f t="shared" si="2"/>
        <v>0</v>
      </c>
      <c r="O24" s="36">
        <f t="shared" si="3"/>
        <v>0</v>
      </c>
    </row>
    <row r="25" spans="2:15" ht="15" x14ac:dyDescent="0.2">
      <c r="B25" s="26" t="s">
        <v>77</v>
      </c>
      <c r="C25" s="26"/>
      <c r="D25" s="27" t="s">
        <v>24</v>
      </c>
      <c r="E25" s="28"/>
      <c r="F25" s="29">
        <v>0</v>
      </c>
      <c r="G25" s="30">
        <v>1</v>
      </c>
      <c r="H25" s="31">
        <f>G25*F25</f>
        <v>0</v>
      </c>
      <c r="I25" s="32"/>
      <c r="J25" s="33">
        <v>0.79</v>
      </c>
      <c r="K25" s="30">
        <v>1</v>
      </c>
      <c r="L25" s="31">
        <f t="shared" si="1"/>
        <v>0.79</v>
      </c>
      <c r="M25" s="32"/>
      <c r="N25" s="35">
        <f t="shared" ref="N25" si="4">L25-H25</f>
        <v>0.79</v>
      </c>
      <c r="O25" s="36" t="str">
        <f t="shared" si="3"/>
        <v/>
      </c>
    </row>
    <row r="26" spans="2:15" ht="15" x14ac:dyDescent="0.2">
      <c r="B26" s="26" t="s">
        <v>29</v>
      </c>
      <c r="C26" s="26"/>
      <c r="D26" s="27" t="s">
        <v>27</v>
      </c>
      <c r="E26" s="28"/>
      <c r="F26" s="29">
        <v>2.0000000000000001E-4</v>
      </c>
      <c r="G26" s="30">
        <f>$F$16</f>
        <v>2000</v>
      </c>
      <c r="H26" s="31">
        <f t="shared" si="0"/>
        <v>0.4</v>
      </c>
      <c r="I26" s="32"/>
      <c r="J26" s="33">
        <v>0</v>
      </c>
      <c r="K26" s="30">
        <f t="shared" ref="K26:K32" si="5">$F$16</f>
        <v>2000</v>
      </c>
      <c r="L26" s="31">
        <f t="shared" si="1"/>
        <v>0</v>
      </c>
      <c r="M26" s="32"/>
      <c r="N26" s="35">
        <f t="shared" si="2"/>
        <v>-0.4</v>
      </c>
      <c r="O26" s="36">
        <f t="shared" si="3"/>
        <v>-1</v>
      </c>
    </row>
    <row r="27" spans="2:15" ht="15" x14ac:dyDescent="0.2">
      <c r="B27" s="39" t="s">
        <v>30</v>
      </c>
      <c r="C27" s="26"/>
      <c r="D27" s="27" t="s">
        <v>24</v>
      </c>
      <c r="E27" s="28"/>
      <c r="F27" s="29"/>
      <c r="G27" s="30">
        <v>1</v>
      </c>
      <c r="H27" s="31">
        <f t="shared" si="0"/>
        <v>0</v>
      </c>
      <c r="I27" s="32"/>
      <c r="J27" s="33">
        <v>6.29</v>
      </c>
      <c r="K27" s="34">
        <v>1</v>
      </c>
      <c r="L27" s="31">
        <f t="shared" si="1"/>
        <v>6.29</v>
      </c>
      <c r="M27" s="32"/>
      <c r="N27" s="35">
        <f t="shared" si="2"/>
        <v>6.29</v>
      </c>
      <c r="O27" s="36" t="str">
        <f>IF((H27)=0,"",(N27/H27))</f>
        <v/>
      </c>
    </row>
    <row r="28" spans="2:15" s="51" customFormat="1" ht="15" x14ac:dyDescent="0.2">
      <c r="B28" s="40" t="s">
        <v>31</v>
      </c>
      <c r="C28" s="41"/>
      <c r="D28" s="42"/>
      <c r="E28" s="41"/>
      <c r="F28" s="43"/>
      <c r="G28" s="44"/>
      <c r="H28" s="45">
        <f>SUM(H21:H27)</f>
        <v>54.573333333333338</v>
      </c>
      <c r="I28" s="46"/>
      <c r="J28" s="47"/>
      <c r="K28" s="48"/>
      <c r="L28" s="45">
        <f>SUM(L21:L27)</f>
        <v>63.331666666666671</v>
      </c>
      <c r="M28" s="46"/>
      <c r="N28" s="49">
        <f t="shared" si="2"/>
        <v>8.7583333333333329</v>
      </c>
      <c r="O28" s="50">
        <f t="shared" si="3"/>
        <v>0.1604874175421451</v>
      </c>
    </row>
    <row r="29" spans="2:15" ht="25.5" x14ac:dyDescent="0.2">
      <c r="B29" s="52" t="s">
        <v>32</v>
      </c>
      <c r="C29" s="26"/>
      <c r="D29" s="27" t="s">
        <v>27</v>
      </c>
      <c r="E29" s="28"/>
      <c r="F29" s="33">
        <v>-3.0000000000000001E-3</v>
      </c>
      <c r="G29" s="30">
        <f>$F$16</f>
        <v>2000</v>
      </c>
      <c r="H29" s="31">
        <f>G29*F29</f>
        <v>-6</v>
      </c>
      <c r="I29" s="32"/>
      <c r="J29" s="33">
        <v>-3.5000000000000001E-3</v>
      </c>
      <c r="K29" s="30">
        <f>$F$16</f>
        <v>2000</v>
      </c>
      <c r="L29" s="31">
        <f>K29*J29</f>
        <v>-7</v>
      </c>
      <c r="M29" s="32"/>
      <c r="N29" s="35">
        <f>L29-H29</f>
        <v>-1</v>
      </c>
      <c r="O29" s="36">
        <f>IF((H29)=0,"",(N29/H29))</f>
        <v>0.16666666666666666</v>
      </c>
    </row>
    <row r="30" spans="2:15" ht="15" x14ac:dyDescent="0.2">
      <c r="B30" s="52" t="s">
        <v>33</v>
      </c>
      <c r="C30" s="26"/>
      <c r="D30" s="27" t="s">
        <v>27</v>
      </c>
      <c r="E30" s="28"/>
      <c r="F30" s="29">
        <v>-2.0000000000000001E-4</v>
      </c>
      <c r="G30" s="30">
        <f t="shared" ref="G30" si="6">$F$16</f>
        <v>2000</v>
      </c>
      <c r="H30" s="31">
        <f t="shared" ref="H30" si="7">G30*F30</f>
        <v>-0.4</v>
      </c>
      <c r="I30" s="53"/>
      <c r="J30" s="33">
        <v>0</v>
      </c>
      <c r="K30" s="30">
        <f t="shared" ref="K30" si="8">$F$16</f>
        <v>2000</v>
      </c>
      <c r="L30" s="31">
        <f t="shared" ref="L30:L31" si="9">K30*J30</f>
        <v>0</v>
      </c>
      <c r="M30" s="54"/>
      <c r="N30" s="35">
        <f t="shared" ref="N30:N31" si="10">L30-H30</f>
        <v>0.4</v>
      </c>
      <c r="O30" s="36">
        <f t="shared" ref="O30:O31" si="11">IF((H30)=0,"",(N30/H30))</f>
        <v>-1</v>
      </c>
    </row>
    <row r="31" spans="2:15" ht="15" x14ac:dyDescent="0.2">
      <c r="B31" s="52"/>
      <c r="C31" s="26"/>
      <c r="D31" s="27"/>
      <c r="E31" s="28"/>
      <c r="F31" s="29"/>
      <c r="G31" s="30"/>
      <c r="H31" s="31"/>
      <c r="I31" s="55"/>
      <c r="J31" s="33"/>
      <c r="K31" s="30"/>
      <c r="L31" s="31">
        <f t="shared" si="9"/>
        <v>0</v>
      </c>
      <c r="M31" s="55"/>
      <c r="N31" s="35">
        <f t="shared" si="10"/>
        <v>0</v>
      </c>
      <c r="O31" s="36" t="str">
        <f t="shared" si="11"/>
        <v/>
      </c>
    </row>
    <row r="32" spans="2:15" ht="15" x14ac:dyDescent="0.2">
      <c r="B32" s="39" t="s">
        <v>34</v>
      </c>
      <c r="C32" s="26"/>
      <c r="D32" s="27"/>
      <c r="E32" s="28"/>
      <c r="F32" s="160"/>
      <c r="G32" s="57"/>
      <c r="H32" s="58"/>
      <c r="I32" s="32"/>
      <c r="J32" s="33"/>
      <c r="K32" s="30">
        <f t="shared" si="5"/>
        <v>2000</v>
      </c>
      <c r="L32" s="31">
        <f>K32*J32</f>
        <v>0</v>
      </c>
      <c r="M32" s="32"/>
      <c r="N32" s="35">
        <f>L32-H32</f>
        <v>0</v>
      </c>
      <c r="O32" s="36"/>
    </row>
    <row r="33" spans="2:15" ht="25.5" x14ac:dyDescent="0.2">
      <c r="B33" s="59" t="s">
        <v>35</v>
      </c>
      <c r="C33" s="60"/>
      <c r="D33" s="60"/>
      <c r="E33" s="60"/>
      <c r="F33" s="61"/>
      <c r="G33" s="62"/>
      <c r="H33" s="63">
        <f>SUM(H29:H30)+H28</f>
        <v>48.173333333333339</v>
      </c>
      <c r="I33" s="46"/>
      <c r="J33" s="62"/>
      <c r="K33" s="64"/>
      <c r="L33" s="63">
        <f>SUM(L29:L31)+L28</f>
        <v>56.331666666666671</v>
      </c>
      <c r="M33" s="46"/>
      <c r="N33" s="49">
        <f t="shared" ref="N33:N57" si="12">L33-H33</f>
        <v>8.1583333333333314</v>
      </c>
      <c r="O33" s="50">
        <f t="shared" ref="O33:O57" si="13">IF((H33)=0,"",(N33/H33))</f>
        <v>0.16935372266814275</v>
      </c>
    </row>
    <row r="34" spans="2:15" ht="15" x14ac:dyDescent="0.2">
      <c r="B34" s="32" t="s">
        <v>36</v>
      </c>
      <c r="C34" s="32"/>
      <c r="D34" s="65" t="s">
        <v>27</v>
      </c>
      <c r="E34" s="66"/>
      <c r="F34" s="33">
        <v>6.1000000000000004E-3</v>
      </c>
      <c r="G34" s="67">
        <f>F16*(1+F60)</f>
        <v>2089.6</v>
      </c>
      <c r="H34" s="31">
        <f>G34*F34</f>
        <v>12.746560000000001</v>
      </c>
      <c r="I34" s="32"/>
      <c r="J34" s="33">
        <v>6.1999999999999998E-3</v>
      </c>
      <c r="K34" s="68">
        <f>F16*(1+J60)</f>
        <v>2068.4</v>
      </c>
      <c r="L34" s="31">
        <f>K34*J34</f>
        <v>12.82408</v>
      </c>
      <c r="M34" s="32"/>
      <c r="N34" s="35">
        <f t="shared" si="12"/>
        <v>7.7519999999999811E-2</v>
      </c>
      <c r="O34" s="36">
        <f t="shared" si="13"/>
        <v>6.081640850551036E-3</v>
      </c>
    </row>
    <row r="35" spans="2:15" ht="25.5" x14ac:dyDescent="0.2">
      <c r="B35" s="70" t="s">
        <v>37</v>
      </c>
      <c r="C35" s="32"/>
      <c r="D35" s="65" t="s">
        <v>27</v>
      </c>
      <c r="E35" s="66"/>
      <c r="F35" s="33">
        <v>4.5999999999999999E-3</v>
      </c>
      <c r="G35" s="67">
        <f>G34</f>
        <v>2089.6</v>
      </c>
      <c r="H35" s="31">
        <f>G35*F35</f>
        <v>9.6121599999999994</v>
      </c>
      <c r="I35" s="32"/>
      <c r="J35" s="33">
        <v>4.4000000000000003E-3</v>
      </c>
      <c r="K35" s="68">
        <f>K34</f>
        <v>2068.4</v>
      </c>
      <c r="L35" s="31">
        <f>K35*J35</f>
        <v>9.1009600000000006</v>
      </c>
      <c r="M35" s="32"/>
      <c r="N35" s="35">
        <f t="shared" si="12"/>
        <v>-0.51119999999999877</v>
      </c>
      <c r="O35" s="36">
        <f t="shared" si="13"/>
        <v>-5.3182635328583666E-2</v>
      </c>
    </row>
    <row r="36" spans="2:15" ht="25.5" x14ac:dyDescent="0.2">
      <c r="B36" s="59" t="s">
        <v>38</v>
      </c>
      <c r="C36" s="41"/>
      <c r="D36" s="41"/>
      <c r="E36" s="41"/>
      <c r="F36" s="71"/>
      <c r="G36" s="62"/>
      <c r="H36" s="63">
        <f>SUM(H33:H35)</f>
        <v>70.532053333333337</v>
      </c>
      <c r="I36" s="72"/>
      <c r="J36" s="73"/>
      <c r="K36" s="74"/>
      <c r="L36" s="63">
        <f>SUM(L33:L35)</f>
        <v>78.256706666666673</v>
      </c>
      <c r="M36" s="72"/>
      <c r="N36" s="49">
        <f t="shared" si="12"/>
        <v>7.724653333333336</v>
      </c>
      <c r="O36" s="50">
        <f t="shared" si="13"/>
        <v>0.10951975688027613</v>
      </c>
    </row>
    <row r="37" spans="2:15" ht="25.5" x14ac:dyDescent="0.2">
      <c r="B37" s="75" t="s">
        <v>39</v>
      </c>
      <c r="C37" s="26"/>
      <c r="D37" s="27" t="s">
        <v>27</v>
      </c>
      <c r="E37" s="28"/>
      <c r="F37" s="76">
        <v>5.1999999999999998E-3</v>
      </c>
      <c r="G37" s="67">
        <f>G35</f>
        <v>2089.6</v>
      </c>
      <c r="H37" s="77">
        <f t="shared" ref="H37:H45" si="14">G37*F37</f>
        <v>10.865919999999999</v>
      </c>
      <c r="I37" s="32"/>
      <c r="J37" s="78">
        <v>4.4000000000000003E-3</v>
      </c>
      <c r="K37" s="68">
        <f>K35</f>
        <v>2068.4</v>
      </c>
      <c r="L37" s="77">
        <f t="shared" ref="L37:L45" si="15">K37*J37</f>
        <v>9.1009600000000006</v>
      </c>
      <c r="M37" s="32"/>
      <c r="N37" s="35">
        <f t="shared" si="12"/>
        <v>-1.7649599999999985</v>
      </c>
      <c r="O37" s="79">
        <f t="shared" si="13"/>
        <v>-0.16243079279067016</v>
      </c>
    </row>
    <row r="38" spans="2:15" ht="25.5" x14ac:dyDescent="0.2">
      <c r="B38" s="75" t="s">
        <v>40</v>
      </c>
      <c r="C38" s="26"/>
      <c r="D38" s="27" t="s">
        <v>27</v>
      </c>
      <c r="E38" s="28"/>
      <c r="F38" s="76">
        <v>1.1000000000000001E-3</v>
      </c>
      <c r="G38" s="67">
        <f>G35</f>
        <v>2089.6</v>
      </c>
      <c r="H38" s="77">
        <f t="shared" si="14"/>
        <v>2.2985600000000002</v>
      </c>
      <c r="I38" s="32"/>
      <c r="J38" s="78">
        <v>1.1999999999999999E-3</v>
      </c>
      <c r="K38" s="68">
        <f>K35</f>
        <v>2068.4</v>
      </c>
      <c r="L38" s="77">
        <f t="shared" si="15"/>
        <v>2.4820799999999998</v>
      </c>
      <c r="M38" s="32"/>
      <c r="N38" s="35">
        <f t="shared" si="12"/>
        <v>0.18351999999999968</v>
      </c>
      <c r="O38" s="79">
        <f t="shared" si="13"/>
        <v>7.9841291939300979E-2</v>
      </c>
    </row>
    <row r="39" spans="2:15" x14ac:dyDescent="0.2">
      <c r="B39" s="26" t="s">
        <v>41</v>
      </c>
      <c r="C39" s="26"/>
      <c r="D39" s="27" t="s">
        <v>24</v>
      </c>
      <c r="E39" s="28"/>
      <c r="F39" s="76">
        <v>0.25</v>
      </c>
      <c r="G39" s="30">
        <v>1</v>
      </c>
      <c r="H39" s="77">
        <f t="shared" si="14"/>
        <v>0.25</v>
      </c>
      <c r="I39" s="32"/>
      <c r="J39" s="78">
        <v>0.25</v>
      </c>
      <c r="K39" s="34">
        <v>1</v>
      </c>
      <c r="L39" s="77">
        <f t="shared" si="15"/>
        <v>0.25</v>
      </c>
      <c r="M39" s="32"/>
      <c r="N39" s="35">
        <f t="shared" si="12"/>
        <v>0</v>
      </c>
      <c r="O39" s="79">
        <f t="shared" si="13"/>
        <v>0</v>
      </c>
    </row>
    <row r="40" spans="2:15" x14ac:dyDescent="0.2">
      <c r="B40" s="26" t="s">
        <v>42</v>
      </c>
      <c r="C40" s="26"/>
      <c r="D40" s="27" t="s">
        <v>27</v>
      </c>
      <c r="E40" s="28"/>
      <c r="F40" s="76">
        <v>7.0000000000000001E-3</v>
      </c>
      <c r="G40" s="67">
        <f>G38</f>
        <v>2089.6</v>
      </c>
      <c r="H40" s="77">
        <f t="shared" si="14"/>
        <v>14.6272</v>
      </c>
      <c r="I40" s="32"/>
      <c r="J40" s="78">
        <v>7.0000000000000001E-3</v>
      </c>
      <c r="K40" s="68">
        <f>K38</f>
        <v>2068.4</v>
      </c>
      <c r="L40" s="77">
        <f t="shared" si="15"/>
        <v>14.478800000000001</v>
      </c>
      <c r="M40" s="32"/>
      <c r="N40" s="35">
        <f t="shared" si="12"/>
        <v>-0.14839999999999876</v>
      </c>
      <c r="O40" s="79">
        <f t="shared" si="13"/>
        <v>-1.0145482388973882E-2</v>
      </c>
    </row>
    <row r="41" spans="2:15" x14ac:dyDescent="0.2">
      <c r="B41" s="39" t="s">
        <v>43</v>
      </c>
      <c r="C41" s="26"/>
      <c r="D41" s="27" t="s">
        <v>27</v>
      </c>
      <c r="E41" s="28"/>
      <c r="F41" s="80">
        <v>7.3999999999999996E-2</v>
      </c>
      <c r="G41" s="67"/>
      <c r="H41" s="77">
        <f>G41*F41</f>
        <v>0</v>
      </c>
      <c r="I41" s="32"/>
      <c r="J41" s="80">
        <v>7.8E-2</v>
      </c>
      <c r="K41" s="67"/>
      <c r="L41" s="77">
        <f>K41*J41</f>
        <v>0</v>
      </c>
      <c r="M41" s="32"/>
      <c r="N41" s="35">
        <f t="shared" si="12"/>
        <v>0</v>
      </c>
      <c r="O41" s="79" t="str">
        <f t="shared" si="13"/>
        <v/>
      </c>
    </row>
    <row r="42" spans="2:15" x14ac:dyDescent="0.2">
      <c r="B42" s="39" t="s">
        <v>45</v>
      </c>
      <c r="C42" s="26"/>
      <c r="D42" s="27" t="s">
        <v>27</v>
      </c>
      <c r="E42" s="28"/>
      <c r="F42" s="80">
        <v>8.6999999999999994E-2</v>
      </c>
      <c r="G42" s="67"/>
      <c r="H42" s="77">
        <f>G42*F42</f>
        <v>0</v>
      </c>
      <c r="I42" s="32"/>
      <c r="J42" s="80">
        <v>9.0999999999999998E-2</v>
      </c>
      <c r="K42" s="67"/>
      <c r="L42" s="77">
        <f>K42*J42</f>
        <v>0</v>
      </c>
      <c r="M42" s="32"/>
      <c r="N42" s="35">
        <f t="shared" si="12"/>
        <v>0</v>
      </c>
      <c r="O42" s="79" t="str">
        <f t="shared" si="13"/>
        <v/>
      </c>
    </row>
    <row r="43" spans="2:15" x14ac:dyDescent="0.2">
      <c r="B43" s="39" t="s">
        <v>46</v>
      </c>
      <c r="C43" s="26"/>
      <c r="D43" s="27" t="s">
        <v>27</v>
      </c>
      <c r="E43" s="28"/>
      <c r="F43" s="80">
        <v>6.3E-2</v>
      </c>
      <c r="G43" s="81">
        <f>0.64*$F$16*(1+$F$60)</f>
        <v>1337.3440000000001</v>
      </c>
      <c r="H43" s="77">
        <f t="shared" si="14"/>
        <v>84.252672000000004</v>
      </c>
      <c r="I43" s="32"/>
      <c r="J43" s="80">
        <v>6.7000000000000004E-2</v>
      </c>
      <c r="K43" s="82">
        <f>0.64*$F$16*(1+$J$60)</f>
        <v>1323.7760000000001</v>
      </c>
      <c r="L43" s="77">
        <f t="shared" si="15"/>
        <v>88.692992000000004</v>
      </c>
      <c r="M43" s="32"/>
      <c r="N43" s="35">
        <f t="shared" si="12"/>
        <v>4.4403199999999998</v>
      </c>
      <c r="O43" s="79">
        <f t="shared" si="13"/>
        <v>5.2702423491091173E-2</v>
      </c>
    </row>
    <row r="44" spans="2:15" x14ac:dyDescent="0.2">
      <c r="B44" s="39" t="s">
        <v>47</v>
      </c>
      <c r="C44" s="26"/>
      <c r="D44" s="27" t="s">
        <v>27</v>
      </c>
      <c r="E44" s="28"/>
      <c r="F44" s="80">
        <v>9.9000000000000005E-2</v>
      </c>
      <c r="G44" s="81">
        <f>0.18*$F$16*(1+$F$60)</f>
        <v>376.12799999999999</v>
      </c>
      <c r="H44" s="77">
        <f t="shared" si="14"/>
        <v>37.236671999999999</v>
      </c>
      <c r="I44" s="32"/>
      <c r="J44" s="80">
        <v>0.104</v>
      </c>
      <c r="K44" s="82">
        <f>0.18*$F$16*(1+$J$60)</f>
        <v>372.31200000000001</v>
      </c>
      <c r="L44" s="77">
        <f t="shared" si="15"/>
        <v>38.720447999999998</v>
      </c>
      <c r="M44" s="32"/>
      <c r="N44" s="35">
        <f t="shared" si="12"/>
        <v>1.4837759999999989</v>
      </c>
      <c r="O44" s="79">
        <f t="shared" si="13"/>
        <v>3.9847170015623282E-2</v>
      </c>
    </row>
    <row r="45" spans="2:15" ht="13.5" thickBot="1" x14ac:dyDescent="0.25">
      <c r="B45" s="16" t="s">
        <v>48</v>
      </c>
      <c r="C45" s="26"/>
      <c r="D45" s="27" t="s">
        <v>27</v>
      </c>
      <c r="E45" s="28"/>
      <c r="F45" s="80">
        <v>0.11799999999999999</v>
      </c>
      <c r="G45" s="81">
        <f>0.18*$F$16*(1+$F$60)</f>
        <v>376.12799999999999</v>
      </c>
      <c r="H45" s="77">
        <f t="shared" si="14"/>
        <v>44.383103999999996</v>
      </c>
      <c r="I45" s="32"/>
      <c r="J45" s="80">
        <v>0.124</v>
      </c>
      <c r="K45" s="82">
        <f>0.18*$F$16*(1+$J$60)</f>
        <v>372.31200000000001</v>
      </c>
      <c r="L45" s="77">
        <f t="shared" si="15"/>
        <v>46.166688000000001</v>
      </c>
      <c r="M45" s="32"/>
      <c r="N45" s="35">
        <f t="shared" si="12"/>
        <v>1.7835840000000047</v>
      </c>
      <c r="O45" s="79">
        <f t="shared" si="13"/>
        <v>4.0186103252264758E-2</v>
      </c>
    </row>
    <row r="46" spans="2:15" ht="8.25" customHeight="1" thickBot="1" x14ac:dyDescent="0.25">
      <c r="B46" s="83"/>
      <c r="C46" s="84"/>
      <c r="D46" s="85"/>
      <c r="E46" s="84"/>
      <c r="F46" s="86"/>
      <c r="G46" s="87"/>
      <c r="H46" s="91"/>
      <c r="I46" s="89"/>
      <c r="J46" s="86"/>
      <c r="K46" s="90"/>
      <c r="L46" s="91"/>
      <c r="M46" s="89"/>
      <c r="N46" s="92"/>
      <c r="O46" s="93"/>
    </row>
    <row r="47" spans="2:15" x14ac:dyDescent="0.2">
      <c r="B47" s="94" t="s">
        <v>49</v>
      </c>
      <c r="C47" s="26"/>
      <c r="D47" s="26"/>
      <c r="E47" s="26"/>
      <c r="F47" s="95"/>
      <c r="G47" s="96"/>
      <c r="H47" s="97">
        <f>SUM(H36:H42)</f>
        <v>98.573733333333337</v>
      </c>
      <c r="I47" s="98"/>
      <c r="J47" s="99"/>
      <c r="K47" s="99"/>
      <c r="L47" s="100">
        <f>SUM(L36:L42)</f>
        <v>104.56854666666668</v>
      </c>
      <c r="M47" s="101"/>
      <c r="N47" s="102">
        <f t="shared" si="12"/>
        <v>5.9948133333333402</v>
      </c>
      <c r="O47" s="103">
        <f t="shared" si="13"/>
        <v>6.0815524893041213E-2</v>
      </c>
    </row>
    <row r="48" spans="2:15" x14ac:dyDescent="0.2">
      <c r="B48" s="104" t="s">
        <v>50</v>
      </c>
      <c r="C48" s="26"/>
      <c r="D48" s="26"/>
      <c r="E48" s="26"/>
      <c r="F48" s="105">
        <v>0.13</v>
      </c>
      <c r="G48" s="96"/>
      <c r="H48" s="106">
        <f>H47*F48</f>
        <v>12.814585333333333</v>
      </c>
      <c r="I48" s="107"/>
      <c r="J48" s="108">
        <v>0.13</v>
      </c>
      <c r="K48" s="109"/>
      <c r="L48" s="110">
        <f>L47*J48</f>
        <v>13.593911066666669</v>
      </c>
      <c r="M48" s="111"/>
      <c r="N48" s="112">
        <f t="shared" si="12"/>
        <v>0.77932573333333544</v>
      </c>
      <c r="O48" s="113">
        <f t="shared" si="13"/>
        <v>6.081552489304131E-2</v>
      </c>
    </row>
    <row r="49" spans="1:15" x14ac:dyDescent="0.2">
      <c r="B49" s="114" t="s">
        <v>51</v>
      </c>
      <c r="C49" s="26"/>
      <c r="D49" s="26"/>
      <c r="E49" s="26"/>
      <c r="F49" s="115"/>
      <c r="G49" s="116"/>
      <c r="H49" s="106">
        <f>H47+H48</f>
        <v>111.38831866666666</v>
      </c>
      <c r="I49" s="107"/>
      <c r="J49" s="107"/>
      <c r="K49" s="107"/>
      <c r="L49" s="110">
        <f>L47+L48</f>
        <v>118.16245773333334</v>
      </c>
      <c r="M49" s="111"/>
      <c r="N49" s="112">
        <f t="shared" si="12"/>
        <v>6.7741390666666774</v>
      </c>
      <c r="O49" s="113">
        <f t="shared" si="13"/>
        <v>6.0815524893041248E-2</v>
      </c>
    </row>
    <row r="50" spans="1:15" x14ac:dyDescent="0.2">
      <c r="B50" s="232" t="s">
        <v>52</v>
      </c>
      <c r="C50" s="232"/>
      <c r="D50" s="232"/>
      <c r="E50" s="26"/>
      <c r="F50" s="115"/>
      <c r="G50" s="116"/>
      <c r="H50" s="117">
        <f>ROUND(-H49*10%,2)</f>
        <v>-11.14</v>
      </c>
      <c r="I50" s="107"/>
      <c r="J50" s="107"/>
      <c r="K50" s="107"/>
      <c r="L50" s="118">
        <f>ROUND(-L49*10%,2)</f>
        <v>-11.82</v>
      </c>
      <c r="M50" s="111"/>
      <c r="N50" s="119">
        <f t="shared" si="12"/>
        <v>-0.67999999999999972</v>
      </c>
      <c r="O50" s="120">
        <f t="shared" si="13"/>
        <v>6.1041292639138212E-2</v>
      </c>
    </row>
    <row r="51" spans="1:15" ht="13.5" thickBot="1" x14ac:dyDescent="0.25">
      <c r="B51" s="225" t="s">
        <v>53</v>
      </c>
      <c r="C51" s="225"/>
      <c r="D51" s="225"/>
      <c r="E51" s="121"/>
      <c r="F51" s="122"/>
      <c r="G51" s="123"/>
      <c r="H51" s="124">
        <f>SUM(H49:H50)</f>
        <v>100.24831866666666</v>
      </c>
      <c r="I51" s="125"/>
      <c r="J51" s="125"/>
      <c r="K51" s="125"/>
      <c r="L51" s="126">
        <f>SUM(L49:L50)</f>
        <v>106.34245773333333</v>
      </c>
      <c r="M51" s="127"/>
      <c r="N51" s="128">
        <f t="shared" si="12"/>
        <v>6.0941390666666706</v>
      </c>
      <c r="O51" s="129">
        <f t="shared" si="13"/>
        <v>6.0790436664879634E-2</v>
      </c>
    </row>
    <row r="52" spans="1:15" ht="8.25" customHeight="1" thickBot="1" x14ac:dyDescent="0.25">
      <c r="B52" s="83"/>
      <c r="C52" s="84"/>
      <c r="D52" s="85"/>
      <c r="E52" s="84"/>
      <c r="F52" s="130"/>
      <c r="G52" s="131"/>
      <c r="H52" s="132"/>
      <c r="I52" s="133"/>
      <c r="J52" s="130"/>
      <c r="K52" s="87"/>
      <c r="L52" s="134"/>
      <c r="M52" s="89"/>
      <c r="N52" s="135"/>
      <c r="O52" s="93"/>
    </row>
    <row r="53" spans="1:15" x14ac:dyDescent="0.2">
      <c r="B53" s="94" t="s">
        <v>54</v>
      </c>
      <c r="C53" s="26"/>
      <c r="D53" s="26"/>
      <c r="E53" s="26"/>
      <c r="F53" s="95"/>
      <c r="G53" s="96"/>
      <c r="H53" s="97">
        <f>SUM(H36:H40,H43:H45)</f>
        <v>264.44618133333336</v>
      </c>
      <c r="I53" s="98"/>
      <c r="J53" s="99"/>
      <c r="K53" s="99"/>
      <c r="L53" s="136">
        <f>SUM(L36:L40,L43:L45)</f>
        <v>278.14867466666669</v>
      </c>
      <c r="M53" s="101"/>
      <c r="N53" s="102">
        <f t="shared" ref="N53" si="16">L53-H53</f>
        <v>13.702493333333337</v>
      </c>
      <c r="O53" s="103">
        <f t="shared" ref="O53" si="17">IF((H53)=0,"",(N53/H53))</f>
        <v>5.18158109307746E-2</v>
      </c>
    </row>
    <row r="54" spans="1:15" x14ac:dyDescent="0.2">
      <c r="B54" s="104" t="s">
        <v>50</v>
      </c>
      <c r="C54" s="26"/>
      <c r="D54" s="26"/>
      <c r="E54" s="26"/>
      <c r="F54" s="105">
        <v>0.13</v>
      </c>
      <c r="G54" s="116"/>
      <c r="H54" s="106">
        <f>H53*F54</f>
        <v>34.378003573333338</v>
      </c>
      <c r="I54" s="107"/>
      <c r="J54" s="137">
        <v>0.13</v>
      </c>
      <c r="K54" s="107"/>
      <c r="L54" s="110">
        <f>L53*J54</f>
        <v>36.159327706666673</v>
      </c>
      <c r="M54" s="111"/>
      <c r="N54" s="112">
        <f t="shared" si="12"/>
        <v>1.7813241333333352</v>
      </c>
      <c r="O54" s="113">
        <f t="shared" si="13"/>
        <v>5.1815810930774642E-2</v>
      </c>
    </row>
    <row r="55" spans="1:15" x14ac:dyDescent="0.2">
      <c r="B55" s="114" t="s">
        <v>51</v>
      </c>
      <c r="C55" s="26"/>
      <c r="D55" s="26"/>
      <c r="E55" s="26"/>
      <c r="F55" s="115"/>
      <c r="G55" s="116"/>
      <c r="H55" s="106">
        <f>H53+H54</f>
        <v>298.82418490666669</v>
      </c>
      <c r="I55" s="107"/>
      <c r="J55" s="107"/>
      <c r="K55" s="107"/>
      <c r="L55" s="110">
        <f>L53+L54</f>
        <v>314.30800237333335</v>
      </c>
      <c r="M55" s="111"/>
      <c r="N55" s="112">
        <f t="shared" si="12"/>
        <v>15.483817466666665</v>
      </c>
      <c r="O55" s="113">
        <f t="shared" si="13"/>
        <v>5.1815810930774579E-2</v>
      </c>
    </row>
    <row r="56" spans="1:15" x14ac:dyDescent="0.2">
      <c r="B56" s="232" t="s">
        <v>52</v>
      </c>
      <c r="C56" s="232"/>
      <c r="D56" s="232"/>
      <c r="E56" s="26"/>
      <c r="F56" s="115"/>
      <c r="G56" s="116"/>
      <c r="H56" s="117">
        <f>ROUND(-H55*10%,2)</f>
        <v>-29.88</v>
      </c>
      <c r="I56" s="107"/>
      <c r="J56" s="107"/>
      <c r="K56" s="107"/>
      <c r="L56" s="118">
        <f>ROUND(-L55*10%,2)</f>
        <v>-31.43</v>
      </c>
      <c r="M56" s="111"/>
      <c r="N56" s="119">
        <f t="shared" si="12"/>
        <v>-1.5500000000000007</v>
      </c>
      <c r="O56" s="120">
        <f t="shared" si="13"/>
        <v>5.187416331994648E-2</v>
      </c>
    </row>
    <row r="57" spans="1:15" ht="13.5" thickBot="1" x14ac:dyDescent="0.25">
      <c r="B57" s="225" t="s">
        <v>55</v>
      </c>
      <c r="C57" s="225"/>
      <c r="D57" s="225"/>
      <c r="E57" s="121"/>
      <c r="F57" s="138"/>
      <c r="G57" s="139"/>
      <c r="H57" s="140">
        <f>H55+H56</f>
        <v>268.94418490666669</v>
      </c>
      <c r="I57" s="141"/>
      <c r="J57" s="141"/>
      <c r="K57" s="141"/>
      <c r="L57" s="142">
        <f>L55+L56</f>
        <v>282.87800237333335</v>
      </c>
      <c r="M57" s="143"/>
      <c r="N57" s="144">
        <f t="shared" si="12"/>
        <v>13.933817466666653</v>
      </c>
      <c r="O57" s="145">
        <f t="shared" si="13"/>
        <v>5.1809327915017717E-2</v>
      </c>
    </row>
    <row r="58" spans="1:15" ht="8.25" customHeight="1" thickBot="1" x14ac:dyDescent="0.25">
      <c r="B58" s="83"/>
      <c r="C58" s="84"/>
      <c r="D58" s="85"/>
      <c r="E58" s="84"/>
      <c r="F58" s="130"/>
      <c r="G58" s="131"/>
      <c r="H58" s="132"/>
      <c r="I58" s="133"/>
      <c r="J58" s="130"/>
      <c r="K58" s="87"/>
      <c r="L58" s="134"/>
      <c r="M58" s="89"/>
      <c r="N58" s="135"/>
      <c r="O58" s="93"/>
    </row>
    <row r="59" spans="1:15" ht="10.5" customHeight="1" x14ac:dyDescent="0.2">
      <c r="L59" s="148"/>
    </row>
    <row r="60" spans="1:15" x14ac:dyDescent="0.2">
      <c r="B60" s="17" t="s">
        <v>56</v>
      </c>
      <c r="F60" s="149">
        <v>4.48E-2</v>
      </c>
      <c r="J60" s="149">
        <v>3.4200000000000001E-2</v>
      </c>
    </row>
    <row r="61" spans="1:15" ht="10.5" customHeight="1" x14ac:dyDescent="0.2"/>
    <row r="62" spans="1:15" ht="10.5" customHeight="1" x14ac:dyDescent="0.2">
      <c r="A62" s="150" t="s">
        <v>57</v>
      </c>
    </row>
    <row r="63" spans="1:15" ht="10.5" customHeight="1" x14ac:dyDescent="0.2"/>
    <row r="64" spans="1:15" x14ac:dyDescent="0.2">
      <c r="A64" s="11" t="s">
        <v>58</v>
      </c>
    </row>
    <row r="65" spans="1:1" x14ac:dyDescent="0.2">
      <c r="A65" s="11" t="s">
        <v>59</v>
      </c>
    </row>
    <row r="67" spans="1:1" x14ac:dyDescent="0.2">
      <c r="A67" s="11" t="s">
        <v>60</v>
      </c>
    </row>
    <row r="68" spans="1:1" x14ac:dyDescent="0.2">
      <c r="A68" s="11" t="s">
        <v>61</v>
      </c>
    </row>
    <row r="70" spans="1:1" x14ac:dyDescent="0.2">
      <c r="A70" s="11" t="s">
        <v>62</v>
      </c>
    </row>
    <row r="71" spans="1:1" x14ac:dyDescent="0.2">
      <c r="A71" s="11" t="s">
        <v>63</v>
      </c>
    </row>
    <row r="72" spans="1:1" x14ac:dyDescent="0.2">
      <c r="A72" s="11" t="s">
        <v>64</v>
      </c>
    </row>
    <row r="73" spans="1:1" x14ac:dyDescent="0.2">
      <c r="A73" s="11" t="s">
        <v>65</v>
      </c>
    </row>
    <row r="74" spans="1:1" x14ac:dyDescent="0.2">
      <c r="A74" s="11" t="s">
        <v>66</v>
      </c>
    </row>
  </sheetData>
  <sheetProtection selectLockedCells="1"/>
  <mergeCells count="14">
    <mergeCell ref="B57:D57"/>
    <mergeCell ref="D19:D20"/>
    <mergeCell ref="N19:N20"/>
    <mergeCell ref="O19:O20"/>
    <mergeCell ref="B50:D50"/>
    <mergeCell ref="B51:D51"/>
    <mergeCell ref="B56:D56"/>
    <mergeCell ref="A3:K3"/>
    <mergeCell ref="B10:O10"/>
    <mergeCell ref="B11:O11"/>
    <mergeCell ref="D14:O14"/>
    <mergeCell ref="F18:H18"/>
    <mergeCell ref="J18:L18"/>
    <mergeCell ref="N18:O18"/>
  </mergeCells>
  <dataValidations count="2">
    <dataValidation type="list" allowBlank="1" showInputMessage="1" showErrorMessage="1" prompt="Select Charge Unit - monthly, per kWh, per kW" sqref="D34:D35 D52 D58 D21:D27 D29:D32 D37:D46">
      <formula1>"Monthly, per kWh, per kW"</formula1>
    </dataValidation>
    <dataValidation type="list" allowBlank="1" showInputMessage="1" showErrorMessage="1" sqref="E34:E35 E52 E58 E21:E27 E29:E32 E37:E46">
      <formula1>#REF!</formula1>
    </dataValidation>
  </dataValidations>
  <pageMargins left="0.75" right="0.75" top="1" bottom="1" header="0.5" footer="0.5"/>
  <pageSetup scale="65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</xdr:col>
                    <xdr:colOff>419100</xdr:colOff>
                    <xdr:row>1</xdr:row>
                    <xdr:rowOff>114300</xdr:rowOff>
                  </from>
                  <to>
                    <xdr:col>1</xdr:col>
                    <xdr:colOff>619125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1</xdr:col>
                    <xdr:colOff>581025</xdr:colOff>
                    <xdr:row>1</xdr:row>
                    <xdr:rowOff>114300</xdr:rowOff>
                  </from>
                  <to>
                    <xdr:col>1</xdr:col>
                    <xdr:colOff>1057275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3">
    <pageSetUpPr fitToPage="1"/>
  </sheetPr>
  <dimension ref="A1:T71"/>
  <sheetViews>
    <sheetView showGridLines="0" topLeftCell="A13" zoomScaleNormal="100" workbookViewId="0">
      <selection activeCell="J38" sqref="J38:J42"/>
    </sheetView>
  </sheetViews>
  <sheetFormatPr defaultColWidth="9.140625" defaultRowHeight="12.75" x14ac:dyDescent="0.2"/>
  <cols>
    <col min="1" max="1" width="1.28515625" style="11" customWidth="1"/>
    <col min="2" max="2" width="26.5703125" style="11" customWidth="1"/>
    <col min="3" max="3" width="1.28515625" style="11" customWidth="1"/>
    <col min="4" max="4" width="11.28515625" style="11" customWidth="1"/>
    <col min="5" max="5" width="1.28515625" style="11" customWidth="1"/>
    <col min="6" max="6" width="12.28515625" style="11" customWidth="1"/>
    <col min="7" max="7" width="8.5703125" style="11" customWidth="1"/>
    <col min="8" max="8" width="11.42578125" style="11" bestFit="1" customWidth="1"/>
    <col min="9" max="9" width="2.85546875" style="11" customWidth="1"/>
    <col min="10" max="10" width="12.7109375" style="11" customWidth="1"/>
    <col min="11" max="11" width="8.5703125" style="11" customWidth="1"/>
    <col min="12" max="12" width="11.42578125" style="11" bestFit="1" customWidth="1"/>
    <col min="13" max="13" width="2.85546875" style="11" customWidth="1"/>
    <col min="14" max="14" width="12.7109375" style="11" bestFit="1" customWidth="1"/>
    <col min="15" max="15" width="12.28515625" style="11" bestFit="1" customWidth="1"/>
    <col min="16" max="16" width="3.85546875" style="11" customWidth="1"/>
    <col min="17" max="19" width="9.140625" style="11"/>
    <col min="20" max="20" width="0" style="11" hidden="1" customWidth="1"/>
    <col min="21" max="16384" width="9.140625" style="1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'[3]LDC Info'!$E$18</f>
        <v>EB-2012-0167</v>
      </c>
      <c r="P1" s="5"/>
      <c r="T1" s="2">
        <v>1</v>
      </c>
    </row>
    <row r="2" spans="1:20" s="2" customFormat="1" ht="1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N2" s="3" t="s">
        <v>1</v>
      </c>
      <c r="O2" s="7"/>
      <c r="P2" s="5"/>
    </row>
    <row r="3" spans="1:20" s="2" customFormat="1" ht="15" customHeight="1" x14ac:dyDescent="0.25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N3" s="3" t="s">
        <v>2</v>
      </c>
      <c r="O3" s="7"/>
      <c r="P3" s="5"/>
    </row>
    <row r="4" spans="1:20" s="2" customFormat="1" ht="15" customHeight="1" x14ac:dyDescent="0.25">
      <c r="A4" s="152"/>
      <c r="B4" s="152"/>
      <c r="C4" s="152"/>
      <c r="D4" s="152"/>
      <c r="E4" s="152"/>
      <c r="F4" s="152"/>
      <c r="G4" s="152"/>
      <c r="H4" s="152"/>
      <c r="I4" s="154"/>
      <c r="J4" s="154"/>
      <c r="K4" s="154"/>
      <c r="N4" s="3" t="s">
        <v>3</v>
      </c>
      <c r="O4" s="7"/>
      <c r="P4" s="5"/>
    </row>
    <row r="5" spans="1:20" s="2" customFormat="1" ht="15" customHeight="1" x14ac:dyDescent="0.25">
      <c r="C5" s="155"/>
      <c r="D5" s="155"/>
      <c r="E5" s="155"/>
      <c r="N5" s="3" t="s">
        <v>4</v>
      </c>
      <c r="O5" s="9"/>
      <c r="P5" s="5"/>
    </row>
    <row r="6" spans="1:20" s="2" customFormat="1" ht="9" customHeight="1" x14ac:dyDescent="0.2">
      <c r="N6" s="3"/>
      <c r="O6" s="4"/>
      <c r="P6" s="5"/>
    </row>
    <row r="7" spans="1:20" s="2" customFormat="1" x14ac:dyDescent="0.2">
      <c r="N7" s="3" t="s">
        <v>5</v>
      </c>
      <c r="O7" s="10">
        <v>41388</v>
      </c>
      <c r="P7" s="5"/>
    </row>
    <row r="8" spans="1:20" s="2" customFormat="1" ht="15" customHeight="1" x14ac:dyDescent="0.2">
      <c r="N8" s="11"/>
      <c r="O8" s="5"/>
      <c r="P8" s="5"/>
    </row>
    <row r="9" spans="1:20" ht="7.5" customHeight="1" x14ac:dyDescent="0.2">
      <c r="L9" s="5"/>
      <c r="M9" s="5"/>
      <c r="N9" s="5"/>
      <c r="O9" s="5"/>
      <c r="P9" s="5"/>
    </row>
    <row r="10" spans="1:20" ht="18.75" customHeight="1" x14ac:dyDescent="0.25">
      <c r="B10" s="220" t="s">
        <v>6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5"/>
    </row>
    <row r="11" spans="1:20" ht="18.75" customHeight="1" x14ac:dyDescent="0.25">
      <c r="B11" s="220" t="s">
        <v>7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5"/>
    </row>
    <row r="12" spans="1:20" ht="7.5" customHeight="1" x14ac:dyDescent="0.2">
      <c r="L12" s="5"/>
      <c r="M12" s="5"/>
      <c r="N12" s="5"/>
      <c r="O12" s="5"/>
      <c r="P12" s="5"/>
    </row>
    <row r="13" spans="1:20" ht="7.5" customHeight="1" x14ac:dyDescent="0.2">
      <c r="L13" s="5"/>
      <c r="M13" s="5"/>
      <c r="N13" s="5"/>
      <c r="O13" s="5"/>
      <c r="P13" s="5"/>
    </row>
    <row r="14" spans="1:20" ht="15.75" x14ac:dyDescent="0.2">
      <c r="B14" s="13" t="s">
        <v>9</v>
      </c>
      <c r="D14" s="221" t="s">
        <v>68</v>
      </c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</row>
    <row r="15" spans="1:20" ht="7.5" customHeight="1" x14ac:dyDescent="0.25">
      <c r="B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0" x14ac:dyDescent="0.2">
      <c r="B16" s="16"/>
      <c r="D16" s="17" t="s">
        <v>11</v>
      </c>
      <c r="E16" s="17"/>
      <c r="F16" s="18">
        <v>100</v>
      </c>
      <c r="G16" s="17" t="s">
        <v>69</v>
      </c>
    </row>
    <row r="17" spans="2:15" ht="10.5" customHeight="1" x14ac:dyDescent="0.2">
      <c r="B17" s="16"/>
    </row>
    <row r="18" spans="2:15" x14ac:dyDescent="0.2">
      <c r="B18" s="16"/>
      <c r="D18" s="19"/>
      <c r="E18" s="19"/>
      <c r="F18" s="222" t="s">
        <v>13</v>
      </c>
      <c r="G18" s="223"/>
      <c r="H18" s="224"/>
      <c r="J18" s="222" t="s">
        <v>14</v>
      </c>
      <c r="K18" s="223"/>
      <c r="L18" s="224"/>
      <c r="N18" s="222" t="s">
        <v>15</v>
      </c>
      <c r="O18" s="224"/>
    </row>
    <row r="19" spans="2:15" x14ac:dyDescent="0.2">
      <c r="B19" s="16"/>
      <c r="D19" s="226" t="s">
        <v>16</v>
      </c>
      <c r="E19" s="20"/>
      <c r="F19" s="21" t="s">
        <v>17</v>
      </c>
      <c r="G19" s="21" t="s">
        <v>18</v>
      </c>
      <c r="H19" s="22" t="s">
        <v>19</v>
      </c>
      <c r="J19" s="21" t="s">
        <v>17</v>
      </c>
      <c r="K19" s="23" t="s">
        <v>18</v>
      </c>
      <c r="L19" s="22" t="s">
        <v>19</v>
      </c>
      <c r="N19" s="228" t="s">
        <v>20</v>
      </c>
      <c r="O19" s="230" t="s">
        <v>21</v>
      </c>
    </row>
    <row r="20" spans="2:15" x14ac:dyDescent="0.2">
      <c r="B20" s="16"/>
      <c r="D20" s="227"/>
      <c r="E20" s="20"/>
      <c r="F20" s="24" t="s">
        <v>22</v>
      </c>
      <c r="G20" s="24"/>
      <c r="H20" s="25" t="s">
        <v>22</v>
      </c>
      <c r="J20" s="24" t="s">
        <v>22</v>
      </c>
      <c r="K20" s="25"/>
      <c r="L20" s="25" t="s">
        <v>22</v>
      </c>
      <c r="N20" s="229"/>
      <c r="O20" s="231"/>
    </row>
    <row r="21" spans="2:15" ht="15" x14ac:dyDescent="0.2">
      <c r="B21" s="26" t="s">
        <v>23</v>
      </c>
      <c r="C21" s="26"/>
      <c r="D21" s="27" t="s">
        <v>24</v>
      </c>
      <c r="E21" s="28"/>
      <c r="F21" s="29">
        <v>241.78</v>
      </c>
      <c r="G21" s="30">
        <v>1</v>
      </c>
      <c r="H21" s="31">
        <f>G21*F21</f>
        <v>241.78</v>
      </c>
      <c r="I21" s="32"/>
      <c r="J21" s="33">
        <v>195.33</v>
      </c>
      <c r="K21" s="34">
        <v>1</v>
      </c>
      <c r="L21" s="31">
        <f>K21*J21</f>
        <v>195.33</v>
      </c>
      <c r="M21" s="32"/>
      <c r="N21" s="35">
        <f>L21-H21</f>
        <v>-46.449999999999989</v>
      </c>
      <c r="O21" s="36">
        <f>IF((H21)=0,"",(N21/H21))</f>
        <v>-0.19211680039705512</v>
      </c>
    </row>
    <row r="22" spans="2:15" ht="15" x14ac:dyDescent="0.2">
      <c r="B22" s="26" t="s">
        <v>26</v>
      </c>
      <c r="C22" s="26"/>
      <c r="D22" s="27" t="s">
        <v>44</v>
      </c>
      <c r="E22" s="28"/>
      <c r="F22" s="29">
        <v>1.3603000000000001</v>
      </c>
      <c r="G22" s="30">
        <f>$F$16</f>
        <v>100</v>
      </c>
      <c r="H22" s="31">
        <f t="shared" ref="H22" si="0">G22*F22</f>
        <v>136.03</v>
      </c>
      <c r="I22" s="32"/>
      <c r="J22" s="33">
        <v>2.4857</v>
      </c>
      <c r="K22" s="30">
        <f>$F$16</f>
        <v>100</v>
      </c>
      <c r="L22" s="31">
        <f t="shared" ref="L22" si="1">K22*J22</f>
        <v>248.57</v>
      </c>
      <c r="M22" s="32"/>
      <c r="N22" s="35">
        <f t="shared" ref="N22:N24" si="2">L22-H22</f>
        <v>112.53999999999999</v>
      </c>
      <c r="O22" s="36">
        <f t="shared" ref="O22:O24" si="3">IF((H22)=0,"",(N22/H22))</f>
        <v>0.82731750349187672</v>
      </c>
    </row>
    <row r="23" spans="2:15" ht="15" x14ac:dyDescent="0.2">
      <c r="B23" s="26" t="s">
        <v>29</v>
      </c>
      <c r="C23" s="26"/>
      <c r="D23" s="27" t="s">
        <v>44</v>
      </c>
      <c r="E23" s="28"/>
      <c r="F23" s="38">
        <v>1.1E-4</v>
      </c>
      <c r="G23" s="30"/>
      <c r="H23" s="31"/>
      <c r="I23" s="32"/>
      <c r="J23" s="33">
        <v>0</v>
      </c>
      <c r="K23" s="34"/>
      <c r="L23" s="31"/>
      <c r="M23" s="32"/>
      <c r="N23" s="35">
        <f t="shared" si="2"/>
        <v>0</v>
      </c>
      <c r="O23" s="36" t="str">
        <f t="shared" si="3"/>
        <v/>
      </c>
    </row>
    <row r="24" spans="2:15" s="51" customFormat="1" ht="15" x14ac:dyDescent="0.2">
      <c r="B24" s="40" t="s">
        <v>31</v>
      </c>
      <c r="C24" s="41"/>
      <c r="D24" s="42"/>
      <c r="E24" s="41"/>
      <c r="F24" s="43"/>
      <c r="G24" s="44"/>
      <c r="H24" s="45">
        <f>SUM(H21:H23)</f>
        <v>377.81</v>
      </c>
      <c r="I24" s="46"/>
      <c r="J24" s="47"/>
      <c r="K24" s="48"/>
      <c r="L24" s="45">
        <f>SUM(L21:L23)</f>
        <v>443.9</v>
      </c>
      <c r="M24" s="46"/>
      <c r="N24" s="49">
        <f t="shared" si="2"/>
        <v>66.089999999999975</v>
      </c>
      <c r="O24" s="50">
        <f t="shared" si="3"/>
        <v>0.17492919721553155</v>
      </c>
    </row>
    <row r="25" spans="2:15" ht="25.5" x14ac:dyDescent="0.2">
      <c r="B25" s="52" t="s">
        <v>32</v>
      </c>
      <c r="C25" s="26"/>
      <c r="D25" s="27" t="s">
        <v>44</v>
      </c>
      <c r="E25" s="28"/>
      <c r="F25" s="33">
        <v>-0.91269999999999996</v>
      </c>
      <c r="G25" s="30">
        <f>$F$16</f>
        <v>100</v>
      </c>
      <c r="H25" s="31">
        <f>G25*F25</f>
        <v>-91.27</v>
      </c>
      <c r="I25" s="32"/>
      <c r="J25" s="33">
        <v>-1.46</v>
      </c>
      <c r="K25" s="30">
        <f>$F$16</f>
        <v>100</v>
      </c>
      <c r="L25" s="31">
        <f>K25*J25</f>
        <v>-146</v>
      </c>
      <c r="M25" s="32"/>
      <c r="N25" s="35">
        <f>L25-H25</f>
        <v>-54.730000000000004</v>
      </c>
      <c r="O25" s="36">
        <f>IF((H25)=0,"",(N25/H25))</f>
        <v>0.59964939191410105</v>
      </c>
    </row>
    <row r="26" spans="2:15" ht="15" x14ac:dyDescent="0.2">
      <c r="B26" s="52" t="s">
        <v>70</v>
      </c>
      <c r="C26" s="26"/>
      <c r="D26" s="27" t="s">
        <v>44</v>
      </c>
      <c r="E26" s="28"/>
      <c r="F26" s="33">
        <v>-0.1051</v>
      </c>
      <c r="G26" s="30">
        <f>$F$16</f>
        <v>100</v>
      </c>
      <c r="H26" s="31">
        <f>G26*F26</f>
        <v>-10.51</v>
      </c>
      <c r="I26" s="32"/>
      <c r="J26" s="33">
        <v>0.7802</v>
      </c>
      <c r="K26" s="30">
        <f>$F$16</f>
        <v>100</v>
      </c>
      <c r="L26" s="31">
        <f>K26*J26</f>
        <v>78.02</v>
      </c>
      <c r="M26" s="32"/>
      <c r="N26" s="35">
        <f>L26-H26</f>
        <v>88.53</v>
      </c>
      <c r="O26" s="36">
        <f>IF((H26)=0,"",(N26/H26))</f>
        <v>-8.4234062797335874</v>
      </c>
    </row>
    <row r="27" spans="2:15" ht="15" x14ac:dyDescent="0.2">
      <c r="B27" s="52" t="s">
        <v>33</v>
      </c>
      <c r="C27" s="26"/>
      <c r="D27" s="27" t="s">
        <v>44</v>
      </c>
      <c r="E27" s="28"/>
      <c r="F27" s="29">
        <v>-4.1000000000000002E-2</v>
      </c>
      <c r="G27" s="30">
        <f t="shared" ref="G27" si="4">$F$16</f>
        <v>100</v>
      </c>
      <c r="H27" s="31">
        <f t="shared" ref="H27" si="5">G27*F27</f>
        <v>-4.1000000000000005</v>
      </c>
      <c r="I27" s="53"/>
      <c r="J27" s="33">
        <v>0</v>
      </c>
      <c r="K27" s="30">
        <f t="shared" ref="K27:K29" si="6">$F$16</f>
        <v>100</v>
      </c>
      <c r="L27" s="31">
        <f t="shared" ref="L27:L28" si="7">K27*J27</f>
        <v>0</v>
      </c>
      <c r="M27" s="54"/>
      <c r="N27" s="35">
        <f t="shared" ref="N27:N28" si="8">L27-H27</f>
        <v>4.1000000000000005</v>
      </c>
      <c r="O27" s="36">
        <f t="shared" ref="O27:O28" si="9">IF((H27)=0,"",(N27/H27))</f>
        <v>-1</v>
      </c>
    </row>
    <row r="28" spans="2:15" ht="15" x14ac:dyDescent="0.2">
      <c r="B28" s="52"/>
      <c r="C28" s="26"/>
      <c r="D28" s="27"/>
      <c r="E28" s="28"/>
      <c r="F28" s="29"/>
      <c r="G28" s="30"/>
      <c r="H28" s="31"/>
      <c r="I28" s="55"/>
      <c r="J28" s="33"/>
      <c r="K28" s="30"/>
      <c r="L28" s="31">
        <f t="shared" si="7"/>
        <v>0</v>
      </c>
      <c r="M28" s="54"/>
      <c r="N28" s="35">
        <f t="shared" si="8"/>
        <v>0</v>
      </c>
      <c r="O28" s="36" t="str">
        <f t="shared" si="9"/>
        <v/>
      </c>
    </row>
    <row r="29" spans="2:15" ht="15" x14ac:dyDescent="0.2">
      <c r="B29" s="39" t="s">
        <v>34</v>
      </c>
      <c r="C29" s="26"/>
      <c r="D29" s="27"/>
      <c r="E29" s="28"/>
      <c r="F29" s="56"/>
      <c r="G29" s="57"/>
      <c r="H29" s="58"/>
      <c r="I29" s="32"/>
      <c r="J29" s="33">
        <v>0</v>
      </c>
      <c r="K29" s="30">
        <f t="shared" si="6"/>
        <v>100</v>
      </c>
      <c r="L29" s="31">
        <f>K29*J29</f>
        <v>0</v>
      </c>
      <c r="M29" s="32"/>
      <c r="N29" s="35">
        <f>L29-H29</f>
        <v>0</v>
      </c>
      <c r="O29" s="36"/>
    </row>
    <row r="30" spans="2:15" ht="25.5" x14ac:dyDescent="0.2">
      <c r="B30" s="59" t="s">
        <v>35</v>
      </c>
      <c r="C30" s="60"/>
      <c r="D30" s="60"/>
      <c r="E30" s="60"/>
      <c r="F30" s="61"/>
      <c r="G30" s="62"/>
      <c r="H30" s="63">
        <f>SUM(H25:H27)+H24</f>
        <v>271.93</v>
      </c>
      <c r="I30" s="46"/>
      <c r="J30" s="62"/>
      <c r="K30" s="64"/>
      <c r="L30" s="63">
        <f>SUM(L25:L28)+L24</f>
        <v>375.91999999999996</v>
      </c>
      <c r="M30" s="46"/>
      <c r="N30" s="49">
        <f t="shared" ref="N30:N54" si="10">L30-H30</f>
        <v>103.98999999999995</v>
      </c>
      <c r="O30" s="50">
        <f t="shared" ref="O30:O54" si="11">IF((H30)=0,"",(N30/H30))</f>
        <v>0.38241459199058564</v>
      </c>
    </row>
    <row r="31" spans="2:15" ht="15" x14ac:dyDescent="0.2">
      <c r="B31" s="32" t="s">
        <v>36</v>
      </c>
      <c r="C31" s="32"/>
      <c r="D31" s="65" t="s">
        <v>44</v>
      </c>
      <c r="E31" s="66"/>
      <c r="F31" s="33">
        <v>2.4300000000000002</v>
      </c>
      <c r="G31" s="67">
        <f>F16*(1+F57)</f>
        <v>104.47999999999999</v>
      </c>
      <c r="H31" s="31">
        <f>G31*F31</f>
        <v>253.88639999999998</v>
      </c>
      <c r="I31" s="32"/>
      <c r="J31" s="33">
        <v>2.4535999999999998</v>
      </c>
      <c r="K31" s="68">
        <f>F16*(1+J57)</f>
        <v>103.42</v>
      </c>
      <c r="L31" s="31">
        <f>K31*J31</f>
        <v>253.75131199999998</v>
      </c>
      <c r="M31" s="32"/>
      <c r="N31" s="35">
        <f t="shared" si="10"/>
        <v>-0.1350879999999961</v>
      </c>
      <c r="O31" s="36">
        <f t="shared" si="11"/>
        <v>-5.3208048954176399E-4</v>
      </c>
    </row>
    <row r="32" spans="2:15" ht="25.5" x14ac:dyDescent="0.2">
      <c r="B32" s="70" t="s">
        <v>37</v>
      </c>
      <c r="C32" s="32"/>
      <c r="D32" s="65" t="s">
        <v>44</v>
      </c>
      <c r="E32" s="66"/>
      <c r="F32" s="33">
        <v>1.7458</v>
      </c>
      <c r="G32" s="67">
        <f>G31</f>
        <v>104.47999999999999</v>
      </c>
      <c r="H32" s="31">
        <f>G32*F32</f>
        <v>182.40118399999997</v>
      </c>
      <c r="I32" s="32"/>
      <c r="J32" s="33">
        <v>1.6884999999999999</v>
      </c>
      <c r="K32" s="68">
        <f>K31</f>
        <v>103.42</v>
      </c>
      <c r="L32" s="31">
        <f>K32*J32</f>
        <v>174.62466999999998</v>
      </c>
      <c r="M32" s="32"/>
      <c r="N32" s="35">
        <f t="shared" si="10"/>
        <v>-7.7765139999999917</v>
      </c>
      <c r="O32" s="36">
        <f t="shared" si="11"/>
        <v>-4.2634120182026849E-2</v>
      </c>
    </row>
    <row r="33" spans="2:15" ht="25.5" x14ac:dyDescent="0.2">
      <c r="B33" s="59" t="s">
        <v>38</v>
      </c>
      <c r="C33" s="41"/>
      <c r="D33" s="41"/>
      <c r="E33" s="41"/>
      <c r="F33" s="71"/>
      <c r="G33" s="62"/>
      <c r="H33" s="63">
        <f>SUM(H30:H32)</f>
        <v>708.21758399999987</v>
      </c>
      <c r="I33" s="72"/>
      <c r="J33" s="73"/>
      <c r="K33" s="74"/>
      <c r="L33" s="63">
        <f>SUM(L30:L32)</f>
        <v>804.29598199999987</v>
      </c>
      <c r="M33" s="72"/>
      <c r="N33" s="49">
        <f t="shared" si="10"/>
        <v>96.078397999999993</v>
      </c>
      <c r="O33" s="50">
        <f t="shared" si="11"/>
        <v>0.13566225997574216</v>
      </c>
    </row>
    <row r="34" spans="2:15" ht="25.5" x14ac:dyDescent="0.2">
      <c r="B34" s="75" t="s">
        <v>39</v>
      </c>
      <c r="C34" s="26"/>
      <c r="D34" s="27" t="s">
        <v>27</v>
      </c>
      <c r="E34" s="28"/>
      <c r="F34" s="76">
        <v>5.1999999999999998E-3</v>
      </c>
      <c r="G34" s="67">
        <f>30000*(1+F57)</f>
        <v>31344</v>
      </c>
      <c r="H34" s="77">
        <f t="shared" ref="H34:H42" si="12">G34*F34</f>
        <v>162.9888</v>
      </c>
      <c r="I34" s="32"/>
      <c r="J34" s="76">
        <v>4.4000000000000003E-3</v>
      </c>
      <c r="K34" s="68">
        <f>30000*(1+J57)</f>
        <v>31026</v>
      </c>
      <c r="L34" s="77">
        <f t="shared" ref="L34:L42" si="13">K34*J34</f>
        <v>136.51439999999999</v>
      </c>
      <c r="M34" s="32"/>
      <c r="N34" s="35">
        <f t="shared" si="10"/>
        <v>-26.474400000000003</v>
      </c>
      <c r="O34" s="79">
        <f t="shared" si="11"/>
        <v>-0.1624307927906703</v>
      </c>
    </row>
    <row r="35" spans="2:15" ht="25.5" x14ac:dyDescent="0.2">
      <c r="B35" s="75" t="s">
        <v>40</v>
      </c>
      <c r="C35" s="26"/>
      <c r="D35" s="27" t="s">
        <v>27</v>
      </c>
      <c r="E35" s="28"/>
      <c r="F35" s="76">
        <v>1.1000000000000001E-3</v>
      </c>
      <c r="G35" s="67">
        <f>G34</f>
        <v>31344</v>
      </c>
      <c r="H35" s="77">
        <f t="shared" si="12"/>
        <v>34.478400000000001</v>
      </c>
      <c r="I35" s="32"/>
      <c r="J35" s="76">
        <v>1.1999999999999999E-3</v>
      </c>
      <c r="K35" s="68">
        <f>K34</f>
        <v>31026</v>
      </c>
      <c r="L35" s="77">
        <f t="shared" si="13"/>
        <v>37.231199999999994</v>
      </c>
      <c r="M35" s="32"/>
      <c r="N35" s="35">
        <f t="shared" si="10"/>
        <v>2.7527999999999935</v>
      </c>
      <c r="O35" s="79">
        <f t="shared" si="11"/>
        <v>7.9841291939300937E-2</v>
      </c>
    </row>
    <row r="36" spans="2:15" x14ac:dyDescent="0.2">
      <c r="B36" s="26" t="s">
        <v>41</v>
      </c>
      <c r="C36" s="26"/>
      <c r="D36" s="27" t="s">
        <v>24</v>
      </c>
      <c r="E36" s="28"/>
      <c r="F36" s="76">
        <v>0.25</v>
      </c>
      <c r="G36" s="30">
        <v>1</v>
      </c>
      <c r="H36" s="77">
        <f t="shared" si="12"/>
        <v>0.25</v>
      </c>
      <c r="I36" s="32"/>
      <c r="J36" s="76">
        <v>0.25</v>
      </c>
      <c r="K36" s="34">
        <v>1</v>
      </c>
      <c r="L36" s="77">
        <f t="shared" si="13"/>
        <v>0.25</v>
      </c>
      <c r="M36" s="32"/>
      <c r="N36" s="35">
        <f t="shared" si="10"/>
        <v>0</v>
      </c>
      <c r="O36" s="79">
        <f t="shared" si="11"/>
        <v>0</v>
      </c>
    </row>
    <row r="37" spans="2:15" x14ac:dyDescent="0.2">
      <c r="B37" s="26" t="s">
        <v>42</v>
      </c>
      <c r="C37" s="26"/>
      <c r="D37" s="27" t="s">
        <v>27</v>
      </c>
      <c r="E37" s="28"/>
      <c r="F37" s="76">
        <v>7.0000000000000001E-3</v>
      </c>
      <c r="G37" s="67">
        <f>G35</f>
        <v>31344</v>
      </c>
      <c r="H37" s="77">
        <f t="shared" si="12"/>
        <v>219.40800000000002</v>
      </c>
      <c r="I37" s="32"/>
      <c r="J37" s="76">
        <v>7.0000000000000001E-3</v>
      </c>
      <c r="K37" s="68">
        <f>+K35</f>
        <v>31026</v>
      </c>
      <c r="L37" s="77">
        <f t="shared" si="13"/>
        <v>217.18200000000002</v>
      </c>
      <c r="M37" s="32"/>
      <c r="N37" s="35">
        <f t="shared" si="10"/>
        <v>-2.2259999999999991</v>
      </c>
      <c r="O37" s="79">
        <f t="shared" si="11"/>
        <v>-1.0145482388973961E-2</v>
      </c>
    </row>
    <row r="38" spans="2:15" x14ac:dyDescent="0.2">
      <c r="B38" s="39" t="s">
        <v>43</v>
      </c>
      <c r="C38" s="26"/>
      <c r="D38" s="27" t="s">
        <v>27</v>
      </c>
      <c r="E38" s="28"/>
      <c r="F38" s="80">
        <v>7.3999999999999996E-2</v>
      </c>
      <c r="G38" s="67"/>
      <c r="H38" s="77">
        <f>G38*F38</f>
        <v>0</v>
      </c>
      <c r="I38" s="32"/>
      <c r="J38" s="80">
        <v>7.8E-2</v>
      </c>
      <c r="K38" s="67"/>
      <c r="L38" s="77">
        <f>K38*J38</f>
        <v>0</v>
      </c>
      <c r="M38" s="32"/>
      <c r="N38" s="35">
        <f t="shared" si="10"/>
        <v>0</v>
      </c>
      <c r="O38" s="79" t="str">
        <f t="shared" si="11"/>
        <v/>
      </c>
    </row>
    <row r="39" spans="2:15" x14ac:dyDescent="0.2">
      <c r="B39" s="39" t="s">
        <v>45</v>
      </c>
      <c r="C39" s="26"/>
      <c r="D39" s="27" t="s">
        <v>27</v>
      </c>
      <c r="E39" s="28"/>
      <c r="F39" s="80">
        <v>8.6999999999999994E-2</v>
      </c>
      <c r="G39" s="67"/>
      <c r="H39" s="77">
        <f>G39*F39</f>
        <v>0</v>
      </c>
      <c r="I39" s="32"/>
      <c r="J39" s="80">
        <v>9.0999999999999998E-2</v>
      </c>
      <c r="K39" s="67"/>
      <c r="L39" s="77">
        <f>K39*J39</f>
        <v>0</v>
      </c>
      <c r="M39" s="32"/>
      <c r="N39" s="35">
        <f t="shared" si="10"/>
        <v>0</v>
      </c>
      <c r="O39" s="79" t="str">
        <f t="shared" si="11"/>
        <v/>
      </c>
    </row>
    <row r="40" spans="2:15" x14ac:dyDescent="0.2">
      <c r="B40" s="39" t="s">
        <v>46</v>
      </c>
      <c r="C40" s="26"/>
      <c r="D40" s="27" t="s">
        <v>27</v>
      </c>
      <c r="E40" s="28"/>
      <c r="F40" s="80">
        <v>6.3E-2</v>
      </c>
      <c r="G40" s="81">
        <f>0.64*$G$34</f>
        <v>20060.16</v>
      </c>
      <c r="H40" s="77">
        <f>G40*F40</f>
        <v>1263.79008</v>
      </c>
      <c r="I40" s="32"/>
      <c r="J40" s="80">
        <v>6.7000000000000004E-2</v>
      </c>
      <c r="K40" s="81">
        <f>0.64*$K$34</f>
        <v>19856.64</v>
      </c>
      <c r="L40" s="77">
        <f t="shared" si="13"/>
        <v>1330.3948800000001</v>
      </c>
      <c r="M40" s="32"/>
      <c r="N40" s="35">
        <f t="shared" si="10"/>
        <v>66.604800000000068</v>
      </c>
      <c r="O40" s="79">
        <f t="shared" si="11"/>
        <v>5.2702423491091235E-2</v>
      </c>
    </row>
    <row r="41" spans="2:15" x14ac:dyDescent="0.2">
      <c r="B41" s="39" t="s">
        <v>47</v>
      </c>
      <c r="C41" s="26"/>
      <c r="D41" s="27" t="s">
        <v>27</v>
      </c>
      <c r="E41" s="28"/>
      <c r="F41" s="80">
        <v>9.9000000000000005E-2</v>
      </c>
      <c r="G41" s="81">
        <f>0.18*$G$34</f>
        <v>5641.92</v>
      </c>
      <c r="H41" s="77">
        <f t="shared" si="12"/>
        <v>558.55007999999998</v>
      </c>
      <c r="I41" s="32"/>
      <c r="J41" s="80">
        <v>0.104</v>
      </c>
      <c r="K41" s="81">
        <f>0.18*$K$34</f>
        <v>5584.6799999999994</v>
      </c>
      <c r="L41" s="77">
        <f t="shared" si="13"/>
        <v>580.80671999999993</v>
      </c>
      <c r="M41" s="32"/>
      <c r="N41" s="35">
        <f t="shared" si="10"/>
        <v>22.256639999999948</v>
      </c>
      <c r="O41" s="79">
        <f t="shared" si="11"/>
        <v>3.9847170015623212E-2</v>
      </c>
    </row>
    <row r="42" spans="2:15" ht="13.5" thickBot="1" x14ac:dyDescent="0.25">
      <c r="B42" s="16" t="s">
        <v>48</v>
      </c>
      <c r="C42" s="26"/>
      <c r="D42" s="27" t="s">
        <v>27</v>
      </c>
      <c r="E42" s="28"/>
      <c r="F42" s="80">
        <v>0.11799999999999999</v>
      </c>
      <c r="G42" s="81">
        <f>0.18*$G$34</f>
        <v>5641.92</v>
      </c>
      <c r="H42" s="77">
        <f t="shared" si="12"/>
        <v>665.74655999999993</v>
      </c>
      <c r="I42" s="32"/>
      <c r="J42" s="80">
        <v>0.124</v>
      </c>
      <c r="K42" s="81">
        <f>0.18*$K$34</f>
        <v>5584.6799999999994</v>
      </c>
      <c r="L42" s="77">
        <f t="shared" si="13"/>
        <v>692.50031999999987</v>
      </c>
      <c r="M42" s="32"/>
      <c r="N42" s="35">
        <f t="shared" si="10"/>
        <v>26.753759999999943</v>
      </c>
      <c r="O42" s="79">
        <f t="shared" si="11"/>
        <v>4.0186103252264564E-2</v>
      </c>
    </row>
    <row r="43" spans="2:15" ht="8.25" customHeight="1" thickBot="1" x14ac:dyDescent="0.25">
      <c r="B43" s="83"/>
      <c r="C43" s="84"/>
      <c r="D43" s="85"/>
      <c r="E43" s="84"/>
      <c r="F43" s="86"/>
      <c r="G43" s="87"/>
      <c r="H43" s="91"/>
      <c r="I43" s="89"/>
      <c r="J43" s="86"/>
      <c r="K43" s="90"/>
      <c r="L43" s="91"/>
      <c r="M43" s="89"/>
      <c r="N43" s="92"/>
      <c r="O43" s="93"/>
    </row>
    <row r="44" spans="2:15" x14ac:dyDescent="0.2">
      <c r="B44" s="94" t="s">
        <v>49</v>
      </c>
      <c r="C44" s="26"/>
      <c r="D44" s="26"/>
      <c r="E44" s="26"/>
      <c r="F44" s="95"/>
      <c r="G44" s="96"/>
      <c r="H44" s="97">
        <f>SUM(H33:H39)</f>
        <v>1125.3427839999999</v>
      </c>
      <c r="I44" s="98"/>
      <c r="J44" s="99"/>
      <c r="K44" s="99"/>
      <c r="L44" s="100">
        <f>SUM(L33:L39)</f>
        <v>1195.4735819999999</v>
      </c>
      <c r="M44" s="101"/>
      <c r="N44" s="102">
        <f t="shared" si="10"/>
        <v>70.130797999999913</v>
      </c>
      <c r="O44" s="103">
        <f t="shared" si="11"/>
        <v>6.2319498553784582E-2</v>
      </c>
    </row>
    <row r="45" spans="2:15" x14ac:dyDescent="0.2">
      <c r="B45" s="104" t="s">
        <v>50</v>
      </c>
      <c r="C45" s="26"/>
      <c r="D45" s="26"/>
      <c r="E45" s="26"/>
      <c r="F45" s="105">
        <v>0.13</v>
      </c>
      <c r="G45" s="96"/>
      <c r="H45" s="106">
        <f>H44*F45</f>
        <v>146.29456192000001</v>
      </c>
      <c r="I45" s="107"/>
      <c r="J45" s="108">
        <v>0.13</v>
      </c>
      <c r="K45" s="109"/>
      <c r="L45" s="110">
        <f>L44*J45</f>
        <v>155.41156565999998</v>
      </c>
      <c r="M45" s="111"/>
      <c r="N45" s="112">
        <f t="shared" si="10"/>
        <v>9.1170037399999728</v>
      </c>
      <c r="O45" s="113">
        <f t="shared" si="11"/>
        <v>6.2319498553784471E-2</v>
      </c>
    </row>
    <row r="46" spans="2:15" x14ac:dyDescent="0.2">
      <c r="B46" s="114" t="s">
        <v>51</v>
      </c>
      <c r="C46" s="26"/>
      <c r="D46" s="26"/>
      <c r="E46" s="26"/>
      <c r="F46" s="115"/>
      <c r="G46" s="116"/>
      <c r="H46" s="106">
        <f>H44+H45</f>
        <v>1271.6373459199999</v>
      </c>
      <c r="I46" s="107"/>
      <c r="J46" s="107"/>
      <c r="K46" s="107"/>
      <c r="L46" s="110">
        <f>L44+L45</f>
        <v>1350.8851476599998</v>
      </c>
      <c r="M46" s="111"/>
      <c r="N46" s="112">
        <f t="shared" si="10"/>
        <v>79.247801739999886</v>
      </c>
      <c r="O46" s="113">
        <f t="shared" si="11"/>
        <v>6.2319498553784575E-2</v>
      </c>
    </row>
    <row r="47" spans="2:15" x14ac:dyDescent="0.2">
      <c r="B47" s="232" t="s">
        <v>52</v>
      </c>
      <c r="C47" s="232"/>
      <c r="D47" s="232"/>
      <c r="E47" s="26"/>
      <c r="F47" s="115"/>
      <c r="G47" s="116"/>
      <c r="H47" s="117">
        <f>ROUND(-H46*10%,2)</f>
        <v>-127.16</v>
      </c>
      <c r="I47" s="107"/>
      <c r="J47" s="107"/>
      <c r="K47" s="107"/>
      <c r="L47" s="118">
        <f>ROUND(-L46*10%,2)</f>
        <v>-135.09</v>
      </c>
      <c r="M47" s="111"/>
      <c r="N47" s="119">
        <f t="shared" si="10"/>
        <v>-7.9300000000000068</v>
      </c>
      <c r="O47" s="120">
        <f t="shared" si="11"/>
        <v>6.2362378106322801E-2</v>
      </c>
    </row>
    <row r="48" spans="2:15" ht="13.5" thickBot="1" x14ac:dyDescent="0.25">
      <c r="B48" s="225" t="s">
        <v>53</v>
      </c>
      <c r="C48" s="225"/>
      <c r="D48" s="225"/>
      <c r="E48" s="121"/>
      <c r="F48" s="122"/>
      <c r="G48" s="123"/>
      <c r="H48" s="124">
        <f>SUM(H46:H47)</f>
        <v>1144.4773459199998</v>
      </c>
      <c r="I48" s="125"/>
      <c r="J48" s="125"/>
      <c r="K48" s="125"/>
      <c r="L48" s="126">
        <f>SUM(L46:L47)</f>
        <v>1215.7951476599999</v>
      </c>
      <c r="M48" s="127"/>
      <c r="N48" s="128">
        <f t="shared" si="10"/>
        <v>71.31780174000005</v>
      </c>
      <c r="O48" s="129">
        <f t="shared" si="11"/>
        <v>6.231473431452722E-2</v>
      </c>
    </row>
    <row r="49" spans="1:15" ht="8.25" customHeight="1" thickBot="1" x14ac:dyDescent="0.25">
      <c r="B49" s="83"/>
      <c r="C49" s="84"/>
      <c r="D49" s="85"/>
      <c r="E49" s="84"/>
      <c r="F49" s="130"/>
      <c r="G49" s="131"/>
      <c r="H49" s="161"/>
      <c r="I49" s="133"/>
      <c r="J49" s="130"/>
      <c r="K49" s="87"/>
      <c r="L49" s="134"/>
      <c r="M49" s="89"/>
      <c r="N49" s="135"/>
      <c r="O49" s="93"/>
    </row>
    <row r="50" spans="1:15" x14ac:dyDescent="0.2">
      <c r="B50" s="94" t="s">
        <v>54</v>
      </c>
      <c r="C50" s="26"/>
      <c r="D50" s="26"/>
      <c r="E50" s="26"/>
      <c r="F50" s="95"/>
      <c r="G50" s="96"/>
      <c r="H50" s="97">
        <f>SUM(H33:H37,H40:H42)</f>
        <v>3613.4295040000002</v>
      </c>
      <c r="I50" s="98"/>
      <c r="J50" s="99"/>
      <c r="K50" s="99"/>
      <c r="L50" s="136">
        <f>SUM(L33:L37,L40:L42)</f>
        <v>3799.1755020000001</v>
      </c>
      <c r="M50" s="101"/>
      <c r="N50" s="102">
        <f t="shared" ref="N50" si="14">L50-H50</f>
        <v>185.74599799999987</v>
      </c>
      <c r="O50" s="103">
        <f t="shared" ref="O50" si="15">IF((H50)=0,"",(N50/H50))</f>
        <v>5.1404350851284759E-2</v>
      </c>
    </row>
    <row r="51" spans="1:15" x14ac:dyDescent="0.2">
      <c r="B51" s="104" t="s">
        <v>50</v>
      </c>
      <c r="C51" s="26"/>
      <c r="D51" s="26"/>
      <c r="E51" s="26"/>
      <c r="F51" s="105">
        <v>0.13</v>
      </c>
      <c r="G51" s="116"/>
      <c r="H51" s="106">
        <f>H50*F51</f>
        <v>469.74583552000001</v>
      </c>
      <c r="I51" s="107"/>
      <c r="J51" s="137">
        <v>0.13</v>
      </c>
      <c r="K51" s="107"/>
      <c r="L51" s="110">
        <f>L50*J51</f>
        <v>493.89281526000002</v>
      </c>
      <c r="M51" s="111"/>
      <c r="N51" s="112">
        <f t="shared" si="10"/>
        <v>24.146979740000006</v>
      </c>
      <c r="O51" s="113">
        <f t="shared" si="11"/>
        <v>5.1404350851284808E-2</v>
      </c>
    </row>
    <row r="52" spans="1:15" x14ac:dyDescent="0.2">
      <c r="B52" s="114" t="s">
        <v>51</v>
      </c>
      <c r="C52" s="26"/>
      <c r="D52" s="26"/>
      <c r="E52" s="26"/>
      <c r="F52" s="115"/>
      <c r="G52" s="116"/>
      <c r="H52" s="106">
        <f>H50+H51</f>
        <v>4083.1753395200003</v>
      </c>
      <c r="I52" s="107"/>
      <c r="J52" s="107"/>
      <c r="K52" s="107"/>
      <c r="L52" s="110">
        <f>L50+L51</f>
        <v>4293.0683172600002</v>
      </c>
      <c r="M52" s="111"/>
      <c r="N52" s="112">
        <f t="shared" si="10"/>
        <v>209.89297773999988</v>
      </c>
      <c r="O52" s="113">
        <f t="shared" si="11"/>
        <v>5.1404350851284759E-2</v>
      </c>
    </row>
    <row r="53" spans="1:15" x14ac:dyDescent="0.2">
      <c r="B53" s="232" t="s">
        <v>52</v>
      </c>
      <c r="C53" s="232"/>
      <c r="D53" s="232"/>
      <c r="E53" s="26"/>
      <c r="F53" s="115"/>
      <c r="G53" s="116"/>
      <c r="H53" s="117">
        <f>ROUND(-H52*10%,2)</f>
        <v>-408.32</v>
      </c>
      <c r="I53" s="107"/>
      <c r="J53" s="107"/>
      <c r="K53" s="107"/>
      <c r="L53" s="118">
        <f>ROUND(-L52*10%,2)</f>
        <v>-429.31</v>
      </c>
      <c r="M53" s="111"/>
      <c r="N53" s="119">
        <f t="shared" si="10"/>
        <v>-20.990000000000009</v>
      </c>
      <c r="O53" s="120">
        <f t="shared" si="11"/>
        <v>5.1405760188087797E-2</v>
      </c>
    </row>
    <row r="54" spans="1:15" ht="13.5" thickBot="1" x14ac:dyDescent="0.25">
      <c r="B54" s="225" t="s">
        <v>55</v>
      </c>
      <c r="C54" s="225"/>
      <c r="D54" s="225"/>
      <c r="E54" s="121"/>
      <c r="F54" s="138"/>
      <c r="G54" s="139"/>
      <c r="H54" s="140">
        <f>H52+H53</f>
        <v>3674.8553395200001</v>
      </c>
      <c r="I54" s="141"/>
      <c r="J54" s="141"/>
      <c r="K54" s="141"/>
      <c r="L54" s="142">
        <f>L52+L53</f>
        <v>3863.7583172600002</v>
      </c>
      <c r="M54" s="143"/>
      <c r="N54" s="144">
        <f t="shared" si="10"/>
        <v>188.9029777400001</v>
      </c>
      <c r="O54" s="145">
        <f t="shared" si="11"/>
        <v>5.1404194257255877E-2</v>
      </c>
    </row>
    <row r="55" spans="1:15" ht="8.25" customHeight="1" thickBot="1" x14ac:dyDescent="0.25">
      <c r="B55" s="83"/>
      <c r="C55" s="84"/>
      <c r="D55" s="85"/>
      <c r="E55" s="84"/>
      <c r="F55" s="130"/>
      <c r="G55" s="131"/>
      <c r="H55" s="132"/>
      <c r="I55" s="133"/>
      <c r="J55" s="130"/>
      <c r="K55" s="87"/>
      <c r="L55" s="134"/>
      <c r="M55" s="89"/>
      <c r="N55" s="135"/>
      <c r="O55" s="147"/>
    </row>
    <row r="56" spans="1:15" ht="10.5" customHeight="1" x14ac:dyDescent="0.2">
      <c r="L56" s="148"/>
    </row>
    <row r="57" spans="1:15" x14ac:dyDescent="0.2">
      <c r="B57" s="17" t="s">
        <v>56</v>
      </c>
      <c r="F57" s="149">
        <v>4.48E-2</v>
      </c>
      <c r="J57" s="149">
        <v>3.4200000000000001E-2</v>
      </c>
    </row>
    <row r="58" spans="1:15" ht="10.5" customHeight="1" x14ac:dyDescent="0.2"/>
    <row r="59" spans="1:15" ht="10.5" customHeight="1" x14ac:dyDescent="0.2">
      <c r="A59" s="150" t="s">
        <v>57</v>
      </c>
    </row>
    <row r="60" spans="1:15" ht="10.5" customHeight="1" x14ac:dyDescent="0.2"/>
    <row r="61" spans="1:15" x14ac:dyDescent="0.2">
      <c r="A61" s="11" t="s">
        <v>58</v>
      </c>
    </row>
    <row r="62" spans="1:15" x14ac:dyDescent="0.2">
      <c r="A62" s="11" t="s">
        <v>59</v>
      </c>
    </row>
    <row r="64" spans="1:15" x14ac:dyDescent="0.2">
      <c r="A64" s="11" t="s">
        <v>60</v>
      </c>
    </row>
    <row r="65" spans="1:1" x14ac:dyDescent="0.2">
      <c r="A65" s="11" t="s">
        <v>61</v>
      </c>
    </row>
    <row r="67" spans="1:1" x14ac:dyDescent="0.2">
      <c r="A67" s="11" t="s">
        <v>62</v>
      </c>
    </row>
    <row r="68" spans="1:1" x14ac:dyDescent="0.2">
      <c r="A68" s="11" t="s">
        <v>63</v>
      </c>
    </row>
    <row r="69" spans="1:1" x14ac:dyDescent="0.2">
      <c r="A69" s="11" t="s">
        <v>64</v>
      </c>
    </row>
    <row r="70" spans="1:1" x14ac:dyDescent="0.2">
      <c r="A70" s="11" t="s">
        <v>65</v>
      </c>
    </row>
    <row r="71" spans="1:1" x14ac:dyDescent="0.2">
      <c r="A71" s="11" t="s">
        <v>66</v>
      </c>
    </row>
  </sheetData>
  <sheetProtection selectLockedCells="1"/>
  <mergeCells count="14">
    <mergeCell ref="B54:D54"/>
    <mergeCell ref="D19:D20"/>
    <mergeCell ref="N19:N20"/>
    <mergeCell ref="O19:O20"/>
    <mergeCell ref="B47:D47"/>
    <mergeCell ref="B48:D48"/>
    <mergeCell ref="B53:D53"/>
    <mergeCell ref="A3:K3"/>
    <mergeCell ref="B10:O10"/>
    <mergeCell ref="B11:O11"/>
    <mergeCell ref="D14:O14"/>
    <mergeCell ref="F18:H18"/>
    <mergeCell ref="J18:L18"/>
    <mergeCell ref="N18:O18"/>
  </mergeCells>
  <dataValidations count="3">
    <dataValidation type="list" allowBlank="1" showInputMessage="1" showErrorMessage="1" sqref="E31:E32 E49 E55 E25:E29 E34:E37 E40:E43 E21:E23">
      <formula1>#REF!</formula1>
    </dataValidation>
    <dataValidation type="list" allowBlank="1" showInputMessage="1" showErrorMessage="1" prompt="Select Charge Unit - monthly, per kWh, per kW" sqref="D31:D32 D49 D55 D25:D29 D34:D43 D21:D23">
      <formula1>"Monthly, per kWh, per kW"</formula1>
    </dataValidation>
    <dataValidation type="list" allowBlank="1" showInputMessage="1" showErrorMessage="1" sqref="E38:E39">
      <formula1>#REF!</formula1>
    </dataValidation>
  </dataValidations>
  <pageMargins left="0.75" right="0.75" top="1" bottom="1" header="0.5" footer="0.5"/>
  <pageSetup scale="64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</xdr:col>
                    <xdr:colOff>342900</xdr:colOff>
                    <xdr:row>1</xdr:row>
                    <xdr:rowOff>66675</xdr:rowOff>
                  </from>
                  <to>
                    <xdr:col>1</xdr:col>
                    <xdr:colOff>523875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1</xdr:col>
                    <xdr:colOff>495300</xdr:colOff>
                    <xdr:row>1</xdr:row>
                    <xdr:rowOff>66675</xdr:rowOff>
                  </from>
                  <to>
                    <xdr:col>1</xdr:col>
                    <xdr:colOff>904875</xdr:colOff>
                    <xdr:row>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8">
    <pageSetUpPr fitToPage="1"/>
  </sheetPr>
  <dimension ref="A1:T71"/>
  <sheetViews>
    <sheetView showGridLines="0" topLeftCell="A10" zoomScaleNormal="100" workbookViewId="0">
      <selection activeCell="J38" sqref="J38:J42"/>
    </sheetView>
  </sheetViews>
  <sheetFormatPr defaultColWidth="9.140625" defaultRowHeight="12.75" x14ac:dyDescent="0.2"/>
  <cols>
    <col min="1" max="1" width="1.28515625" style="11" customWidth="1"/>
    <col min="2" max="2" width="26.5703125" style="11" customWidth="1"/>
    <col min="3" max="3" width="1.28515625" style="11" customWidth="1"/>
    <col min="4" max="4" width="11.28515625" style="11" customWidth="1"/>
    <col min="5" max="5" width="1.28515625" style="11" customWidth="1"/>
    <col min="6" max="6" width="12.28515625" style="11" customWidth="1"/>
    <col min="7" max="7" width="8.5703125" style="11" customWidth="1"/>
    <col min="8" max="8" width="11.42578125" style="11" bestFit="1" customWidth="1"/>
    <col min="9" max="9" width="2.85546875" style="11" customWidth="1"/>
    <col min="10" max="10" width="12.7109375" style="11" customWidth="1"/>
    <col min="11" max="11" width="8.5703125" style="11" customWidth="1"/>
    <col min="12" max="12" width="11.42578125" style="164" bestFit="1" customWidth="1"/>
    <col min="13" max="13" width="2.85546875" style="11" customWidth="1"/>
    <col min="14" max="14" width="12.7109375" style="164" bestFit="1" customWidth="1"/>
    <col min="15" max="15" width="12.28515625" style="11" bestFit="1" customWidth="1"/>
    <col min="16" max="16" width="3.85546875" style="11" customWidth="1"/>
    <col min="17" max="19" width="9.140625" style="11"/>
    <col min="20" max="20" width="0" style="11" hidden="1" customWidth="1"/>
    <col min="21" max="16384" width="9.140625" style="1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62"/>
      <c r="N1" s="163" t="s">
        <v>0</v>
      </c>
      <c r="O1" s="4" t="str">
        <f>'[3]LDC Info'!$E$18</f>
        <v>EB-2012-0167</v>
      </c>
      <c r="P1" s="5"/>
      <c r="T1" s="2">
        <v>1</v>
      </c>
    </row>
    <row r="2" spans="1:20" s="2" customFormat="1" ht="1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62"/>
      <c r="N2" s="163" t="s">
        <v>1</v>
      </c>
      <c r="O2" s="7"/>
      <c r="P2" s="5"/>
    </row>
    <row r="3" spans="1:20" s="2" customFormat="1" ht="15" customHeight="1" x14ac:dyDescent="0.25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162"/>
      <c r="N3" s="163" t="s">
        <v>2</v>
      </c>
      <c r="O3" s="7"/>
      <c r="P3" s="5"/>
    </row>
    <row r="4" spans="1:20" s="2" customFormat="1" ht="15" customHeight="1" x14ac:dyDescent="0.25">
      <c r="A4" s="152"/>
      <c r="B4" s="152"/>
      <c r="C4" s="152"/>
      <c r="D4" s="152"/>
      <c r="E4" s="152"/>
      <c r="F4" s="152"/>
      <c r="G4" s="152"/>
      <c r="H4" s="152"/>
      <c r="I4" s="154"/>
      <c r="J4" s="154"/>
      <c r="K4" s="154"/>
      <c r="L4" s="162"/>
      <c r="N4" s="163" t="s">
        <v>3</v>
      </c>
      <c r="O4" s="7"/>
      <c r="P4" s="5"/>
    </row>
    <row r="5" spans="1:20" s="2" customFormat="1" ht="15" customHeight="1" x14ac:dyDescent="0.25">
      <c r="C5" s="155"/>
      <c r="D5" s="155"/>
      <c r="E5" s="155"/>
      <c r="L5" s="162"/>
      <c r="N5" s="163" t="s">
        <v>4</v>
      </c>
      <c r="O5" s="9"/>
      <c r="P5" s="5"/>
    </row>
    <row r="6" spans="1:20" s="2" customFormat="1" ht="9" customHeight="1" x14ac:dyDescent="0.2">
      <c r="L6" s="162"/>
      <c r="N6" s="163"/>
      <c r="O6" s="4"/>
      <c r="P6" s="5"/>
    </row>
    <row r="7" spans="1:20" s="2" customFormat="1" x14ac:dyDescent="0.2">
      <c r="L7" s="162"/>
      <c r="N7" s="163" t="s">
        <v>5</v>
      </c>
      <c r="O7" s="10">
        <v>41388</v>
      </c>
      <c r="P7" s="5"/>
    </row>
    <row r="8" spans="1:20" s="2" customFormat="1" ht="15" customHeight="1" x14ac:dyDescent="0.2">
      <c r="L8" s="162"/>
      <c r="N8" s="164"/>
      <c r="O8" s="5"/>
      <c r="P8" s="5"/>
    </row>
    <row r="9" spans="1:20" ht="7.5" customHeight="1" x14ac:dyDescent="0.2">
      <c r="L9" s="165"/>
      <c r="M9" s="5"/>
      <c r="N9" s="165"/>
      <c r="O9" s="5"/>
      <c r="P9" s="5"/>
    </row>
    <row r="10" spans="1:20" ht="18.75" customHeight="1" x14ac:dyDescent="0.25">
      <c r="B10" s="220" t="s">
        <v>6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36"/>
      <c r="M10" s="220"/>
      <c r="N10" s="236"/>
      <c r="O10" s="220"/>
      <c r="P10" s="5"/>
    </row>
    <row r="11" spans="1:20" ht="18.75" customHeight="1" x14ac:dyDescent="0.25">
      <c r="B11" s="220" t="s">
        <v>7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36"/>
      <c r="M11" s="220"/>
      <c r="N11" s="236"/>
      <c r="O11" s="220"/>
      <c r="P11" s="5"/>
    </row>
    <row r="12" spans="1:20" ht="7.5" customHeight="1" x14ac:dyDescent="0.2">
      <c r="L12" s="165"/>
      <c r="M12" s="5"/>
      <c r="N12" s="165"/>
      <c r="O12" s="5"/>
      <c r="P12" s="5"/>
    </row>
    <row r="13" spans="1:20" ht="7.5" customHeight="1" x14ac:dyDescent="0.2">
      <c r="L13" s="165"/>
      <c r="M13" s="5"/>
      <c r="N13" s="165"/>
      <c r="O13" s="5"/>
      <c r="P13" s="5"/>
    </row>
    <row r="14" spans="1:20" ht="15.75" x14ac:dyDescent="0.2">
      <c r="B14" s="13" t="s">
        <v>9</v>
      </c>
      <c r="D14" s="221" t="s">
        <v>71</v>
      </c>
      <c r="E14" s="221"/>
      <c r="F14" s="221"/>
      <c r="G14" s="221"/>
      <c r="H14" s="221"/>
      <c r="I14" s="221"/>
      <c r="J14" s="221"/>
      <c r="K14" s="221"/>
      <c r="L14" s="237"/>
      <c r="M14" s="221"/>
      <c r="N14" s="237"/>
      <c r="O14" s="221"/>
    </row>
    <row r="15" spans="1:20" ht="7.5" customHeight="1" x14ac:dyDescent="0.25">
      <c r="B15" s="14"/>
      <c r="D15" s="15"/>
      <c r="E15" s="15"/>
      <c r="F15" s="15"/>
      <c r="G15" s="15"/>
      <c r="H15" s="15"/>
      <c r="I15" s="15"/>
      <c r="J15" s="15"/>
      <c r="K15" s="15"/>
      <c r="L15" s="166"/>
      <c r="M15" s="15"/>
      <c r="N15" s="166"/>
      <c r="O15" s="15"/>
    </row>
    <row r="16" spans="1:20" x14ac:dyDescent="0.2">
      <c r="B16" s="16"/>
      <c r="D16" s="17" t="s">
        <v>11</v>
      </c>
      <c r="E16" s="17"/>
      <c r="F16" s="18">
        <v>100</v>
      </c>
      <c r="G16" s="17" t="s">
        <v>69</v>
      </c>
    </row>
    <row r="17" spans="2:15" ht="10.5" customHeight="1" x14ac:dyDescent="0.2">
      <c r="B17" s="16"/>
    </row>
    <row r="18" spans="2:15" x14ac:dyDescent="0.2">
      <c r="B18" s="16"/>
      <c r="D18" s="19"/>
      <c r="E18" s="19"/>
      <c r="F18" s="222" t="s">
        <v>13</v>
      </c>
      <c r="G18" s="223"/>
      <c r="H18" s="224"/>
      <c r="J18" s="222" t="s">
        <v>14</v>
      </c>
      <c r="K18" s="223"/>
      <c r="L18" s="238"/>
      <c r="N18" s="239" t="s">
        <v>15</v>
      </c>
      <c r="O18" s="224"/>
    </row>
    <row r="19" spans="2:15" x14ac:dyDescent="0.2">
      <c r="B19" s="16"/>
      <c r="D19" s="226" t="s">
        <v>16</v>
      </c>
      <c r="E19" s="20"/>
      <c r="F19" s="21" t="s">
        <v>17</v>
      </c>
      <c r="G19" s="21" t="s">
        <v>18</v>
      </c>
      <c r="H19" s="22" t="s">
        <v>19</v>
      </c>
      <c r="J19" s="21" t="s">
        <v>17</v>
      </c>
      <c r="K19" s="23" t="s">
        <v>18</v>
      </c>
      <c r="L19" s="167" t="s">
        <v>19</v>
      </c>
      <c r="N19" s="240" t="s">
        <v>20</v>
      </c>
      <c r="O19" s="234" t="s">
        <v>21</v>
      </c>
    </row>
    <row r="20" spans="2:15" x14ac:dyDescent="0.2">
      <c r="B20" s="16"/>
      <c r="D20" s="227"/>
      <c r="E20" s="20"/>
      <c r="F20" s="24" t="s">
        <v>22</v>
      </c>
      <c r="G20" s="24"/>
      <c r="H20" s="25" t="s">
        <v>22</v>
      </c>
      <c r="J20" s="24" t="s">
        <v>22</v>
      </c>
      <c r="K20" s="25"/>
      <c r="L20" s="168" t="s">
        <v>22</v>
      </c>
      <c r="N20" s="241"/>
      <c r="O20" s="235"/>
    </row>
    <row r="21" spans="2:15" ht="15" x14ac:dyDescent="0.2">
      <c r="B21" s="26" t="s">
        <v>23</v>
      </c>
      <c r="C21" s="26"/>
      <c r="D21" s="27" t="s">
        <v>24</v>
      </c>
      <c r="E21" s="28"/>
      <c r="F21" s="29">
        <v>241.78</v>
      </c>
      <c r="G21" s="30">
        <v>1</v>
      </c>
      <c r="H21" s="31">
        <f>G21*F21</f>
        <v>241.78</v>
      </c>
      <c r="I21" s="32"/>
      <c r="J21" s="33">
        <v>195.33</v>
      </c>
      <c r="K21" s="34">
        <v>1</v>
      </c>
      <c r="L21" s="31">
        <f>K21*J21</f>
        <v>195.33</v>
      </c>
      <c r="M21" s="32"/>
      <c r="N21" s="35">
        <f>L21-H21</f>
        <v>-46.449999999999989</v>
      </c>
      <c r="O21" s="36">
        <f>IF((H21)=0,"",(N21/H21))</f>
        <v>-0.19211680039705512</v>
      </c>
    </row>
    <row r="22" spans="2:15" ht="15" x14ac:dyDescent="0.2">
      <c r="B22" s="26" t="s">
        <v>26</v>
      </c>
      <c r="C22" s="26"/>
      <c r="D22" s="27" t="s">
        <v>44</v>
      </c>
      <c r="E22" s="28"/>
      <c r="F22" s="29">
        <v>1.3603000000000001</v>
      </c>
      <c r="G22" s="30">
        <f>$F$16</f>
        <v>100</v>
      </c>
      <c r="H22" s="31">
        <f t="shared" ref="H22" si="0">G22*F22</f>
        <v>136.03</v>
      </c>
      <c r="I22" s="32"/>
      <c r="J22" s="33">
        <v>2.4857</v>
      </c>
      <c r="K22" s="30">
        <f>$F$16</f>
        <v>100</v>
      </c>
      <c r="L22" s="31">
        <f t="shared" ref="L22" si="1">K22*J22</f>
        <v>248.57</v>
      </c>
      <c r="M22" s="32"/>
      <c r="N22" s="35">
        <f t="shared" ref="N22:N24" si="2">L22-H22</f>
        <v>112.53999999999999</v>
      </c>
      <c r="O22" s="36">
        <f t="shared" ref="O22:O24" si="3">IF((H22)=0,"",(N22/H22))</f>
        <v>0.82731750349187672</v>
      </c>
    </row>
    <row r="23" spans="2:15" ht="15" x14ac:dyDescent="0.2">
      <c r="B23" s="26" t="s">
        <v>29</v>
      </c>
      <c r="C23" s="26"/>
      <c r="D23" s="27" t="s">
        <v>44</v>
      </c>
      <c r="E23" s="28"/>
      <c r="F23" s="38">
        <v>1.1E-4</v>
      </c>
      <c r="G23" s="30"/>
      <c r="H23" s="31"/>
      <c r="I23" s="32"/>
      <c r="J23" s="33">
        <v>0</v>
      </c>
      <c r="K23" s="34"/>
      <c r="L23" s="31"/>
      <c r="M23" s="32"/>
      <c r="N23" s="35">
        <f t="shared" si="2"/>
        <v>0</v>
      </c>
      <c r="O23" s="36" t="str">
        <f t="shared" si="3"/>
        <v/>
      </c>
    </row>
    <row r="24" spans="2:15" s="51" customFormat="1" ht="15" x14ac:dyDescent="0.2">
      <c r="B24" s="40" t="s">
        <v>31</v>
      </c>
      <c r="C24" s="41"/>
      <c r="D24" s="42"/>
      <c r="E24" s="41"/>
      <c r="F24" s="43"/>
      <c r="G24" s="44"/>
      <c r="H24" s="169">
        <f>SUM(H21:H23)</f>
        <v>377.81</v>
      </c>
      <c r="I24" s="46"/>
      <c r="J24" s="47"/>
      <c r="K24" s="48"/>
      <c r="L24" s="169">
        <f>SUM(L21:L23)</f>
        <v>443.9</v>
      </c>
      <c r="M24" s="46"/>
      <c r="N24" s="170">
        <f t="shared" si="2"/>
        <v>66.089999999999975</v>
      </c>
      <c r="O24" s="50">
        <f t="shared" si="3"/>
        <v>0.17492919721553155</v>
      </c>
    </row>
    <row r="25" spans="2:15" ht="25.5" x14ac:dyDescent="0.2">
      <c r="B25" s="52" t="s">
        <v>32</v>
      </c>
      <c r="C25" s="26"/>
      <c r="D25" s="27" t="s">
        <v>44</v>
      </c>
      <c r="E25" s="28"/>
      <c r="F25" s="33">
        <v>-0.91269999999999996</v>
      </c>
      <c r="G25" s="30">
        <f>$F$16</f>
        <v>100</v>
      </c>
      <c r="H25" s="31">
        <f>G25*F25</f>
        <v>-91.27</v>
      </c>
      <c r="I25" s="32"/>
      <c r="J25" s="33">
        <v>-1.46</v>
      </c>
      <c r="K25" s="30">
        <f>$F$16</f>
        <v>100</v>
      </c>
      <c r="L25" s="31">
        <f>K25*J25</f>
        <v>-146</v>
      </c>
      <c r="M25" s="32"/>
      <c r="N25" s="35">
        <f>L25-H25</f>
        <v>-54.730000000000004</v>
      </c>
      <c r="O25" s="36">
        <f>IF((H25)=0,"",(N25/H25))</f>
        <v>0.59964939191410105</v>
      </c>
    </row>
    <row r="26" spans="2:15" ht="15" x14ac:dyDescent="0.2">
      <c r="B26" s="52" t="s">
        <v>70</v>
      </c>
      <c r="C26" s="26"/>
      <c r="D26" s="27" t="s">
        <v>44</v>
      </c>
      <c r="E26" s="28"/>
      <c r="F26" s="33">
        <v>-0.1051</v>
      </c>
      <c r="G26" s="30">
        <f>$F$16</f>
        <v>100</v>
      </c>
      <c r="H26" s="31">
        <f>G26*F26</f>
        <v>-10.51</v>
      </c>
      <c r="I26" s="32"/>
      <c r="J26" s="33">
        <v>0.7802</v>
      </c>
      <c r="K26" s="30">
        <f>$F$16</f>
        <v>100</v>
      </c>
      <c r="L26" s="31">
        <f>K26*J26</f>
        <v>78.02</v>
      </c>
      <c r="M26" s="32"/>
      <c r="N26" s="35">
        <f>L26-H26</f>
        <v>88.53</v>
      </c>
      <c r="O26" s="36">
        <f>IF((H26)=0,"",(N26/H26))</f>
        <v>-8.4234062797335874</v>
      </c>
    </row>
    <row r="27" spans="2:15" ht="15" x14ac:dyDescent="0.2">
      <c r="B27" s="52" t="s">
        <v>33</v>
      </c>
      <c r="C27" s="26"/>
      <c r="D27" s="27" t="s">
        <v>44</v>
      </c>
      <c r="E27" s="28"/>
      <c r="F27" s="29">
        <v>-4.1000000000000002E-2</v>
      </c>
      <c r="G27" s="30">
        <f t="shared" ref="G27" si="4">$F$16</f>
        <v>100</v>
      </c>
      <c r="H27" s="31">
        <f t="shared" ref="H27" si="5">G27*F27</f>
        <v>-4.1000000000000005</v>
      </c>
      <c r="I27" s="53"/>
      <c r="J27" s="33">
        <v>0</v>
      </c>
      <c r="K27" s="30">
        <f t="shared" ref="K27:K29" si="6">$F$16</f>
        <v>100</v>
      </c>
      <c r="L27" s="31">
        <f t="shared" ref="L27:L28" si="7">K27*J27</f>
        <v>0</v>
      </c>
      <c r="M27" s="54"/>
      <c r="N27" s="35">
        <f t="shared" ref="N27:N28" si="8">L27-H27</f>
        <v>4.1000000000000005</v>
      </c>
      <c r="O27" s="36">
        <f t="shared" ref="O27:O28" si="9">IF((H27)=0,"",(N27/H27))</f>
        <v>-1</v>
      </c>
    </row>
    <row r="28" spans="2:15" ht="15" x14ac:dyDescent="0.2">
      <c r="B28" s="52"/>
      <c r="C28" s="26"/>
      <c r="D28" s="27"/>
      <c r="E28" s="28"/>
      <c r="F28" s="29"/>
      <c r="G28" s="30"/>
      <c r="H28" s="31"/>
      <c r="I28" s="55"/>
      <c r="J28" s="33"/>
      <c r="K28" s="30"/>
      <c r="L28" s="31">
        <f t="shared" si="7"/>
        <v>0</v>
      </c>
      <c r="M28" s="54"/>
      <c r="N28" s="35">
        <f t="shared" si="8"/>
        <v>0</v>
      </c>
      <c r="O28" s="36" t="str">
        <f t="shared" si="9"/>
        <v/>
      </c>
    </row>
    <row r="29" spans="2:15" ht="15" x14ac:dyDescent="0.2">
      <c r="B29" s="39" t="s">
        <v>34</v>
      </c>
      <c r="C29" s="26"/>
      <c r="D29" s="27"/>
      <c r="E29" s="28"/>
      <c r="F29" s="56"/>
      <c r="G29" s="57"/>
      <c r="H29" s="171"/>
      <c r="I29" s="32"/>
      <c r="J29" s="33">
        <v>0</v>
      </c>
      <c r="K29" s="30">
        <f t="shared" si="6"/>
        <v>100</v>
      </c>
      <c r="L29" s="31">
        <f>K29*J29</f>
        <v>0</v>
      </c>
      <c r="M29" s="32"/>
      <c r="N29" s="35">
        <f>L29-H29</f>
        <v>0</v>
      </c>
      <c r="O29" s="36"/>
    </row>
    <row r="30" spans="2:15" ht="25.5" x14ac:dyDescent="0.2">
      <c r="B30" s="59" t="s">
        <v>35</v>
      </c>
      <c r="C30" s="60"/>
      <c r="D30" s="60"/>
      <c r="E30" s="60"/>
      <c r="F30" s="61"/>
      <c r="G30" s="62"/>
      <c r="H30" s="172">
        <f>SUM(H25:H27)+H24</f>
        <v>271.93</v>
      </c>
      <c r="I30" s="46"/>
      <c r="J30" s="62"/>
      <c r="K30" s="64"/>
      <c r="L30" s="172">
        <f>SUM(L25:L28)+L24</f>
        <v>375.91999999999996</v>
      </c>
      <c r="M30" s="46"/>
      <c r="N30" s="170">
        <f t="shared" ref="N30:N54" si="10">L30-H30</f>
        <v>103.98999999999995</v>
      </c>
      <c r="O30" s="50">
        <f t="shared" ref="O30:O54" si="11">IF((H30)=0,"",(N30/H30))</f>
        <v>0.38241459199058564</v>
      </c>
    </row>
    <row r="31" spans="2:15" ht="15" x14ac:dyDescent="0.2">
      <c r="B31" s="32" t="s">
        <v>36</v>
      </c>
      <c r="C31" s="32"/>
      <c r="D31" s="65" t="s">
        <v>44</v>
      </c>
      <c r="E31" s="66"/>
      <c r="F31" s="33">
        <v>2.5777000000000001</v>
      </c>
      <c r="G31" s="67">
        <f>F16*(1+F57)</f>
        <v>104.47999999999999</v>
      </c>
      <c r="H31" s="31">
        <f>G31*F31</f>
        <v>269.31809599999997</v>
      </c>
      <c r="I31" s="32"/>
      <c r="J31" s="33">
        <v>2.6027</v>
      </c>
      <c r="K31" s="68">
        <f>F16*(1+J57)</f>
        <v>103.42</v>
      </c>
      <c r="L31" s="31">
        <f>K31*J31</f>
        <v>269.17123400000003</v>
      </c>
      <c r="M31" s="32"/>
      <c r="N31" s="35">
        <f t="shared" si="10"/>
        <v>-0.14686199999994187</v>
      </c>
      <c r="O31" s="36">
        <f t="shared" si="11"/>
        <v>-5.4531055350971248E-4</v>
      </c>
    </row>
    <row r="32" spans="2:15" ht="25.5" x14ac:dyDescent="0.2">
      <c r="B32" s="70" t="s">
        <v>37</v>
      </c>
      <c r="C32" s="32"/>
      <c r="D32" s="65" t="s">
        <v>44</v>
      </c>
      <c r="E32" s="66"/>
      <c r="F32" s="33">
        <v>1.9295</v>
      </c>
      <c r="G32" s="67">
        <f>G31</f>
        <v>104.47999999999999</v>
      </c>
      <c r="H32" s="31">
        <f>G32*F32</f>
        <v>201.59415999999999</v>
      </c>
      <c r="I32" s="32"/>
      <c r="J32" s="33">
        <v>1.8662000000000001</v>
      </c>
      <c r="K32" s="68">
        <f>K31</f>
        <v>103.42</v>
      </c>
      <c r="L32" s="31">
        <f>K32*J32</f>
        <v>193.00240400000001</v>
      </c>
      <c r="M32" s="32"/>
      <c r="N32" s="35">
        <f t="shared" si="10"/>
        <v>-8.5917559999999753</v>
      </c>
      <c r="O32" s="36">
        <f t="shared" si="11"/>
        <v>-4.2619071901685922E-2</v>
      </c>
    </row>
    <row r="33" spans="2:15" ht="25.5" x14ac:dyDescent="0.2">
      <c r="B33" s="59" t="s">
        <v>38</v>
      </c>
      <c r="C33" s="41"/>
      <c r="D33" s="41"/>
      <c r="E33" s="41"/>
      <c r="F33" s="71"/>
      <c r="G33" s="62"/>
      <c r="H33" s="172">
        <f>SUM(H30:H32)</f>
        <v>742.84225600000002</v>
      </c>
      <c r="I33" s="72"/>
      <c r="J33" s="73"/>
      <c r="K33" s="74"/>
      <c r="L33" s="172">
        <f>SUM(L30:L32)</f>
        <v>838.09363800000006</v>
      </c>
      <c r="M33" s="72"/>
      <c r="N33" s="170">
        <f t="shared" si="10"/>
        <v>95.251382000000035</v>
      </c>
      <c r="O33" s="50">
        <f t="shared" si="11"/>
        <v>0.12822558387147007</v>
      </c>
    </row>
    <row r="34" spans="2:15" ht="25.5" x14ac:dyDescent="0.2">
      <c r="B34" s="75" t="s">
        <v>39</v>
      </c>
      <c r="C34" s="26"/>
      <c r="D34" s="27" t="s">
        <v>27</v>
      </c>
      <c r="E34" s="28"/>
      <c r="F34" s="76">
        <v>5.1999999999999998E-3</v>
      </c>
      <c r="G34" s="67">
        <f>30000*(1+F57)</f>
        <v>31344</v>
      </c>
      <c r="H34" s="77">
        <f t="shared" ref="H34:H42" si="12">G34*F34</f>
        <v>162.9888</v>
      </c>
      <c r="I34" s="32"/>
      <c r="J34" s="76">
        <v>4.4000000000000003E-3</v>
      </c>
      <c r="K34" s="68">
        <f>30000*(1+J57)</f>
        <v>31026</v>
      </c>
      <c r="L34" s="77">
        <f t="shared" ref="L34:L42" si="13">K34*J34</f>
        <v>136.51439999999999</v>
      </c>
      <c r="M34" s="32"/>
      <c r="N34" s="35">
        <f t="shared" si="10"/>
        <v>-26.474400000000003</v>
      </c>
      <c r="O34" s="79">
        <f t="shared" si="11"/>
        <v>-0.1624307927906703</v>
      </c>
    </row>
    <row r="35" spans="2:15" ht="25.5" x14ac:dyDescent="0.2">
      <c r="B35" s="75" t="s">
        <v>40</v>
      </c>
      <c r="C35" s="26"/>
      <c r="D35" s="27" t="s">
        <v>27</v>
      </c>
      <c r="E35" s="28"/>
      <c r="F35" s="76">
        <v>1.1000000000000001E-3</v>
      </c>
      <c r="G35" s="67">
        <f>G34</f>
        <v>31344</v>
      </c>
      <c r="H35" s="77">
        <f t="shared" si="12"/>
        <v>34.478400000000001</v>
      </c>
      <c r="I35" s="32"/>
      <c r="J35" s="76">
        <v>1.1999999999999999E-3</v>
      </c>
      <c r="K35" s="68">
        <f>K34</f>
        <v>31026</v>
      </c>
      <c r="L35" s="77">
        <f t="shared" si="13"/>
        <v>37.231199999999994</v>
      </c>
      <c r="M35" s="32"/>
      <c r="N35" s="35">
        <f t="shared" si="10"/>
        <v>2.7527999999999935</v>
      </c>
      <c r="O35" s="79">
        <f t="shared" si="11"/>
        <v>7.9841291939300937E-2</v>
      </c>
    </row>
    <row r="36" spans="2:15" x14ac:dyDescent="0.2">
      <c r="B36" s="26" t="s">
        <v>41</v>
      </c>
      <c r="C36" s="26"/>
      <c r="D36" s="27" t="s">
        <v>24</v>
      </c>
      <c r="E36" s="28"/>
      <c r="F36" s="76">
        <v>0.25</v>
      </c>
      <c r="G36" s="30">
        <v>1</v>
      </c>
      <c r="H36" s="77">
        <f t="shared" si="12"/>
        <v>0.25</v>
      </c>
      <c r="I36" s="32"/>
      <c r="J36" s="76">
        <v>0.25</v>
      </c>
      <c r="K36" s="34">
        <v>1</v>
      </c>
      <c r="L36" s="77">
        <f t="shared" si="13"/>
        <v>0.25</v>
      </c>
      <c r="M36" s="32"/>
      <c r="N36" s="35">
        <f t="shared" si="10"/>
        <v>0</v>
      </c>
      <c r="O36" s="79">
        <f t="shared" si="11"/>
        <v>0</v>
      </c>
    </row>
    <row r="37" spans="2:15" x14ac:dyDescent="0.2">
      <c r="B37" s="26" t="s">
        <v>42</v>
      </c>
      <c r="C37" s="26"/>
      <c r="D37" s="27" t="s">
        <v>27</v>
      </c>
      <c r="E37" s="28"/>
      <c r="F37" s="76">
        <v>7.0000000000000001E-3</v>
      </c>
      <c r="G37" s="67">
        <f>G35</f>
        <v>31344</v>
      </c>
      <c r="H37" s="77">
        <f t="shared" si="12"/>
        <v>219.40800000000002</v>
      </c>
      <c r="I37" s="32"/>
      <c r="J37" s="76">
        <v>7.0000000000000001E-3</v>
      </c>
      <c r="K37" s="68">
        <f>+K35</f>
        <v>31026</v>
      </c>
      <c r="L37" s="77">
        <f t="shared" si="13"/>
        <v>217.18200000000002</v>
      </c>
      <c r="M37" s="32"/>
      <c r="N37" s="35">
        <f t="shared" si="10"/>
        <v>-2.2259999999999991</v>
      </c>
      <c r="O37" s="79">
        <f t="shared" si="11"/>
        <v>-1.0145482388973961E-2</v>
      </c>
    </row>
    <row r="38" spans="2:15" x14ac:dyDescent="0.2">
      <c r="B38" s="39" t="s">
        <v>43</v>
      </c>
      <c r="C38" s="26"/>
      <c r="D38" s="27" t="s">
        <v>27</v>
      </c>
      <c r="E38" s="28"/>
      <c r="F38" s="80">
        <v>7.3999999999999996E-2</v>
      </c>
      <c r="G38" s="67"/>
      <c r="H38" s="77">
        <f>G38*F38</f>
        <v>0</v>
      </c>
      <c r="I38" s="32"/>
      <c r="J38" s="80">
        <v>7.8E-2</v>
      </c>
      <c r="K38" s="67"/>
      <c r="L38" s="77">
        <f>K38*J38</f>
        <v>0</v>
      </c>
      <c r="M38" s="32"/>
      <c r="N38" s="35">
        <f t="shared" si="10"/>
        <v>0</v>
      </c>
      <c r="O38" s="79" t="str">
        <f t="shared" si="11"/>
        <v/>
      </c>
    </row>
    <row r="39" spans="2:15" x14ac:dyDescent="0.2">
      <c r="B39" s="39" t="s">
        <v>45</v>
      </c>
      <c r="C39" s="26"/>
      <c r="D39" s="27" t="s">
        <v>27</v>
      </c>
      <c r="E39" s="28"/>
      <c r="F39" s="80">
        <v>8.6999999999999994E-2</v>
      </c>
      <c r="G39" s="67"/>
      <c r="H39" s="77">
        <f>G39*F39</f>
        <v>0</v>
      </c>
      <c r="I39" s="32"/>
      <c r="J39" s="80">
        <v>9.0999999999999998E-2</v>
      </c>
      <c r="K39" s="67"/>
      <c r="L39" s="77">
        <f>K39*J39</f>
        <v>0</v>
      </c>
      <c r="M39" s="32"/>
      <c r="N39" s="35">
        <f t="shared" si="10"/>
        <v>0</v>
      </c>
      <c r="O39" s="79" t="str">
        <f t="shared" si="11"/>
        <v/>
      </c>
    </row>
    <row r="40" spans="2:15" x14ac:dyDescent="0.2">
      <c r="B40" s="39" t="s">
        <v>46</v>
      </c>
      <c r="C40" s="26"/>
      <c r="D40" s="27" t="s">
        <v>27</v>
      </c>
      <c r="E40" s="28"/>
      <c r="F40" s="80">
        <v>6.3E-2</v>
      </c>
      <c r="G40" s="81">
        <f>0.64*$G$34</f>
        <v>20060.16</v>
      </c>
      <c r="H40" s="77">
        <f>G40*F40</f>
        <v>1263.79008</v>
      </c>
      <c r="I40" s="32"/>
      <c r="J40" s="80">
        <v>6.7000000000000004E-2</v>
      </c>
      <c r="K40" s="81">
        <f>0.64*$K$34</f>
        <v>19856.64</v>
      </c>
      <c r="L40" s="77">
        <f t="shared" si="13"/>
        <v>1330.3948800000001</v>
      </c>
      <c r="M40" s="32"/>
      <c r="N40" s="35">
        <f t="shared" si="10"/>
        <v>66.604800000000068</v>
      </c>
      <c r="O40" s="79">
        <f t="shared" si="11"/>
        <v>5.2702423491091235E-2</v>
      </c>
    </row>
    <row r="41" spans="2:15" x14ac:dyDescent="0.2">
      <c r="B41" s="39" t="s">
        <v>47</v>
      </c>
      <c r="C41" s="26"/>
      <c r="D41" s="27" t="s">
        <v>27</v>
      </c>
      <c r="E41" s="28"/>
      <c r="F41" s="80">
        <v>9.9000000000000005E-2</v>
      </c>
      <c r="G41" s="81">
        <f>0.18*$G$34</f>
        <v>5641.92</v>
      </c>
      <c r="H41" s="77">
        <f t="shared" si="12"/>
        <v>558.55007999999998</v>
      </c>
      <c r="I41" s="32"/>
      <c r="J41" s="80">
        <v>0.104</v>
      </c>
      <c r="K41" s="81">
        <f>0.18*$K$34</f>
        <v>5584.6799999999994</v>
      </c>
      <c r="L41" s="77">
        <f t="shared" si="13"/>
        <v>580.80671999999993</v>
      </c>
      <c r="M41" s="32"/>
      <c r="N41" s="35">
        <f t="shared" si="10"/>
        <v>22.256639999999948</v>
      </c>
      <c r="O41" s="79">
        <f t="shared" si="11"/>
        <v>3.9847170015623212E-2</v>
      </c>
    </row>
    <row r="42" spans="2:15" ht="13.5" thickBot="1" x14ac:dyDescent="0.25">
      <c r="B42" s="16" t="s">
        <v>48</v>
      </c>
      <c r="C42" s="26"/>
      <c r="D42" s="27" t="s">
        <v>27</v>
      </c>
      <c r="E42" s="28"/>
      <c r="F42" s="80">
        <v>0.11799999999999999</v>
      </c>
      <c r="G42" s="81">
        <f>0.18*$G$34</f>
        <v>5641.92</v>
      </c>
      <c r="H42" s="77">
        <f t="shared" si="12"/>
        <v>665.74655999999993</v>
      </c>
      <c r="I42" s="32"/>
      <c r="J42" s="80">
        <v>0.124</v>
      </c>
      <c r="K42" s="81">
        <f>0.18*$K$34</f>
        <v>5584.6799999999994</v>
      </c>
      <c r="L42" s="77">
        <f t="shared" si="13"/>
        <v>692.50031999999987</v>
      </c>
      <c r="M42" s="32"/>
      <c r="N42" s="35">
        <f t="shared" si="10"/>
        <v>26.753759999999943</v>
      </c>
      <c r="O42" s="79">
        <f t="shared" si="11"/>
        <v>4.0186103252264564E-2</v>
      </c>
    </row>
    <row r="43" spans="2:15" ht="8.25" customHeight="1" thickBot="1" x14ac:dyDescent="0.25">
      <c r="B43" s="83"/>
      <c r="C43" s="84"/>
      <c r="D43" s="85"/>
      <c r="E43" s="84"/>
      <c r="F43" s="86"/>
      <c r="G43" s="87"/>
      <c r="H43" s="88"/>
      <c r="I43" s="89"/>
      <c r="J43" s="86"/>
      <c r="K43" s="90"/>
      <c r="L43" s="88"/>
      <c r="M43" s="89"/>
      <c r="N43" s="173"/>
      <c r="O43" s="93"/>
    </row>
    <row r="44" spans="2:15" x14ac:dyDescent="0.2">
      <c r="B44" s="94" t="s">
        <v>49</v>
      </c>
      <c r="C44" s="26"/>
      <c r="D44" s="26"/>
      <c r="E44" s="26"/>
      <c r="F44" s="95"/>
      <c r="G44" s="96"/>
      <c r="H44" s="97">
        <f>SUM(H33:H39)</f>
        <v>1159.9674559999999</v>
      </c>
      <c r="I44" s="98"/>
      <c r="J44" s="99"/>
      <c r="K44" s="99"/>
      <c r="L44" s="100">
        <f>SUM(L33:L39)</f>
        <v>1229.271238</v>
      </c>
      <c r="M44" s="101"/>
      <c r="N44" s="102">
        <f t="shared" si="10"/>
        <v>69.303782000000183</v>
      </c>
      <c r="O44" s="103">
        <f t="shared" si="11"/>
        <v>5.9746315848364796E-2</v>
      </c>
    </row>
    <row r="45" spans="2:15" x14ac:dyDescent="0.2">
      <c r="B45" s="104" t="s">
        <v>50</v>
      </c>
      <c r="C45" s="26"/>
      <c r="D45" s="26"/>
      <c r="E45" s="26"/>
      <c r="F45" s="105">
        <v>0.13</v>
      </c>
      <c r="G45" s="96"/>
      <c r="H45" s="106">
        <f>H44*F45</f>
        <v>150.79576927999997</v>
      </c>
      <c r="I45" s="107"/>
      <c r="J45" s="108">
        <v>0.13</v>
      </c>
      <c r="K45" s="109"/>
      <c r="L45" s="110">
        <f>L44*J45</f>
        <v>159.80526094000001</v>
      </c>
      <c r="M45" s="111"/>
      <c r="N45" s="112">
        <f t="shared" si="10"/>
        <v>9.0094916600000374</v>
      </c>
      <c r="O45" s="113">
        <f t="shared" si="11"/>
        <v>5.9746315848364887E-2</v>
      </c>
    </row>
    <row r="46" spans="2:15" x14ac:dyDescent="0.2">
      <c r="B46" s="114" t="s">
        <v>51</v>
      </c>
      <c r="C46" s="26"/>
      <c r="D46" s="26"/>
      <c r="E46" s="26"/>
      <c r="F46" s="115"/>
      <c r="G46" s="116"/>
      <c r="H46" s="106">
        <f>H44+H45</f>
        <v>1310.7632252799999</v>
      </c>
      <c r="I46" s="107"/>
      <c r="J46" s="107"/>
      <c r="K46" s="107"/>
      <c r="L46" s="110">
        <f>L44+L45</f>
        <v>1389.07649894</v>
      </c>
      <c r="M46" s="111"/>
      <c r="N46" s="112">
        <f t="shared" si="10"/>
        <v>78.31327366000005</v>
      </c>
      <c r="O46" s="113">
        <f t="shared" si="11"/>
        <v>5.9746315848364671E-2</v>
      </c>
    </row>
    <row r="47" spans="2:15" x14ac:dyDescent="0.2">
      <c r="B47" s="232" t="s">
        <v>52</v>
      </c>
      <c r="C47" s="232"/>
      <c r="D47" s="232"/>
      <c r="E47" s="26"/>
      <c r="F47" s="115"/>
      <c r="G47" s="116"/>
      <c r="H47" s="117">
        <f>ROUND(-H46*10%,2)</f>
        <v>-131.08000000000001</v>
      </c>
      <c r="I47" s="107"/>
      <c r="J47" s="107"/>
      <c r="K47" s="107"/>
      <c r="L47" s="118">
        <f>ROUND(-L46*10%,2)</f>
        <v>-138.91</v>
      </c>
      <c r="M47" s="111"/>
      <c r="N47" s="119">
        <f t="shared" si="10"/>
        <v>-7.8299999999999841</v>
      </c>
      <c r="O47" s="120">
        <f t="shared" si="11"/>
        <v>5.9734513274336154E-2</v>
      </c>
    </row>
    <row r="48" spans="2:15" ht="13.5" thickBot="1" x14ac:dyDescent="0.25">
      <c r="B48" s="225" t="s">
        <v>53</v>
      </c>
      <c r="C48" s="225"/>
      <c r="D48" s="225"/>
      <c r="E48" s="121"/>
      <c r="F48" s="122"/>
      <c r="G48" s="123"/>
      <c r="H48" s="124">
        <f>SUM(H46:H47)</f>
        <v>1179.68322528</v>
      </c>
      <c r="I48" s="125"/>
      <c r="J48" s="125"/>
      <c r="K48" s="125"/>
      <c r="L48" s="126">
        <f>SUM(L46:L47)</f>
        <v>1250.1664989399999</v>
      </c>
      <c r="M48" s="127"/>
      <c r="N48" s="128">
        <f t="shared" si="10"/>
        <v>70.483273659999895</v>
      </c>
      <c r="O48" s="129">
        <f t="shared" si="11"/>
        <v>5.9747627286359489E-2</v>
      </c>
    </row>
    <row r="49" spans="1:15" ht="8.25" customHeight="1" thickBot="1" x14ac:dyDescent="0.25">
      <c r="B49" s="83"/>
      <c r="C49" s="84"/>
      <c r="D49" s="85"/>
      <c r="E49" s="84"/>
      <c r="F49" s="130"/>
      <c r="G49" s="131"/>
      <c r="H49" s="161"/>
      <c r="I49" s="133"/>
      <c r="J49" s="130"/>
      <c r="K49" s="87"/>
      <c r="L49" s="174"/>
      <c r="M49" s="89"/>
      <c r="N49" s="146"/>
      <c r="O49" s="93"/>
    </row>
    <row r="50" spans="1:15" x14ac:dyDescent="0.2">
      <c r="B50" s="94" t="s">
        <v>54</v>
      </c>
      <c r="C50" s="26"/>
      <c r="D50" s="26"/>
      <c r="E50" s="26"/>
      <c r="F50" s="95"/>
      <c r="G50" s="96"/>
      <c r="H50" s="97">
        <f>SUM(H33:H37,H40:H42)</f>
        <v>3648.0541760000001</v>
      </c>
      <c r="I50" s="98"/>
      <c r="J50" s="99"/>
      <c r="K50" s="99"/>
      <c r="L50" s="136">
        <f>SUM(L33:L37,L40:L42)</f>
        <v>3832.9731579999998</v>
      </c>
      <c r="M50" s="101"/>
      <c r="N50" s="102">
        <f t="shared" ref="N50" si="14">L50-H50</f>
        <v>184.91898199999969</v>
      </c>
      <c r="O50" s="103">
        <f t="shared" ref="O50" si="15">IF((H50)=0,"",(N50/H50))</f>
        <v>5.0689757629301085E-2</v>
      </c>
    </row>
    <row r="51" spans="1:15" x14ac:dyDescent="0.2">
      <c r="B51" s="104" t="s">
        <v>50</v>
      </c>
      <c r="C51" s="26"/>
      <c r="D51" s="26"/>
      <c r="E51" s="26"/>
      <c r="F51" s="105">
        <v>0.13</v>
      </c>
      <c r="G51" s="116"/>
      <c r="H51" s="106">
        <f>H50*F51</f>
        <v>474.24704288000004</v>
      </c>
      <c r="I51" s="107"/>
      <c r="J51" s="137">
        <v>0.13</v>
      </c>
      <c r="K51" s="107"/>
      <c r="L51" s="110">
        <f>L50*J51</f>
        <v>498.28651053999999</v>
      </c>
      <c r="M51" s="111"/>
      <c r="N51" s="112">
        <f t="shared" si="10"/>
        <v>24.039467659999957</v>
      </c>
      <c r="O51" s="113">
        <f t="shared" si="11"/>
        <v>5.0689757629301078E-2</v>
      </c>
    </row>
    <row r="52" spans="1:15" x14ac:dyDescent="0.2">
      <c r="B52" s="114" t="s">
        <v>51</v>
      </c>
      <c r="C52" s="26"/>
      <c r="D52" s="26"/>
      <c r="E52" s="26"/>
      <c r="F52" s="115"/>
      <c r="G52" s="116"/>
      <c r="H52" s="106">
        <f>H50+H51</f>
        <v>4122.3012188800003</v>
      </c>
      <c r="I52" s="107"/>
      <c r="J52" s="107"/>
      <c r="K52" s="107"/>
      <c r="L52" s="110">
        <f>L50+L51</f>
        <v>4331.2596685399994</v>
      </c>
      <c r="M52" s="111"/>
      <c r="N52" s="112">
        <f t="shared" si="10"/>
        <v>208.95844965999913</v>
      </c>
      <c r="O52" s="113">
        <f t="shared" si="11"/>
        <v>5.0689757629300961E-2</v>
      </c>
    </row>
    <row r="53" spans="1:15" x14ac:dyDescent="0.2">
      <c r="B53" s="232" t="s">
        <v>52</v>
      </c>
      <c r="C53" s="232"/>
      <c r="D53" s="232"/>
      <c r="E53" s="26"/>
      <c r="F53" s="115"/>
      <c r="G53" s="116"/>
      <c r="H53" s="117">
        <f>ROUND(-H52*10%,2)</f>
        <v>-412.23</v>
      </c>
      <c r="I53" s="107"/>
      <c r="J53" s="107"/>
      <c r="K53" s="107"/>
      <c r="L53" s="118">
        <f>ROUND(-L52*10%,2)</f>
        <v>-433.13</v>
      </c>
      <c r="M53" s="111"/>
      <c r="N53" s="119">
        <f t="shared" si="10"/>
        <v>-20.899999999999977</v>
      </c>
      <c r="O53" s="120">
        <f t="shared" si="11"/>
        <v>5.0699852024355278E-2</v>
      </c>
    </row>
    <row r="54" spans="1:15" ht="13.5" thickBot="1" x14ac:dyDescent="0.25">
      <c r="B54" s="225" t="s">
        <v>55</v>
      </c>
      <c r="C54" s="225"/>
      <c r="D54" s="225"/>
      <c r="E54" s="121"/>
      <c r="F54" s="138"/>
      <c r="G54" s="139"/>
      <c r="H54" s="140">
        <f>H52+H53</f>
        <v>3710.0712188800003</v>
      </c>
      <c r="I54" s="141"/>
      <c r="J54" s="141"/>
      <c r="K54" s="141"/>
      <c r="L54" s="142">
        <f>L52+L53</f>
        <v>3898.1296685399993</v>
      </c>
      <c r="M54" s="143"/>
      <c r="N54" s="144">
        <f t="shared" si="10"/>
        <v>188.05844965999904</v>
      </c>
      <c r="O54" s="145">
        <f t="shared" si="11"/>
        <v>5.0688636030218927E-2</v>
      </c>
    </row>
    <row r="55" spans="1:15" ht="8.25" customHeight="1" thickBot="1" x14ac:dyDescent="0.25">
      <c r="B55" s="83"/>
      <c r="C55" s="84"/>
      <c r="D55" s="85"/>
      <c r="E55" s="84"/>
      <c r="F55" s="130"/>
      <c r="G55" s="131"/>
      <c r="H55" s="132"/>
      <c r="I55" s="133"/>
      <c r="J55" s="130"/>
      <c r="K55" s="87"/>
      <c r="L55" s="174"/>
      <c r="M55" s="89"/>
      <c r="N55" s="146"/>
      <c r="O55" s="147"/>
    </row>
    <row r="56" spans="1:15" ht="10.5" customHeight="1" x14ac:dyDescent="0.2"/>
    <row r="57" spans="1:15" x14ac:dyDescent="0.2">
      <c r="B57" s="17" t="s">
        <v>56</v>
      </c>
      <c r="F57" s="149">
        <v>4.48E-2</v>
      </c>
      <c r="J57" s="149">
        <v>3.4200000000000001E-2</v>
      </c>
    </row>
    <row r="58" spans="1:15" ht="10.5" customHeight="1" x14ac:dyDescent="0.2"/>
    <row r="59" spans="1:15" ht="10.5" customHeight="1" x14ac:dyDescent="0.2">
      <c r="A59" s="150" t="s">
        <v>57</v>
      </c>
    </row>
    <row r="60" spans="1:15" ht="10.5" customHeight="1" x14ac:dyDescent="0.2"/>
    <row r="61" spans="1:15" x14ac:dyDescent="0.2">
      <c r="A61" s="11" t="s">
        <v>58</v>
      </c>
    </row>
    <row r="62" spans="1:15" x14ac:dyDescent="0.2">
      <c r="A62" s="11" t="s">
        <v>59</v>
      </c>
    </row>
    <row r="64" spans="1:15" x14ac:dyDescent="0.2">
      <c r="A64" s="11" t="s">
        <v>60</v>
      </c>
    </row>
    <row r="65" spans="1:1" x14ac:dyDescent="0.2">
      <c r="A65" s="11" t="s">
        <v>61</v>
      </c>
    </row>
    <row r="67" spans="1:1" x14ac:dyDescent="0.2">
      <c r="A67" s="11" t="s">
        <v>62</v>
      </c>
    </row>
    <row r="68" spans="1:1" x14ac:dyDescent="0.2">
      <c r="A68" s="11" t="s">
        <v>63</v>
      </c>
    </row>
    <row r="69" spans="1:1" x14ac:dyDescent="0.2">
      <c r="A69" s="11" t="s">
        <v>64</v>
      </c>
    </row>
    <row r="70" spans="1:1" x14ac:dyDescent="0.2">
      <c r="A70" s="11" t="s">
        <v>65</v>
      </c>
    </row>
    <row r="71" spans="1:1" x14ac:dyDescent="0.2">
      <c r="A71" s="11" t="s">
        <v>66</v>
      </c>
    </row>
  </sheetData>
  <sheetProtection selectLockedCells="1"/>
  <mergeCells count="14">
    <mergeCell ref="B54:D54"/>
    <mergeCell ref="D19:D20"/>
    <mergeCell ref="N19:N20"/>
    <mergeCell ref="O19:O20"/>
    <mergeCell ref="B47:D47"/>
    <mergeCell ref="B48:D48"/>
    <mergeCell ref="B53:D53"/>
    <mergeCell ref="A3:K3"/>
    <mergeCell ref="B10:O10"/>
    <mergeCell ref="B11:O11"/>
    <mergeCell ref="D14:O14"/>
    <mergeCell ref="F18:H18"/>
    <mergeCell ref="J18:L18"/>
    <mergeCell ref="N18:O18"/>
  </mergeCells>
  <dataValidations count="3">
    <dataValidation type="list" allowBlank="1" showInputMessage="1" showErrorMessage="1" sqref="E38:E39">
      <formula1>#REF!</formula1>
    </dataValidation>
    <dataValidation type="list" allowBlank="1" showInputMessage="1" showErrorMessage="1" prompt="Select Charge Unit - monthly, per kWh, per kW" sqref="D31:D32 D49 D55 D25:D29 D34:D43 D21:D23">
      <formula1>"Monthly, per kWh, per kW"</formula1>
    </dataValidation>
    <dataValidation type="list" allowBlank="1" showInputMessage="1" showErrorMessage="1" sqref="E31:E32 E49 E55 E25:E29 E34:E37 E40:E43 E21:E23">
      <formula1>#REF!</formula1>
    </dataValidation>
  </dataValidations>
  <pageMargins left="0.75" right="0.75" top="1" bottom="1" header="0.5" footer="0.5"/>
  <pageSetup scale="64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</xdr:col>
                    <xdr:colOff>190500</xdr:colOff>
                    <xdr:row>0</xdr:row>
                    <xdr:rowOff>161925</xdr:rowOff>
                  </from>
                  <to>
                    <xdr:col>1</xdr:col>
                    <xdr:colOff>304800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285750</xdr:colOff>
                    <xdr:row>0</xdr:row>
                    <xdr:rowOff>161925</xdr:rowOff>
                  </from>
                  <to>
                    <xdr:col>1</xdr:col>
                    <xdr:colOff>542925</xdr:colOff>
                    <xdr:row>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2">
    <pageSetUpPr fitToPage="1"/>
  </sheetPr>
  <dimension ref="A1:T70"/>
  <sheetViews>
    <sheetView showGridLines="0" topLeftCell="A7" zoomScaleNormal="100" workbookViewId="0">
      <selection activeCell="J37" sqref="J37:J41"/>
    </sheetView>
  </sheetViews>
  <sheetFormatPr defaultColWidth="9.140625" defaultRowHeight="12.75" x14ac:dyDescent="0.2"/>
  <cols>
    <col min="1" max="1" width="1.28515625" style="11" customWidth="1"/>
    <col min="2" max="2" width="26.5703125" style="11" customWidth="1"/>
    <col min="3" max="3" width="1.28515625" style="11" customWidth="1"/>
    <col min="4" max="4" width="11.28515625" style="11" customWidth="1"/>
    <col min="5" max="5" width="1.28515625" style="11" customWidth="1"/>
    <col min="6" max="6" width="12.28515625" style="11" customWidth="1"/>
    <col min="7" max="7" width="8.5703125" style="11" customWidth="1"/>
    <col min="8" max="8" width="12.28515625" style="11" bestFit="1" customWidth="1"/>
    <col min="9" max="9" width="2.85546875" style="11" customWidth="1"/>
    <col min="10" max="10" width="12.7109375" style="11" customWidth="1"/>
    <col min="11" max="11" width="8.5703125" style="11" customWidth="1"/>
    <col min="12" max="12" width="12.28515625" style="11" bestFit="1" customWidth="1"/>
    <col min="13" max="13" width="2.85546875" style="11" customWidth="1"/>
    <col min="14" max="14" width="12.7109375" style="11" bestFit="1" customWidth="1"/>
    <col min="15" max="15" width="12.28515625" style="11" bestFit="1" customWidth="1"/>
    <col min="16" max="16" width="3.85546875" style="11" customWidth="1"/>
    <col min="17" max="19" width="9.140625" style="11"/>
    <col min="20" max="20" width="0" style="11" hidden="1" customWidth="1"/>
    <col min="21" max="16384" width="9.140625" style="1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'[3]LDC Info'!$E$18</f>
        <v>EB-2012-0167</v>
      </c>
      <c r="P1" s="5"/>
      <c r="T1" s="2">
        <v>1</v>
      </c>
    </row>
    <row r="2" spans="1:20" s="2" customFormat="1" ht="1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N2" s="3" t="s">
        <v>1</v>
      </c>
      <c r="O2" s="7"/>
      <c r="P2" s="5"/>
    </row>
    <row r="3" spans="1:20" s="2" customFormat="1" ht="15" customHeight="1" x14ac:dyDescent="0.25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N3" s="3" t="s">
        <v>2</v>
      </c>
      <c r="O3" s="7"/>
      <c r="P3" s="5"/>
    </row>
    <row r="4" spans="1:20" s="2" customFormat="1" ht="15" customHeight="1" x14ac:dyDescent="0.25">
      <c r="A4" s="152"/>
      <c r="B4" s="152"/>
      <c r="C4" s="152"/>
      <c r="D4" s="152"/>
      <c r="E4" s="152"/>
      <c r="F4" s="152"/>
      <c r="G4" s="152"/>
      <c r="H4" s="152"/>
      <c r="I4" s="154"/>
      <c r="J4" s="154"/>
      <c r="K4" s="154"/>
      <c r="N4" s="3" t="s">
        <v>3</v>
      </c>
      <c r="O4" s="7"/>
      <c r="P4" s="5"/>
    </row>
    <row r="5" spans="1:20" s="2" customFormat="1" ht="15" customHeight="1" x14ac:dyDescent="0.25">
      <c r="C5" s="155"/>
      <c r="D5" s="155"/>
      <c r="E5" s="155"/>
      <c r="N5" s="3" t="s">
        <v>4</v>
      </c>
      <c r="O5" s="9"/>
      <c r="P5" s="5"/>
    </row>
    <row r="6" spans="1:20" s="2" customFormat="1" ht="9" customHeight="1" x14ac:dyDescent="0.2">
      <c r="N6" s="3"/>
      <c r="O6" s="4"/>
      <c r="P6" s="5"/>
    </row>
    <row r="7" spans="1:20" s="2" customFormat="1" x14ac:dyDescent="0.2">
      <c r="N7" s="3" t="s">
        <v>5</v>
      </c>
      <c r="O7" s="10">
        <v>41388</v>
      </c>
      <c r="P7" s="5"/>
    </row>
    <row r="8" spans="1:20" s="2" customFormat="1" ht="15" customHeight="1" x14ac:dyDescent="0.2">
      <c r="N8" s="11"/>
      <c r="O8" s="5"/>
      <c r="P8" s="5"/>
    </row>
    <row r="9" spans="1:20" ht="7.5" customHeight="1" x14ac:dyDescent="0.2">
      <c r="L9" s="5"/>
      <c r="M9" s="5"/>
      <c r="N9" s="5"/>
      <c r="O9" s="5"/>
      <c r="P9" s="5"/>
    </row>
    <row r="10" spans="1:20" ht="18.75" customHeight="1" x14ac:dyDescent="0.25">
      <c r="B10" s="220" t="s">
        <v>6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5"/>
    </row>
    <row r="11" spans="1:20" ht="18.75" customHeight="1" x14ac:dyDescent="0.25">
      <c r="B11" s="220" t="s">
        <v>7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5"/>
    </row>
    <row r="12" spans="1:20" ht="7.5" customHeight="1" x14ac:dyDescent="0.2">
      <c r="L12" s="5"/>
      <c r="M12" s="5"/>
      <c r="N12" s="5"/>
      <c r="O12" s="5"/>
      <c r="P12" s="5"/>
    </row>
    <row r="13" spans="1:20" ht="7.5" customHeight="1" x14ac:dyDescent="0.2">
      <c r="L13" s="5"/>
      <c r="M13" s="5"/>
      <c r="N13" s="5"/>
      <c r="O13" s="5"/>
      <c r="P13" s="5"/>
    </row>
    <row r="14" spans="1:20" ht="15.75" x14ac:dyDescent="0.2">
      <c r="B14" s="13" t="s">
        <v>9</v>
      </c>
      <c r="D14" s="221" t="s">
        <v>72</v>
      </c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</row>
    <row r="15" spans="1:20" ht="7.5" customHeight="1" x14ac:dyDescent="0.25">
      <c r="B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0" x14ac:dyDescent="0.2">
      <c r="B16" s="16"/>
      <c r="D16" s="17" t="s">
        <v>11</v>
      </c>
      <c r="E16" s="17"/>
      <c r="F16" s="18">
        <v>2000</v>
      </c>
      <c r="G16" s="17" t="s">
        <v>69</v>
      </c>
    </row>
    <row r="17" spans="2:15" ht="10.5" customHeight="1" x14ac:dyDescent="0.2">
      <c r="B17" s="16"/>
    </row>
    <row r="18" spans="2:15" x14ac:dyDescent="0.2">
      <c r="B18" s="16"/>
      <c r="D18" s="19"/>
      <c r="E18" s="19"/>
      <c r="F18" s="222" t="s">
        <v>13</v>
      </c>
      <c r="G18" s="223"/>
      <c r="H18" s="224"/>
      <c r="J18" s="222" t="s">
        <v>14</v>
      </c>
      <c r="K18" s="223"/>
      <c r="L18" s="224"/>
      <c r="N18" s="222" t="s">
        <v>15</v>
      </c>
      <c r="O18" s="224"/>
    </row>
    <row r="19" spans="2:15" x14ac:dyDescent="0.2">
      <c r="B19" s="16"/>
      <c r="D19" s="226" t="s">
        <v>16</v>
      </c>
      <c r="E19" s="20"/>
      <c r="F19" s="21" t="s">
        <v>17</v>
      </c>
      <c r="G19" s="21" t="s">
        <v>18</v>
      </c>
      <c r="H19" s="22" t="s">
        <v>19</v>
      </c>
      <c r="J19" s="21" t="s">
        <v>17</v>
      </c>
      <c r="K19" s="23" t="s">
        <v>18</v>
      </c>
      <c r="L19" s="22" t="s">
        <v>19</v>
      </c>
      <c r="N19" s="228" t="s">
        <v>20</v>
      </c>
      <c r="O19" s="230" t="s">
        <v>21</v>
      </c>
    </row>
    <row r="20" spans="2:15" x14ac:dyDescent="0.2">
      <c r="B20" s="16"/>
      <c r="D20" s="227"/>
      <c r="E20" s="20"/>
      <c r="F20" s="24" t="s">
        <v>22</v>
      </c>
      <c r="G20" s="24"/>
      <c r="H20" s="25" t="s">
        <v>22</v>
      </c>
      <c r="J20" s="24" t="s">
        <v>22</v>
      </c>
      <c r="K20" s="25"/>
      <c r="L20" s="25" t="s">
        <v>22</v>
      </c>
      <c r="N20" s="229"/>
      <c r="O20" s="231"/>
    </row>
    <row r="21" spans="2:15" ht="15" x14ac:dyDescent="0.2">
      <c r="B21" s="26" t="s">
        <v>23</v>
      </c>
      <c r="C21" s="26"/>
      <c r="D21" s="27" t="s">
        <v>24</v>
      </c>
      <c r="E21" s="28"/>
      <c r="F21" s="29">
        <v>2794.55</v>
      </c>
      <c r="G21" s="30">
        <v>1</v>
      </c>
      <c r="H21" s="31">
        <f>G21*F21</f>
        <v>2794.55</v>
      </c>
      <c r="I21" s="32"/>
      <c r="J21" s="33">
        <v>2794.55</v>
      </c>
      <c r="K21" s="34">
        <v>1</v>
      </c>
      <c r="L21" s="31">
        <f>K21*J21</f>
        <v>2794.55</v>
      </c>
      <c r="M21" s="32"/>
      <c r="N21" s="35">
        <f>L21-H21</f>
        <v>0</v>
      </c>
      <c r="O21" s="36">
        <f>IF((H21)=0,"",(N21/H21))</f>
        <v>0</v>
      </c>
    </row>
    <row r="22" spans="2:15" ht="15" x14ac:dyDescent="0.2">
      <c r="B22" s="26" t="s">
        <v>26</v>
      </c>
      <c r="C22" s="26"/>
      <c r="D22" s="27" t="s">
        <v>44</v>
      </c>
      <c r="E22" s="28"/>
      <c r="F22" s="29">
        <v>2.2313999999999998</v>
      </c>
      <c r="G22" s="30">
        <f>$F$16</f>
        <v>2000</v>
      </c>
      <c r="H22" s="31">
        <f t="shared" ref="H22" si="0">G22*F22</f>
        <v>4462.7999999999993</v>
      </c>
      <c r="I22" s="32"/>
      <c r="J22" s="175">
        <v>2.2079</v>
      </c>
      <c r="K22" s="30">
        <f>$F$16</f>
        <v>2000</v>
      </c>
      <c r="L22" s="31">
        <f t="shared" ref="L22" si="1">K22*J22</f>
        <v>4415.8</v>
      </c>
      <c r="M22" s="32"/>
      <c r="N22" s="35">
        <f t="shared" ref="N22:N23" si="2">L22-H22</f>
        <v>-46.999999999999091</v>
      </c>
      <c r="O22" s="36">
        <f t="shared" ref="O22:O23" si="3">IF((H22)=0,"",(N22/H22))</f>
        <v>-1.0531504884825469E-2</v>
      </c>
    </row>
    <row r="23" spans="2:15" s="51" customFormat="1" ht="15" x14ac:dyDescent="0.2">
      <c r="B23" s="40" t="s">
        <v>31</v>
      </c>
      <c r="C23" s="41"/>
      <c r="D23" s="42"/>
      <c r="E23" s="41"/>
      <c r="F23" s="176"/>
      <c r="G23" s="44"/>
      <c r="H23" s="169">
        <f>SUM(H21:H22)</f>
        <v>7257.3499999999995</v>
      </c>
      <c r="I23" s="46"/>
      <c r="J23" s="177"/>
      <c r="K23" s="48"/>
      <c r="L23" s="169">
        <f>SUM(L21:L22)</f>
        <v>7210.35</v>
      </c>
      <c r="M23" s="46"/>
      <c r="N23" s="170">
        <f t="shared" si="2"/>
        <v>-46.999999999999091</v>
      </c>
      <c r="O23" s="50">
        <f t="shared" si="3"/>
        <v>-6.4761931007873523E-3</v>
      </c>
    </row>
    <row r="24" spans="2:15" ht="25.5" x14ac:dyDescent="0.2">
      <c r="B24" s="52" t="s">
        <v>32</v>
      </c>
      <c r="C24" s="26"/>
      <c r="D24" s="27" t="s">
        <v>44</v>
      </c>
      <c r="E24" s="28"/>
      <c r="F24" s="33">
        <v>-0.77549999999999997</v>
      </c>
      <c r="G24" s="30">
        <f>$F$16</f>
        <v>2000</v>
      </c>
      <c r="H24" s="31">
        <f>G24*F24</f>
        <v>-1551</v>
      </c>
      <c r="I24" s="32"/>
      <c r="J24" s="33">
        <v>-1.3534999999999999</v>
      </c>
      <c r="K24" s="30">
        <f>$F$16</f>
        <v>2000</v>
      </c>
      <c r="L24" s="31">
        <f>K24*J24</f>
        <v>-2707</v>
      </c>
      <c r="M24" s="32"/>
      <c r="N24" s="35">
        <f>L24-H24</f>
        <v>-1156</v>
      </c>
      <c r="O24" s="36">
        <f>IF((H24)=0,"",(N24/H24))</f>
        <v>0.74532559638942619</v>
      </c>
    </row>
    <row r="25" spans="2:15" ht="15" x14ac:dyDescent="0.2">
      <c r="B25" s="52" t="s">
        <v>70</v>
      </c>
      <c r="C25" s="26"/>
      <c r="D25" s="27" t="s">
        <v>44</v>
      </c>
      <c r="E25" s="28"/>
      <c r="F25" s="33">
        <v>-9.2399999999999996E-2</v>
      </c>
      <c r="G25" s="30">
        <f>$F$16</f>
        <v>2000</v>
      </c>
      <c r="H25" s="31">
        <f>G25*F25</f>
        <v>-184.79999999999998</v>
      </c>
      <c r="I25" s="32"/>
      <c r="J25" s="33">
        <v>0.70569999999999999</v>
      </c>
      <c r="K25" s="30">
        <f>$F$16</f>
        <v>2000</v>
      </c>
      <c r="L25" s="31">
        <f>K25*J25</f>
        <v>1411.4</v>
      </c>
      <c r="M25" s="32"/>
      <c r="N25" s="35">
        <f>L25-H25</f>
        <v>1596.2</v>
      </c>
      <c r="O25" s="36">
        <f>IF((H25)=0,"",(N25/H25))</f>
        <v>-8.6374458874458888</v>
      </c>
    </row>
    <row r="26" spans="2:15" ht="15" x14ac:dyDescent="0.2">
      <c r="B26" s="52" t="s">
        <v>33</v>
      </c>
      <c r="C26" s="26"/>
      <c r="D26" s="27" t="s">
        <v>44</v>
      </c>
      <c r="E26" s="28"/>
      <c r="F26" s="29">
        <v>-3.7100000000000001E-2</v>
      </c>
      <c r="G26" s="30">
        <f t="shared" ref="G26" si="4">$F$16</f>
        <v>2000</v>
      </c>
      <c r="H26" s="31">
        <f t="shared" ref="H26" si="5">G26*F26</f>
        <v>-74.2</v>
      </c>
      <c r="I26" s="53"/>
      <c r="J26" s="33">
        <v>0</v>
      </c>
      <c r="K26" s="30">
        <f t="shared" ref="K26:K28" si="6">$F$16</f>
        <v>2000</v>
      </c>
      <c r="L26" s="31">
        <f t="shared" ref="L26:L27" si="7">K26*J26</f>
        <v>0</v>
      </c>
      <c r="M26" s="54"/>
      <c r="N26" s="35">
        <f t="shared" ref="N26:N27" si="8">L26-H26</f>
        <v>74.2</v>
      </c>
      <c r="O26" s="36">
        <f t="shared" ref="O26:O27" si="9">IF((H26)=0,"",(N26/H26))</f>
        <v>-1</v>
      </c>
    </row>
    <row r="27" spans="2:15" ht="15" x14ac:dyDescent="0.2">
      <c r="B27" s="52"/>
      <c r="C27" s="26"/>
      <c r="D27" s="27"/>
      <c r="E27" s="28"/>
      <c r="F27" s="29"/>
      <c r="G27" s="30"/>
      <c r="H27" s="31"/>
      <c r="I27" s="55"/>
      <c r="J27" s="33"/>
      <c r="K27" s="30"/>
      <c r="L27" s="31">
        <f t="shared" si="7"/>
        <v>0</v>
      </c>
      <c r="M27" s="54"/>
      <c r="N27" s="35">
        <f t="shared" si="8"/>
        <v>0</v>
      </c>
      <c r="O27" s="36" t="str">
        <f t="shared" si="9"/>
        <v/>
      </c>
    </row>
    <row r="28" spans="2:15" ht="15" x14ac:dyDescent="0.2">
      <c r="B28" s="39" t="s">
        <v>34</v>
      </c>
      <c r="C28" s="26"/>
      <c r="D28" s="27"/>
      <c r="E28" s="28"/>
      <c r="F28" s="160"/>
      <c r="G28" s="57"/>
      <c r="H28" s="171"/>
      <c r="I28" s="32"/>
      <c r="J28" s="33"/>
      <c r="K28" s="30">
        <f t="shared" si="6"/>
        <v>2000</v>
      </c>
      <c r="L28" s="31">
        <f>K28*J28</f>
        <v>0</v>
      </c>
      <c r="M28" s="32"/>
      <c r="N28" s="35">
        <f>L28-H28</f>
        <v>0</v>
      </c>
      <c r="O28" s="36"/>
    </row>
    <row r="29" spans="2:15" ht="25.5" x14ac:dyDescent="0.2">
      <c r="B29" s="59" t="s">
        <v>35</v>
      </c>
      <c r="C29" s="60"/>
      <c r="D29" s="60"/>
      <c r="E29" s="60"/>
      <c r="F29" s="178"/>
      <c r="G29" s="62"/>
      <c r="H29" s="172">
        <f>SUM(H24:H26)+H23</f>
        <v>5447.3499999999995</v>
      </c>
      <c r="I29" s="46"/>
      <c r="J29" s="179"/>
      <c r="K29" s="64"/>
      <c r="L29" s="172">
        <f>SUM(L24:L27)+L23</f>
        <v>5914.75</v>
      </c>
      <c r="M29" s="46"/>
      <c r="N29" s="170">
        <f t="shared" ref="N29:N53" si="10">L29-H29</f>
        <v>467.40000000000055</v>
      </c>
      <c r="O29" s="50">
        <f t="shared" ref="O29:O53" si="11">IF((H29)=0,"",(N29/H29))</f>
        <v>8.5803188706435343E-2</v>
      </c>
    </row>
    <row r="30" spans="2:15" ht="15" x14ac:dyDescent="0.2">
      <c r="B30" s="32" t="s">
        <v>36</v>
      </c>
      <c r="C30" s="32"/>
      <c r="D30" s="65" t="s">
        <v>44</v>
      </c>
      <c r="E30" s="66"/>
      <c r="F30" s="33">
        <v>2.5777000000000001</v>
      </c>
      <c r="G30" s="67">
        <f>F16*(1+F56)</f>
        <v>2089.6</v>
      </c>
      <c r="H30" s="31">
        <f>G30*F30</f>
        <v>5386.3619200000003</v>
      </c>
      <c r="I30" s="32"/>
      <c r="J30" s="33">
        <v>2.6027</v>
      </c>
      <c r="K30" s="68">
        <f>F16*(1+J56)</f>
        <v>2068.4</v>
      </c>
      <c r="L30" s="31">
        <f>K30*J30</f>
        <v>5383.4246800000001</v>
      </c>
      <c r="M30" s="32"/>
      <c r="N30" s="35">
        <f t="shared" si="10"/>
        <v>-2.9372400000002017</v>
      </c>
      <c r="O30" s="36">
        <f t="shared" si="11"/>
        <v>-5.4531055350996564E-4</v>
      </c>
    </row>
    <row r="31" spans="2:15" ht="25.5" x14ac:dyDescent="0.2">
      <c r="B31" s="70" t="s">
        <v>37</v>
      </c>
      <c r="C31" s="32"/>
      <c r="D31" s="65" t="s">
        <v>44</v>
      </c>
      <c r="E31" s="66"/>
      <c r="F31" s="33">
        <v>1.9295</v>
      </c>
      <c r="G31" s="67">
        <f>G30</f>
        <v>2089.6</v>
      </c>
      <c r="H31" s="31">
        <f>G31*F31</f>
        <v>4031.8831999999998</v>
      </c>
      <c r="I31" s="32"/>
      <c r="J31" s="33">
        <v>1.8662000000000001</v>
      </c>
      <c r="K31" s="68">
        <f>K30</f>
        <v>2068.4</v>
      </c>
      <c r="L31" s="31">
        <f>K31*J31</f>
        <v>3860.0480800000005</v>
      </c>
      <c r="M31" s="32"/>
      <c r="N31" s="35">
        <f t="shared" si="10"/>
        <v>-171.83511999999928</v>
      </c>
      <c r="O31" s="36">
        <f t="shared" si="11"/>
        <v>-4.2619071901685866E-2</v>
      </c>
    </row>
    <row r="32" spans="2:15" ht="25.5" x14ac:dyDescent="0.2">
      <c r="B32" s="59" t="s">
        <v>38</v>
      </c>
      <c r="C32" s="41"/>
      <c r="D32" s="41"/>
      <c r="E32" s="41"/>
      <c r="F32" s="180"/>
      <c r="G32" s="62"/>
      <c r="H32" s="172">
        <f>SUM(H29:H31)</f>
        <v>14865.59512</v>
      </c>
      <c r="I32" s="72"/>
      <c r="J32" s="181"/>
      <c r="K32" s="74"/>
      <c r="L32" s="172">
        <f>SUM(L29:L31)</f>
        <v>15158.222760000001</v>
      </c>
      <c r="M32" s="72"/>
      <c r="N32" s="170">
        <f t="shared" si="10"/>
        <v>292.62764000000061</v>
      </c>
      <c r="O32" s="50">
        <f t="shared" si="11"/>
        <v>1.9684892373148435E-2</v>
      </c>
    </row>
    <row r="33" spans="2:15" ht="25.5" x14ac:dyDescent="0.2">
      <c r="B33" s="75" t="s">
        <v>39</v>
      </c>
      <c r="C33" s="26"/>
      <c r="D33" s="27" t="s">
        <v>27</v>
      </c>
      <c r="E33" s="28"/>
      <c r="F33" s="76">
        <v>5.1999999999999998E-3</v>
      </c>
      <c r="G33" s="67">
        <f>722000*(1+F56)</f>
        <v>754345.6</v>
      </c>
      <c r="H33" s="77">
        <f t="shared" ref="H33:H41" si="12">G33*F33</f>
        <v>3922.5971199999999</v>
      </c>
      <c r="I33" s="32"/>
      <c r="J33" s="76">
        <v>4.4000000000000003E-3</v>
      </c>
      <c r="K33" s="68">
        <f>722000*(1+J56)</f>
        <v>746692.4</v>
      </c>
      <c r="L33" s="77">
        <f t="shared" ref="L33:L41" si="13">K33*J33</f>
        <v>3285.4465600000003</v>
      </c>
      <c r="M33" s="32"/>
      <c r="N33" s="35">
        <f t="shared" si="10"/>
        <v>-637.15055999999959</v>
      </c>
      <c r="O33" s="79">
        <f t="shared" si="11"/>
        <v>-0.16243079279067019</v>
      </c>
    </row>
    <row r="34" spans="2:15" ht="25.5" x14ac:dyDescent="0.2">
      <c r="B34" s="75" t="s">
        <v>40</v>
      </c>
      <c r="C34" s="26"/>
      <c r="D34" s="27" t="s">
        <v>27</v>
      </c>
      <c r="E34" s="28"/>
      <c r="F34" s="76">
        <v>1.1000000000000001E-3</v>
      </c>
      <c r="G34" s="67">
        <f>+G33</f>
        <v>754345.6</v>
      </c>
      <c r="H34" s="77">
        <f t="shared" si="12"/>
        <v>829.78016000000002</v>
      </c>
      <c r="I34" s="32"/>
      <c r="J34" s="76">
        <v>1.1999999999999999E-3</v>
      </c>
      <c r="K34" s="68">
        <f>K33</f>
        <v>746692.4</v>
      </c>
      <c r="L34" s="77">
        <f t="shared" si="13"/>
        <v>896.03087999999991</v>
      </c>
      <c r="M34" s="32"/>
      <c r="N34" s="35">
        <f t="shared" si="10"/>
        <v>66.250719999999887</v>
      </c>
      <c r="O34" s="79">
        <f t="shared" si="11"/>
        <v>7.9841291939300993E-2</v>
      </c>
    </row>
    <row r="35" spans="2:15" x14ac:dyDescent="0.2">
      <c r="B35" s="26" t="s">
        <v>41</v>
      </c>
      <c r="C35" s="26"/>
      <c r="D35" s="27" t="s">
        <v>24</v>
      </c>
      <c r="E35" s="28"/>
      <c r="F35" s="76">
        <v>0.25</v>
      </c>
      <c r="G35" s="30">
        <v>1</v>
      </c>
      <c r="H35" s="77">
        <f t="shared" si="12"/>
        <v>0.25</v>
      </c>
      <c r="I35" s="32"/>
      <c r="J35" s="76">
        <v>0.25</v>
      </c>
      <c r="K35" s="34">
        <v>1</v>
      </c>
      <c r="L35" s="77">
        <f t="shared" si="13"/>
        <v>0.25</v>
      </c>
      <c r="M35" s="32"/>
      <c r="N35" s="35">
        <f t="shared" si="10"/>
        <v>0</v>
      </c>
      <c r="O35" s="79">
        <f t="shared" si="11"/>
        <v>0</v>
      </c>
    </row>
    <row r="36" spans="2:15" x14ac:dyDescent="0.2">
      <c r="B36" s="26" t="s">
        <v>42</v>
      </c>
      <c r="C36" s="26"/>
      <c r="D36" s="27" t="s">
        <v>27</v>
      </c>
      <c r="E36" s="28"/>
      <c r="F36" s="76">
        <v>7.0000000000000001E-3</v>
      </c>
      <c r="G36" s="67">
        <f>+G34</f>
        <v>754345.6</v>
      </c>
      <c r="H36" s="77">
        <f t="shared" si="12"/>
        <v>5280.4192000000003</v>
      </c>
      <c r="I36" s="32"/>
      <c r="J36" s="76">
        <v>7.0000000000000001E-3</v>
      </c>
      <c r="K36" s="68">
        <f>K34</f>
        <v>746692.4</v>
      </c>
      <c r="L36" s="77">
        <f t="shared" si="13"/>
        <v>5226.8468000000003</v>
      </c>
      <c r="M36" s="32"/>
      <c r="N36" s="35">
        <f t="shared" si="10"/>
        <v>-53.572400000000016</v>
      </c>
      <c r="O36" s="79">
        <f t="shared" si="11"/>
        <v>-1.0145482388973968E-2</v>
      </c>
    </row>
    <row r="37" spans="2:15" x14ac:dyDescent="0.2">
      <c r="B37" s="39" t="s">
        <v>43</v>
      </c>
      <c r="C37" s="26"/>
      <c r="D37" s="27" t="s">
        <v>27</v>
      </c>
      <c r="E37" s="28"/>
      <c r="F37" s="80">
        <v>7.3999999999999996E-2</v>
      </c>
      <c r="G37" s="67"/>
      <c r="H37" s="77">
        <f>G37*F37</f>
        <v>0</v>
      </c>
      <c r="I37" s="32"/>
      <c r="J37" s="80">
        <v>7.8E-2</v>
      </c>
      <c r="K37" s="67"/>
      <c r="L37" s="77">
        <f>K37*J37</f>
        <v>0</v>
      </c>
      <c r="M37" s="32"/>
      <c r="N37" s="35">
        <f t="shared" si="10"/>
        <v>0</v>
      </c>
      <c r="O37" s="79" t="str">
        <f t="shared" si="11"/>
        <v/>
      </c>
    </row>
    <row r="38" spans="2:15" x14ac:dyDescent="0.2">
      <c r="B38" s="39" t="s">
        <v>45</v>
      </c>
      <c r="C38" s="26"/>
      <c r="D38" s="27" t="s">
        <v>27</v>
      </c>
      <c r="E38" s="28"/>
      <c r="F38" s="80">
        <v>8.6999999999999994E-2</v>
      </c>
      <c r="G38" s="67"/>
      <c r="H38" s="77">
        <f>G38*F38</f>
        <v>0</v>
      </c>
      <c r="I38" s="32"/>
      <c r="J38" s="80">
        <v>9.0999999999999998E-2</v>
      </c>
      <c r="K38" s="67"/>
      <c r="L38" s="77">
        <f>K38*J38</f>
        <v>0</v>
      </c>
      <c r="M38" s="32"/>
      <c r="N38" s="35">
        <f t="shared" si="10"/>
        <v>0</v>
      </c>
      <c r="O38" s="79" t="str">
        <f t="shared" si="11"/>
        <v/>
      </c>
    </row>
    <row r="39" spans="2:15" x14ac:dyDescent="0.2">
      <c r="B39" s="39" t="s">
        <v>46</v>
      </c>
      <c r="C39" s="26"/>
      <c r="D39" s="27" t="s">
        <v>27</v>
      </c>
      <c r="E39" s="28"/>
      <c r="F39" s="80">
        <v>6.3E-2</v>
      </c>
      <c r="G39" s="81">
        <f>G33*0.64</f>
        <v>482781.18400000001</v>
      </c>
      <c r="H39" s="77">
        <f>G39*F39</f>
        <v>30415.214592</v>
      </c>
      <c r="I39" s="32"/>
      <c r="J39" s="80">
        <v>6.7000000000000004E-2</v>
      </c>
      <c r="K39" s="217">
        <f>K33*0.64</f>
        <v>477883.136</v>
      </c>
      <c r="L39" s="77">
        <f t="shared" si="13"/>
        <v>32018.170112000003</v>
      </c>
      <c r="M39" s="32"/>
      <c r="N39" s="35">
        <f t="shared" si="10"/>
        <v>1602.9555200000032</v>
      </c>
      <c r="O39" s="79">
        <f t="shared" si="11"/>
        <v>5.2702423491091284E-2</v>
      </c>
    </row>
    <row r="40" spans="2:15" x14ac:dyDescent="0.2">
      <c r="B40" s="39" t="s">
        <v>47</v>
      </c>
      <c r="C40" s="26"/>
      <c r="D40" s="27" t="s">
        <v>27</v>
      </c>
      <c r="E40" s="28"/>
      <c r="F40" s="80">
        <v>9.9000000000000005E-2</v>
      </c>
      <c r="G40" s="81">
        <f>+G33*0.18</f>
        <v>135782.20799999998</v>
      </c>
      <c r="H40" s="77">
        <f t="shared" si="12"/>
        <v>13442.438591999999</v>
      </c>
      <c r="I40" s="32"/>
      <c r="J40" s="80">
        <v>0.104</v>
      </c>
      <c r="K40" s="217">
        <f>K33*0.18</f>
        <v>134404.63200000001</v>
      </c>
      <c r="L40" s="77">
        <f t="shared" si="13"/>
        <v>13978.081728000001</v>
      </c>
      <c r="M40" s="32"/>
      <c r="N40" s="35">
        <f t="shared" si="10"/>
        <v>535.64313600000241</v>
      </c>
      <c r="O40" s="79">
        <f t="shared" si="11"/>
        <v>3.984717001562349E-2</v>
      </c>
    </row>
    <row r="41" spans="2:15" ht="13.5" thickBot="1" x14ac:dyDescent="0.25">
      <c r="B41" s="16" t="s">
        <v>48</v>
      </c>
      <c r="C41" s="26"/>
      <c r="D41" s="27" t="s">
        <v>27</v>
      </c>
      <c r="E41" s="28"/>
      <c r="F41" s="80">
        <v>0.11799999999999999</v>
      </c>
      <c r="G41" s="81">
        <f>G33*0.18</f>
        <v>135782.20799999998</v>
      </c>
      <c r="H41" s="77">
        <f t="shared" si="12"/>
        <v>16022.300543999998</v>
      </c>
      <c r="I41" s="32"/>
      <c r="J41" s="80">
        <v>0.124</v>
      </c>
      <c r="K41" s="217">
        <f>K33*0.18</f>
        <v>134404.63200000001</v>
      </c>
      <c r="L41" s="77">
        <f t="shared" si="13"/>
        <v>16666.174368</v>
      </c>
      <c r="M41" s="32"/>
      <c r="N41" s="35">
        <f t="shared" si="10"/>
        <v>643.87382400000206</v>
      </c>
      <c r="O41" s="79">
        <f t="shared" si="11"/>
        <v>4.0186103252264779E-2</v>
      </c>
    </row>
    <row r="42" spans="2:15" ht="8.25" customHeight="1" thickBot="1" x14ac:dyDescent="0.25">
      <c r="B42" s="83"/>
      <c r="C42" s="84"/>
      <c r="D42" s="85"/>
      <c r="E42" s="84"/>
      <c r="F42" s="86"/>
      <c r="G42" s="87"/>
      <c r="H42" s="182"/>
      <c r="I42" s="89"/>
      <c r="J42" s="86"/>
      <c r="K42" s="90"/>
      <c r="L42" s="88"/>
      <c r="M42" s="89"/>
      <c r="N42" s="173"/>
      <c r="O42" s="93"/>
    </row>
    <row r="43" spans="2:15" x14ac:dyDescent="0.2">
      <c r="B43" s="94" t="s">
        <v>49</v>
      </c>
      <c r="C43" s="26"/>
      <c r="D43" s="26"/>
      <c r="E43" s="26"/>
      <c r="F43" s="95"/>
      <c r="G43" s="96"/>
      <c r="H43" s="97">
        <f>SUM(H32:H38)</f>
        <v>24898.641599999999</v>
      </c>
      <c r="I43" s="98"/>
      <c r="J43" s="99"/>
      <c r="K43" s="99"/>
      <c r="L43" s="100">
        <f>SUM(L32:L38)</f>
        <v>24566.796999999999</v>
      </c>
      <c r="M43" s="101"/>
      <c r="N43" s="102">
        <f t="shared" si="10"/>
        <v>-331.84460000000036</v>
      </c>
      <c r="O43" s="103">
        <f t="shared" si="11"/>
        <v>-1.3327819458231022E-2</v>
      </c>
    </row>
    <row r="44" spans="2:15" x14ac:dyDescent="0.2">
      <c r="B44" s="104" t="s">
        <v>50</v>
      </c>
      <c r="C44" s="26"/>
      <c r="D44" s="26"/>
      <c r="E44" s="26"/>
      <c r="F44" s="105">
        <v>0.13</v>
      </c>
      <c r="G44" s="96"/>
      <c r="H44" s="106">
        <f>H43*F44</f>
        <v>3236.8234080000002</v>
      </c>
      <c r="I44" s="107"/>
      <c r="J44" s="108">
        <v>0.13</v>
      </c>
      <c r="K44" s="109"/>
      <c r="L44" s="110">
        <f>L43*J44</f>
        <v>3193.68361</v>
      </c>
      <c r="M44" s="111"/>
      <c r="N44" s="112">
        <f t="shared" si="10"/>
        <v>-43.139798000000155</v>
      </c>
      <c r="O44" s="113">
        <f t="shared" si="11"/>
        <v>-1.3327819458231053E-2</v>
      </c>
    </row>
    <row r="45" spans="2:15" x14ac:dyDescent="0.2">
      <c r="B45" s="114" t="s">
        <v>51</v>
      </c>
      <c r="C45" s="26"/>
      <c r="D45" s="26"/>
      <c r="E45" s="26"/>
      <c r="F45" s="115"/>
      <c r="G45" s="116"/>
      <c r="H45" s="106">
        <f>H43+H44</f>
        <v>28135.465007999999</v>
      </c>
      <c r="I45" s="107"/>
      <c r="J45" s="107"/>
      <c r="K45" s="107"/>
      <c r="L45" s="110">
        <f>L43+L44</f>
        <v>27760.480609999999</v>
      </c>
      <c r="M45" s="111"/>
      <c r="N45" s="112">
        <f t="shared" si="10"/>
        <v>-374.98439800000051</v>
      </c>
      <c r="O45" s="113">
        <f t="shared" si="11"/>
        <v>-1.3327819458231025E-2</v>
      </c>
    </row>
    <row r="46" spans="2:15" x14ac:dyDescent="0.2">
      <c r="B46" s="232" t="s">
        <v>52</v>
      </c>
      <c r="C46" s="232"/>
      <c r="D46" s="232"/>
      <c r="E46" s="26"/>
      <c r="F46" s="115"/>
      <c r="G46" s="116"/>
      <c r="H46" s="117">
        <f>ROUND(-H45*10%,2)</f>
        <v>-2813.55</v>
      </c>
      <c r="I46" s="107"/>
      <c r="J46" s="107"/>
      <c r="K46" s="107"/>
      <c r="L46" s="118">
        <f>ROUND(-L45*10%,2)</f>
        <v>-2776.05</v>
      </c>
      <c r="M46" s="111"/>
      <c r="N46" s="119">
        <f t="shared" si="10"/>
        <v>37.5</v>
      </c>
      <c r="O46" s="120">
        <f t="shared" si="11"/>
        <v>-1.3328357413232392E-2</v>
      </c>
    </row>
    <row r="47" spans="2:15" ht="13.5" thickBot="1" x14ac:dyDescent="0.25">
      <c r="B47" s="225" t="s">
        <v>53</v>
      </c>
      <c r="C47" s="225"/>
      <c r="D47" s="225"/>
      <c r="E47" s="121"/>
      <c r="F47" s="122"/>
      <c r="G47" s="123"/>
      <c r="H47" s="124">
        <f>SUM(H45:H46)</f>
        <v>25321.915008</v>
      </c>
      <c r="I47" s="125"/>
      <c r="J47" s="125"/>
      <c r="K47" s="125"/>
      <c r="L47" s="126">
        <f>SUM(L45:L46)</f>
        <v>24984.430609999999</v>
      </c>
      <c r="M47" s="127"/>
      <c r="N47" s="128">
        <f t="shared" si="10"/>
        <v>-337.48439800000051</v>
      </c>
      <c r="O47" s="129">
        <f t="shared" si="11"/>
        <v>-1.3327759685370496E-2</v>
      </c>
    </row>
    <row r="48" spans="2:15" ht="8.25" customHeight="1" thickBot="1" x14ac:dyDescent="0.25">
      <c r="B48" s="83"/>
      <c r="C48" s="84"/>
      <c r="D48" s="85"/>
      <c r="E48" s="84"/>
      <c r="F48" s="130"/>
      <c r="G48" s="131"/>
      <c r="H48" s="161"/>
      <c r="I48" s="133"/>
      <c r="J48" s="130"/>
      <c r="K48" s="87"/>
      <c r="L48" s="174"/>
      <c r="M48" s="89"/>
      <c r="N48" s="146"/>
      <c r="O48" s="93"/>
    </row>
    <row r="49" spans="1:15" x14ac:dyDescent="0.2">
      <c r="B49" s="94" t="s">
        <v>54</v>
      </c>
      <c r="C49" s="26"/>
      <c r="D49" s="26"/>
      <c r="E49" s="26"/>
      <c r="F49" s="95"/>
      <c r="G49" s="96"/>
      <c r="H49" s="97">
        <f>SUM(H32:H36,H39:H41)</f>
        <v>84778.595327999996</v>
      </c>
      <c r="I49" s="98"/>
      <c r="J49" s="99"/>
      <c r="K49" s="99"/>
      <c r="L49" s="136">
        <f>SUM(L32:L36,L39:L41)</f>
        <v>87229.22320800001</v>
      </c>
      <c r="M49" s="101"/>
      <c r="N49" s="102">
        <f t="shared" ref="N49" si="14">L49-H49</f>
        <v>2450.6278800000146</v>
      </c>
      <c r="O49" s="103">
        <f t="shared" ref="O49" si="15">IF((H49)=0,"",(N49/H49))</f>
        <v>2.8906209999337424E-2</v>
      </c>
    </row>
    <row r="50" spans="1:15" x14ac:dyDescent="0.2">
      <c r="B50" s="104" t="s">
        <v>50</v>
      </c>
      <c r="C50" s="26"/>
      <c r="D50" s="26"/>
      <c r="E50" s="26"/>
      <c r="F50" s="105">
        <v>0.13</v>
      </c>
      <c r="G50" s="116"/>
      <c r="H50" s="106">
        <f>H49*F50</f>
        <v>11021.217392639999</v>
      </c>
      <c r="I50" s="107"/>
      <c r="J50" s="137">
        <v>0.13</v>
      </c>
      <c r="K50" s="107"/>
      <c r="L50" s="110">
        <f>L49*J50</f>
        <v>11339.799017040003</v>
      </c>
      <c r="M50" s="111"/>
      <c r="N50" s="112">
        <f t="shared" si="10"/>
        <v>318.58162440000342</v>
      </c>
      <c r="O50" s="113">
        <f t="shared" si="11"/>
        <v>2.8906209999337563E-2</v>
      </c>
    </row>
    <row r="51" spans="1:15" x14ac:dyDescent="0.2">
      <c r="B51" s="114" t="s">
        <v>51</v>
      </c>
      <c r="C51" s="26"/>
      <c r="D51" s="26"/>
      <c r="E51" s="26"/>
      <c r="F51" s="115"/>
      <c r="G51" s="116"/>
      <c r="H51" s="106">
        <f>H49+H50</f>
        <v>95799.812720639995</v>
      </c>
      <c r="I51" s="107"/>
      <c r="J51" s="107"/>
      <c r="K51" s="107"/>
      <c r="L51" s="110">
        <f>L49+L50</f>
        <v>98569.022225040011</v>
      </c>
      <c r="M51" s="111"/>
      <c r="N51" s="112">
        <f t="shared" si="10"/>
        <v>2769.2095044000162</v>
      </c>
      <c r="O51" s="113">
        <f t="shared" si="11"/>
        <v>2.8906209999337421E-2</v>
      </c>
    </row>
    <row r="52" spans="1:15" x14ac:dyDescent="0.2">
      <c r="B52" s="232" t="s">
        <v>52</v>
      </c>
      <c r="C52" s="232"/>
      <c r="D52" s="232"/>
      <c r="E52" s="26"/>
      <c r="F52" s="115"/>
      <c r="G52" s="116"/>
      <c r="H52" s="117">
        <f>ROUND(-H51*10%,2)</f>
        <v>-9579.98</v>
      </c>
      <c r="I52" s="107"/>
      <c r="J52" s="107"/>
      <c r="K52" s="107"/>
      <c r="L52" s="118">
        <f>ROUND(-L51*10%,2)</f>
        <v>-9856.9</v>
      </c>
      <c r="M52" s="111"/>
      <c r="N52" s="119">
        <f t="shared" si="10"/>
        <v>-276.92000000000007</v>
      </c>
      <c r="O52" s="120">
        <f t="shared" si="11"/>
        <v>2.8906114626544115E-2</v>
      </c>
    </row>
    <row r="53" spans="1:15" ht="13.5" thickBot="1" x14ac:dyDescent="0.25">
      <c r="B53" s="225" t="s">
        <v>55</v>
      </c>
      <c r="C53" s="225"/>
      <c r="D53" s="225"/>
      <c r="E53" s="121"/>
      <c r="F53" s="138"/>
      <c r="G53" s="139"/>
      <c r="H53" s="140">
        <f>H51+H52</f>
        <v>86219.832720639999</v>
      </c>
      <c r="I53" s="141"/>
      <c r="J53" s="141"/>
      <c r="K53" s="141"/>
      <c r="L53" s="142">
        <f>L51+L52</f>
        <v>88712.122225040017</v>
      </c>
      <c r="M53" s="143"/>
      <c r="N53" s="144">
        <f t="shared" si="10"/>
        <v>2492.2895044000179</v>
      </c>
      <c r="O53" s="145">
        <f t="shared" si="11"/>
        <v>2.8906220596312912E-2</v>
      </c>
    </row>
    <row r="54" spans="1:15" ht="8.25" customHeight="1" thickBot="1" x14ac:dyDescent="0.25">
      <c r="B54" s="83"/>
      <c r="C54" s="84"/>
      <c r="D54" s="85"/>
      <c r="E54" s="84"/>
      <c r="F54" s="130"/>
      <c r="G54" s="131"/>
      <c r="H54" s="132"/>
      <c r="I54" s="133"/>
      <c r="J54" s="130"/>
      <c r="K54" s="87"/>
      <c r="L54" s="134"/>
      <c r="M54" s="89"/>
      <c r="N54" s="135"/>
      <c r="O54" s="93"/>
    </row>
    <row r="55" spans="1:15" ht="10.5" customHeight="1" x14ac:dyDescent="0.2">
      <c r="L55" s="148"/>
    </row>
    <row r="56" spans="1:15" x14ac:dyDescent="0.2">
      <c r="B56" s="17" t="s">
        <v>56</v>
      </c>
      <c r="F56" s="149">
        <v>4.48E-2</v>
      </c>
      <c r="J56" s="149">
        <v>3.4200000000000001E-2</v>
      </c>
    </row>
    <row r="57" spans="1:15" ht="10.5" customHeight="1" x14ac:dyDescent="0.2"/>
    <row r="58" spans="1:15" ht="10.5" customHeight="1" x14ac:dyDescent="0.2">
      <c r="A58" s="150" t="s">
        <v>57</v>
      </c>
    </row>
    <row r="59" spans="1:15" ht="10.5" customHeight="1" x14ac:dyDescent="0.2"/>
    <row r="60" spans="1:15" x14ac:dyDescent="0.2">
      <c r="A60" s="11" t="s">
        <v>58</v>
      </c>
    </row>
    <row r="61" spans="1:15" x14ac:dyDescent="0.2">
      <c r="A61" s="11" t="s">
        <v>59</v>
      </c>
    </row>
    <row r="63" spans="1:15" x14ac:dyDescent="0.2">
      <c r="A63" s="11" t="s">
        <v>60</v>
      </c>
    </row>
    <row r="64" spans="1:15" x14ac:dyDescent="0.2">
      <c r="A64" s="11" t="s">
        <v>61</v>
      </c>
    </row>
    <row r="66" spans="1:1" x14ac:dyDescent="0.2">
      <c r="A66" s="11" t="s">
        <v>62</v>
      </c>
    </row>
    <row r="67" spans="1:1" x14ac:dyDescent="0.2">
      <c r="A67" s="11" t="s">
        <v>63</v>
      </c>
    </row>
    <row r="68" spans="1:1" x14ac:dyDescent="0.2">
      <c r="A68" s="11" t="s">
        <v>64</v>
      </c>
    </row>
    <row r="69" spans="1:1" x14ac:dyDescent="0.2">
      <c r="A69" s="11" t="s">
        <v>65</v>
      </c>
    </row>
    <row r="70" spans="1:1" x14ac:dyDescent="0.2">
      <c r="A70" s="11" t="s">
        <v>66</v>
      </c>
    </row>
  </sheetData>
  <sheetProtection selectLockedCells="1"/>
  <mergeCells count="14">
    <mergeCell ref="B53:D53"/>
    <mergeCell ref="D19:D20"/>
    <mergeCell ref="N19:N20"/>
    <mergeCell ref="O19:O20"/>
    <mergeCell ref="B46:D46"/>
    <mergeCell ref="B47:D47"/>
    <mergeCell ref="B52:D52"/>
    <mergeCell ref="A3:K3"/>
    <mergeCell ref="B10:O10"/>
    <mergeCell ref="B11:O11"/>
    <mergeCell ref="D14:O14"/>
    <mergeCell ref="F18:H18"/>
    <mergeCell ref="J18:L18"/>
    <mergeCell ref="N18:O18"/>
  </mergeCells>
  <dataValidations count="3">
    <dataValidation type="list" allowBlank="1" showInputMessage="1" showErrorMessage="1" sqref="E37:E38">
      <formula1>#REF!</formula1>
    </dataValidation>
    <dataValidation type="list" allowBlank="1" showInputMessage="1" showErrorMessage="1" prompt="Select Charge Unit - monthly, per kWh, per kW" sqref="D30:D31 D48 D54 D24:D28 D33:D42 D21:D22">
      <formula1>"Monthly, per kWh, per kW"</formula1>
    </dataValidation>
    <dataValidation type="list" allowBlank="1" showInputMessage="1" showErrorMessage="1" sqref="E30:E31 E48 E54 E24:E28 E33:E36 E39:E42 E21:E22">
      <formula1>#REF!</formula1>
    </dataValidation>
  </dataValidations>
  <pageMargins left="0.75" right="0.75" top="1" bottom="1" header="0.5" footer="0.5"/>
  <pageSetup scale="64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</xdr:col>
                    <xdr:colOff>342900</xdr:colOff>
                    <xdr:row>1</xdr:row>
                    <xdr:rowOff>66675</xdr:rowOff>
                  </from>
                  <to>
                    <xdr:col>1</xdr:col>
                    <xdr:colOff>523875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1</xdr:col>
                    <xdr:colOff>504825</xdr:colOff>
                    <xdr:row>1</xdr:row>
                    <xdr:rowOff>66675</xdr:rowOff>
                  </from>
                  <to>
                    <xdr:col>1</xdr:col>
                    <xdr:colOff>923925</xdr:colOff>
                    <xdr:row>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5">
    <pageSetUpPr fitToPage="1"/>
  </sheetPr>
  <dimension ref="A1:T68"/>
  <sheetViews>
    <sheetView showGridLines="0" zoomScaleNormal="100" workbookViewId="0">
      <selection activeCell="J35" sqref="J35:J39"/>
    </sheetView>
  </sheetViews>
  <sheetFormatPr defaultColWidth="9.140625" defaultRowHeight="12.75" x14ac:dyDescent="0.2"/>
  <cols>
    <col min="1" max="1" width="1.28515625" style="11" customWidth="1"/>
    <col min="2" max="2" width="26.5703125" style="11" customWidth="1"/>
    <col min="3" max="3" width="1.28515625" style="11" customWidth="1"/>
    <col min="4" max="4" width="11.28515625" style="11" customWidth="1"/>
    <col min="5" max="5" width="1.28515625" style="11" customWidth="1"/>
    <col min="6" max="6" width="12.28515625" style="11" customWidth="1"/>
    <col min="7" max="7" width="8.5703125" style="11" customWidth="1"/>
    <col min="8" max="8" width="11.42578125" style="11" bestFit="1" customWidth="1"/>
    <col min="9" max="9" width="2.85546875" style="11" customWidth="1"/>
    <col min="10" max="10" width="12.7109375" style="11" customWidth="1"/>
    <col min="11" max="11" width="8.5703125" style="11" customWidth="1"/>
    <col min="12" max="12" width="11.42578125" style="11" bestFit="1" customWidth="1"/>
    <col min="13" max="13" width="2.85546875" style="11" customWidth="1"/>
    <col min="14" max="14" width="12.7109375" style="11" bestFit="1" customWidth="1"/>
    <col min="15" max="15" width="12.28515625" style="11" bestFit="1" customWidth="1"/>
    <col min="16" max="16" width="3.85546875" style="11" customWidth="1"/>
    <col min="17" max="19" width="9.140625" style="11"/>
    <col min="20" max="20" width="0" style="11" hidden="1" customWidth="1"/>
    <col min="21" max="16384" width="9.140625" style="1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'[3]LDC Info'!$E$18</f>
        <v>EB-2012-0167</v>
      </c>
      <c r="P1" s="5"/>
      <c r="T1" s="2">
        <v>1</v>
      </c>
    </row>
    <row r="2" spans="1:20" s="2" customFormat="1" ht="1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N2" s="3" t="s">
        <v>1</v>
      </c>
      <c r="O2" s="7"/>
      <c r="P2" s="5"/>
    </row>
    <row r="3" spans="1:20" s="2" customFormat="1" ht="15" customHeight="1" x14ac:dyDescent="0.25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N3" s="3" t="s">
        <v>2</v>
      </c>
      <c r="O3" s="7"/>
      <c r="P3" s="5"/>
    </row>
    <row r="4" spans="1:20" s="2" customFormat="1" ht="15" customHeight="1" x14ac:dyDescent="0.25">
      <c r="A4" s="152"/>
      <c r="B4" s="152"/>
      <c r="C4" s="152"/>
      <c r="D4" s="152"/>
      <c r="E4" s="152"/>
      <c r="F4" s="152"/>
      <c r="G4" s="152"/>
      <c r="H4" s="152"/>
      <c r="I4" s="154"/>
      <c r="J4" s="154"/>
      <c r="K4" s="154"/>
      <c r="N4" s="3" t="s">
        <v>3</v>
      </c>
      <c r="O4" s="7"/>
      <c r="P4" s="5"/>
    </row>
    <row r="5" spans="1:20" s="2" customFormat="1" ht="15" customHeight="1" x14ac:dyDescent="0.25">
      <c r="C5" s="155"/>
      <c r="D5" s="155"/>
      <c r="E5" s="155"/>
      <c r="N5" s="3" t="s">
        <v>4</v>
      </c>
      <c r="O5" s="9"/>
      <c r="P5" s="5"/>
    </row>
    <row r="6" spans="1:20" s="2" customFormat="1" ht="9" customHeight="1" x14ac:dyDescent="0.2">
      <c r="N6" s="3"/>
      <c r="O6" s="4"/>
      <c r="P6" s="5"/>
    </row>
    <row r="7" spans="1:20" s="2" customFormat="1" x14ac:dyDescent="0.2">
      <c r="N7" s="3" t="s">
        <v>5</v>
      </c>
      <c r="O7" s="10">
        <v>41388</v>
      </c>
      <c r="P7" s="5"/>
    </row>
    <row r="8" spans="1:20" s="2" customFormat="1" ht="15" customHeight="1" x14ac:dyDescent="0.2">
      <c r="N8" s="11"/>
      <c r="O8" s="5"/>
      <c r="P8" s="5"/>
    </row>
    <row r="9" spans="1:20" ht="7.5" customHeight="1" x14ac:dyDescent="0.2">
      <c r="L9" s="5"/>
      <c r="M9" s="5"/>
      <c r="N9" s="5"/>
      <c r="O9" s="5"/>
      <c r="P9" s="5"/>
    </row>
    <row r="10" spans="1:20" ht="18.75" customHeight="1" x14ac:dyDescent="0.25">
      <c r="B10" s="220" t="s">
        <v>6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5"/>
    </row>
    <row r="11" spans="1:20" ht="18.75" customHeight="1" x14ac:dyDescent="0.25">
      <c r="B11" s="220" t="s">
        <v>7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5"/>
    </row>
    <row r="12" spans="1:20" ht="7.5" customHeight="1" x14ac:dyDescent="0.2">
      <c r="L12" s="5"/>
      <c r="M12" s="5"/>
      <c r="N12" s="5"/>
      <c r="O12" s="5"/>
      <c r="P12" s="5"/>
    </row>
    <row r="13" spans="1:20" ht="7.5" customHeight="1" x14ac:dyDescent="0.2">
      <c r="L13" s="5"/>
      <c r="M13" s="5"/>
      <c r="N13" s="5"/>
      <c r="O13" s="5"/>
      <c r="P13" s="5"/>
    </row>
    <row r="14" spans="1:20" ht="15.75" x14ac:dyDescent="0.2">
      <c r="B14" s="13" t="s">
        <v>9</v>
      </c>
      <c r="D14" s="221" t="s">
        <v>73</v>
      </c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</row>
    <row r="15" spans="1:20" ht="7.5" customHeight="1" x14ac:dyDescent="0.25">
      <c r="B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0" x14ac:dyDescent="0.2">
      <c r="B16" s="16"/>
      <c r="D16" s="17" t="s">
        <v>11</v>
      </c>
      <c r="E16" s="17"/>
      <c r="F16" s="18">
        <v>150</v>
      </c>
      <c r="G16" s="17" t="s">
        <v>12</v>
      </c>
    </row>
    <row r="17" spans="2:15" ht="10.5" customHeight="1" x14ac:dyDescent="0.2">
      <c r="B17" s="16"/>
    </row>
    <row r="18" spans="2:15" x14ac:dyDescent="0.2">
      <c r="B18" s="16"/>
      <c r="D18" s="19"/>
      <c r="E18" s="19"/>
      <c r="F18" s="222" t="s">
        <v>13</v>
      </c>
      <c r="G18" s="223"/>
      <c r="H18" s="224"/>
      <c r="J18" s="222" t="s">
        <v>14</v>
      </c>
      <c r="K18" s="223"/>
      <c r="L18" s="224"/>
      <c r="N18" s="222" t="s">
        <v>15</v>
      </c>
      <c r="O18" s="224"/>
    </row>
    <row r="19" spans="2:15" x14ac:dyDescent="0.2">
      <c r="B19" s="16"/>
      <c r="D19" s="226" t="s">
        <v>16</v>
      </c>
      <c r="E19" s="20"/>
      <c r="F19" s="21" t="s">
        <v>17</v>
      </c>
      <c r="G19" s="21" t="s">
        <v>18</v>
      </c>
      <c r="H19" s="22" t="s">
        <v>19</v>
      </c>
      <c r="J19" s="21" t="s">
        <v>17</v>
      </c>
      <c r="K19" s="23" t="s">
        <v>18</v>
      </c>
      <c r="L19" s="22" t="s">
        <v>19</v>
      </c>
      <c r="N19" s="228" t="s">
        <v>20</v>
      </c>
      <c r="O19" s="230" t="s">
        <v>21</v>
      </c>
    </row>
    <row r="20" spans="2:15" x14ac:dyDescent="0.2">
      <c r="B20" s="16"/>
      <c r="D20" s="227"/>
      <c r="E20" s="20"/>
      <c r="F20" s="24" t="s">
        <v>22</v>
      </c>
      <c r="G20" s="24"/>
      <c r="H20" s="25" t="s">
        <v>22</v>
      </c>
      <c r="J20" s="24" t="s">
        <v>22</v>
      </c>
      <c r="K20" s="25"/>
      <c r="L20" s="25" t="s">
        <v>22</v>
      </c>
      <c r="N20" s="229"/>
      <c r="O20" s="231"/>
    </row>
    <row r="21" spans="2:15" ht="15" x14ac:dyDescent="0.2">
      <c r="B21" s="26" t="s">
        <v>23</v>
      </c>
      <c r="C21" s="26"/>
      <c r="D21" s="27" t="s">
        <v>24</v>
      </c>
      <c r="E21" s="28"/>
      <c r="F21" s="29">
        <v>8.91</v>
      </c>
      <c r="G21" s="30">
        <v>1</v>
      </c>
      <c r="H21" s="31">
        <f>G21*F21</f>
        <v>8.91</v>
      </c>
      <c r="I21" s="32"/>
      <c r="J21" s="33">
        <v>6.75</v>
      </c>
      <c r="K21" s="34">
        <v>1</v>
      </c>
      <c r="L21" s="31">
        <f>K21*J21</f>
        <v>6.75</v>
      </c>
      <c r="M21" s="32"/>
      <c r="N21" s="35">
        <f>L21-H21</f>
        <v>-2.16</v>
      </c>
      <c r="O21" s="36">
        <f>IF((H21)=0,"",(N21/H21))</f>
        <v>-0.24242424242424243</v>
      </c>
    </row>
    <row r="22" spans="2:15" ht="15" x14ac:dyDescent="0.2">
      <c r="B22" s="26" t="s">
        <v>26</v>
      </c>
      <c r="C22" s="26"/>
      <c r="D22" s="27" t="s">
        <v>27</v>
      </c>
      <c r="E22" s="28"/>
      <c r="F22" s="29">
        <v>1.2999999999999999E-2</v>
      </c>
      <c r="G22" s="30">
        <f>$F$16</f>
        <v>150</v>
      </c>
      <c r="H22" s="31">
        <f t="shared" ref="H22" si="0">G22*F22</f>
        <v>1.95</v>
      </c>
      <c r="I22" s="32"/>
      <c r="J22" s="33">
        <v>9.9000000000000008E-3</v>
      </c>
      <c r="K22" s="30">
        <f>$F$16</f>
        <v>150</v>
      </c>
      <c r="L22" s="31">
        <f t="shared" ref="L22" si="1">K22*J22</f>
        <v>1.4850000000000001</v>
      </c>
      <c r="M22" s="32"/>
      <c r="N22" s="35">
        <f t="shared" ref="N22:N23" si="2">L22-H22</f>
        <v>-0.46499999999999986</v>
      </c>
      <c r="O22" s="36">
        <f t="shared" ref="O22:O23" si="3">IF((H22)=0,"",(N22/H22))</f>
        <v>-0.23846153846153839</v>
      </c>
    </row>
    <row r="23" spans="2:15" s="51" customFormat="1" ht="15" x14ac:dyDescent="0.2">
      <c r="B23" s="40" t="s">
        <v>31</v>
      </c>
      <c r="C23" s="41"/>
      <c r="D23" s="42"/>
      <c r="E23" s="41"/>
      <c r="F23" s="176"/>
      <c r="G23" s="44"/>
      <c r="H23" s="169">
        <f>SUM(H21:H22)</f>
        <v>10.86</v>
      </c>
      <c r="I23" s="46"/>
      <c r="J23" s="177"/>
      <c r="K23" s="48"/>
      <c r="L23" s="169">
        <f>SUM(L21:L22)</f>
        <v>8.2349999999999994</v>
      </c>
      <c r="M23" s="46"/>
      <c r="N23" s="170">
        <f t="shared" si="2"/>
        <v>-2.625</v>
      </c>
      <c r="O23" s="50">
        <f t="shared" si="3"/>
        <v>-0.24171270718232046</v>
      </c>
    </row>
    <row r="24" spans="2:15" ht="25.5" x14ac:dyDescent="0.2">
      <c r="B24" s="52" t="s">
        <v>32</v>
      </c>
      <c r="C24" s="26"/>
      <c r="D24" s="27" t="s">
        <v>27</v>
      </c>
      <c r="E24" s="28"/>
      <c r="F24" s="33">
        <v>-4.4000000000000003E-3</v>
      </c>
      <c r="G24" s="30">
        <f>$F$16</f>
        <v>150</v>
      </c>
      <c r="H24" s="31">
        <f>G24*F24</f>
        <v>-0.66</v>
      </c>
      <c r="I24" s="32"/>
      <c r="J24" s="33">
        <v>-3.5999999999999999E-3</v>
      </c>
      <c r="K24" s="30">
        <f>$F$16</f>
        <v>150</v>
      </c>
      <c r="L24" s="31">
        <f>K24*J24</f>
        <v>-0.54</v>
      </c>
      <c r="M24" s="32"/>
      <c r="N24" s="35">
        <f>L24-H24</f>
        <v>0.12</v>
      </c>
      <c r="O24" s="36">
        <f>IF((H24)=0,"",(N24/H24))</f>
        <v>-0.1818181818181818</v>
      </c>
    </row>
    <row r="25" spans="2:15" ht="15" x14ac:dyDescent="0.2">
      <c r="B25" s="52" t="s">
        <v>33</v>
      </c>
      <c r="C25" s="26"/>
      <c r="D25" s="27" t="s">
        <v>27</v>
      </c>
      <c r="E25" s="28"/>
      <c r="F25" s="29">
        <v>-5.0000000000000001E-4</v>
      </c>
      <c r="G25" s="30">
        <f t="shared" ref="G25" si="4">$F$16</f>
        <v>150</v>
      </c>
      <c r="H25" s="31">
        <f t="shared" ref="H25" si="5">G25*F25</f>
        <v>-7.4999999999999997E-2</v>
      </c>
      <c r="I25" s="53"/>
      <c r="J25" s="33">
        <v>0</v>
      </c>
      <c r="K25" s="30">
        <f t="shared" ref="K25:K26" si="6">$F$16</f>
        <v>150</v>
      </c>
      <c r="L25" s="31">
        <f t="shared" ref="L25" si="7">K25*J25</f>
        <v>0</v>
      </c>
      <c r="M25" s="54"/>
      <c r="N25" s="35">
        <f t="shared" ref="N25" si="8">L25-H25</f>
        <v>7.4999999999999997E-2</v>
      </c>
      <c r="O25" s="36">
        <f t="shared" ref="O25" si="9">IF((H25)=0,"",(N25/H25))</f>
        <v>-1</v>
      </c>
    </row>
    <row r="26" spans="2:15" ht="15" x14ac:dyDescent="0.2">
      <c r="B26" s="39" t="s">
        <v>34</v>
      </c>
      <c r="C26" s="26"/>
      <c r="D26" s="27"/>
      <c r="E26" s="28"/>
      <c r="F26" s="160"/>
      <c r="G26" s="57"/>
      <c r="H26" s="171"/>
      <c r="I26" s="32"/>
      <c r="J26" s="33">
        <v>0</v>
      </c>
      <c r="K26" s="30">
        <f t="shared" si="6"/>
        <v>150</v>
      </c>
      <c r="L26" s="31">
        <f>K26*J26</f>
        <v>0</v>
      </c>
      <c r="M26" s="32"/>
      <c r="N26" s="35">
        <f>L26-H26</f>
        <v>0</v>
      </c>
      <c r="O26" s="36"/>
    </row>
    <row r="27" spans="2:15" ht="25.5" x14ac:dyDescent="0.2">
      <c r="B27" s="59" t="s">
        <v>35</v>
      </c>
      <c r="C27" s="60"/>
      <c r="D27" s="60"/>
      <c r="E27" s="60"/>
      <c r="F27" s="178"/>
      <c r="G27" s="62"/>
      <c r="H27" s="172">
        <f>SUM(H24:H25)+H23</f>
        <v>10.125</v>
      </c>
      <c r="I27" s="46"/>
      <c r="J27" s="179"/>
      <c r="K27" s="64"/>
      <c r="L27" s="172">
        <f>SUM(L24:L25)+L23</f>
        <v>7.6949999999999994</v>
      </c>
      <c r="M27" s="46"/>
      <c r="N27" s="170">
        <f t="shared" ref="N27:N51" si="10">L27-H27</f>
        <v>-2.4300000000000006</v>
      </c>
      <c r="O27" s="50">
        <f t="shared" ref="O27:O51" si="11">IF((H27)=0,"",(N27/H27))</f>
        <v>-0.24000000000000005</v>
      </c>
    </row>
    <row r="28" spans="2:15" ht="15" x14ac:dyDescent="0.2">
      <c r="B28" s="32" t="s">
        <v>36</v>
      </c>
      <c r="C28" s="32"/>
      <c r="D28" s="65" t="s">
        <v>27</v>
      </c>
      <c r="E28" s="66"/>
      <c r="F28" s="33">
        <v>6.1000000000000004E-3</v>
      </c>
      <c r="G28" s="67">
        <f>F16*(1+F54)</f>
        <v>156.72</v>
      </c>
      <c r="H28" s="31">
        <f>G28*F28</f>
        <v>0.95599200000000006</v>
      </c>
      <c r="I28" s="32"/>
      <c r="J28" s="33">
        <v>6.1999999999999998E-3</v>
      </c>
      <c r="K28" s="68">
        <f>F16*(1+J54)</f>
        <v>155.13</v>
      </c>
      <c r="L28" s="31">
        <f>K28*J28</f>
        <v>0.96180599999999994</v>
      </c>
      <c r="M28" s="32"/>
      <c r="N28" s="35">
        <f t="shared" si="10"/>
        <v>5.8139999999998748E-3</v>
      </c>
      <c r="O28" s="36">
        <f t="shared" si="11"/>
        <v>6.0816408505509189E-3</v>
      </c>
    </row>
    <row r="29" spans="2:15" ht="25.5" x14ac:dyDescent="0.2">
      <c r="B29" s="70" t="s">
        <v>37</v>
      </c>
      <c r="C29" s="32"/>
      <c r="D29" s="65" t="s">
        <v>27</v>
      </c>
      <c r="E29" s="66"/>
      <c r="F29" s="33">
        <v>4.5999999999999999E-3</v>
      </c>
      <c r="G29" s="67">
        <f>G28</f>
        <v>156.72</v>
      </c>
      <c r="H29" s="31">
        <f>G29*F29</f>
        <v>0.720912</v>
      </c>
      <c r="I29" s="32"/>
      <c r="J29" s="33">
        <v>4.4000000000000003E-3</v>
      </c>
      <c r="K29" s="68">
        <f>K28</f>
        <v>155.13</v>
      </c>
      <c r="L29" s="31">
        <f>K29*J29</f>
        <v>0.68257200000000007</v>
      </c>
      <c r="M29" s="32"/>
      <c r="N29" s="35">
        <f t="shared" si="10"/>
        <v>-3.833999999999993E-2</v>
      </c>
      <c r="O29" s="36">
        <f t="shared" si="11"/>
        <v>-5.3182635328583694E-2</v>
      </c>
    </row>
    <row r="30" spans="2:15" ht="25.5" x14ac:dyDescent="0.2">
      <c r="B30" s="59" t="s">
        <v>38</v>
      </c>
      <c r="C30" s="41"/>
      <c r="D30" s="41"/>
      <c r="E30" s="41"/>
      <c r="F30" s="180"/>
      <c r="G30" s="62"/>
      <c r="H30" s="172">
        <f>SUM(H27:H29)</f>
        <v>11.801904</v>
      </c>
      <c r="I30" s="72"/>
      <c r="J30" s="181"/>
      <c r="K30" s="74"/>
      <c r="L30" s="172">
        <f>SUM(L27:L29)</f>
        <v>9.339378</v>
      </c>
      <c r="M30" s="72"/>
      <c r="N30" s="170">
        <f t="shared" si="10"/>
        <v>-2.4625260000000004</v>
      </c>
      <c r="O30" s="50">
        <f t="shared" si="11"/>
        <v>-0.20865497634957889</v>
      </c>
    </row>
    <row r="31" spans="2:15" ht="25.5" x14ac:dyDescent="0.2">
      <c r="B31" s="75" t="s">
        <v>39</v>
      </c>
      <c r="C31" s="26"/>
      <c r="D31" s="27" t="s">
        <v>27</v>
      </c>
      <c r="E31" s="28"/>
      <c r="F31" s="76">
        <v>5.1999999999999998E-3</v>
      </c>
      <c r="G31" s="67">
        <f>G29</f>
        <v>156.72</v>
      </c>
      <c r="H31" s="77">
        <f t="shared" ref="H31:H39" si="12">G31*F31</f>
        <v>0.814944</v>
      </c>
      <c r="I31" s="32"/>
      <c r="J31" s="76">
        <v>4.4000000000000003E-3</v>
      </c>
      <c r="K31" s="68">
        <f>K29</f>
        <v>155.13</v>
      </c>
      <c r="L31" s="77">
        <f t="shared" ref="L31:L39" si="13">K31*J31</f>
        <v>0.68257200000000007</v>
      </c>
      <c r="M31" s="32"/>
      <c r="N31" s="35">
        <f t="shared" si="10"/>
        <v>-0.13237199999999993</v>
      </c>
      <c r="O31" s="79">
        <f t="shared" si="11"/>
        <v>-0.16243079279067019</v>
      </c>
    </row>
    <row r="32" spans="2:15" ht="25.5" x14ac:dyDescent="0.2">
      <c r="B32" s="75" t="s">
        <v>40</v>
      </c>
      <c r="C32" s="26"/>
      <c r="D32" s="27" t="s">
        <v>27</v>
      </c>
      <c r="E32" s="28"/>
      <c r="F32" s="76">
        <v>1.1000000000000001E-3</v>
      </c>
      <c r="G32" s="67">
        <f>G29</f>
        <v>156.72</v>
      </c>
      <c r="H32" s="77">
        <f t="shared" si="12"/>
        <v>0.17239200000000002</v>
      </c>
      <c r="I32" s="32"/>
      <c r="J32" s="76">
        <v>1.1999999999999999E-3</v>
      </c>
      <c r="K32" s="68">
        <f>K29</f>
        <v>155.13</v>
      </c>
      <c r="L32" s="77">
        <f t="shared" si="13"/>
        <v>0.18615599999999999</v>
      </c>
      <c r="M32" s="32"/>
      <c r="N32" s="35">
        <f t="shared" si="10"/>
        <v>1.3763999999999971E-2</v>
      </c>
      <c r="O32" s="79">
        <f t="shared" si="11"/>
        <v>7.9841291939300951E-2</v>
      </c>
    </row>
    <row r="33" spans="2:15" x14ac:dyDescent="0.2">
      <c r="B33" s="26" t="s">
        <v>41</v>
      </c>
      <c r="C33" s="26"/>
      <c r="D33" s="27" t="s">
        <v>24</v>
      </c>
      <c r="E33" s="28"/>
      <c r="F33" s="76">
        <v>0.25</v>
      </c>
      <c r="G33" s="30">
        <v>1</v>
      </c>
      <c r="H33" s="77">
        <f t="shared" si="12"/>
        <v>0.25</v>
      </c>
      <c r="I33" s="32"/>
      <c r="J33" s="76">
        <v>0.25</v>
      </c>
      <c r="K33" s="34">
        <v>1</v>
      </c>
      <c r="L33" s="77">
        <f t="shared" si="13"/>
        <v>0.25</v>
      </c>
      <c r="M33" s="32"/>
      <c r="N33" s="35">
        <f t="shared" si="10"/>
        <v>0</v>
      </c>
      <c r="O33" s="79">
        <f t="shared" si="11"/>
        <v>0</v>
      </c>
    </row>
    <row r="34" spans="2:15" x14ac:dyDescent="0.2">
      <c r="B34" s="26" t="s">
        <v>42</v>
      </c>
      <c r="C34" s="26"/>
      <c r="D34" s="27" t="s">
        <v>27</v>
      </c>
      <c r="E34" s="28"/>
      <c r="F34" s="76">
        <v>7.0000000000000001E-3</v>
      </c>
      <c r="G34" s="67">
        <f>G32</f>
        <v>156.72</v>
      </c>
      <c r="H34" s="77">
        <f t="shared" si="12"/>
        <v>1.09704</v>
      </c>
      <c r="I34" s="32"/>
      <c r="J34" s="76">
        <v>7.0000000000000001E-3</v>
      </c>
      <c r="K34" s="68">
        <f>K32</f>
        <v>155.13</v>
      </c>
      <c r="L34" s="77">
        <f t="shared" si="13"/>
        <v>1.0859099999999999</v>
      </c>
      <c r="M34" s="32"/>
      <c r="N34" s="35">
        <f t="shared" si="10"/>
        <v>-1.1130000000000084E-2</v>
      </c>
      <c r="O34" s="79">
        <f t="shared" si="11"/>
        <v>-1.0145482388974043E-2</v>
      </c>
    </row>
    <row r="35" spans="2:15" x14ac:dyDescent="0.2">
      <c r="B35" s="39" t="s">
        <v>43</v>
      </c>
      <c r="C35" s="26"/>
      <c r="D35" s="27" t="s">
        <v>27</v>
      </c>
      <c r="E35" s="28"/>
      <c r="F35" s="80">
        <v>7.3999999999999996E-2</v>
      </c>
      <c r="G35" s="67"/>
      <c r="H35" s="77">
        <f>G35*F35</f>
        <v>0</v>
      </c>
      <c r="I35" s="32"/>
      <c r="J35" s="80">
        <v>7.8E-2</v>
      </c>
      <c r="K35" s="67"/>
      <c r="L35" s="77">
        <f>K35*J35</f>
        <v>0</v>
      </c>
      <c r="M35" s="32"/>
      <c r="N35" s="35">
        <f t="shared" si="10"/>
        <v>0</v>
      </c>
      <c r="O35" s="79" t="str">
        <f t="shared" si="11"/>
        <v/>
      </c>
    </row>
    <row r="36" spans="2:15" x14ac:dyDescent="0.2">
      <c r="B36" s="39" t="s">
        <v>45</v>
      </c>
      <c r="C36" s="26"/>
      <c r="D36" s="27" t="s">
        <v>27</v>
      </c>
      <c r="E36" s="28"/>
      <c r="F36" s="80">
        <v>8.6999999999999994E-2</v>
      </c>
      <c r="G36" s="67"/>
      <c r="H36" s="77">
        <f>G36*F36</f>
        <v>0</v>
      </c>
      <c r="I36" s="32"/>
      <c r="J36" s="80">
        <v>9.0999999999999998E-2</v>
      </c>
      <c r="K36" s="67"/>
      <c r="L36" s="77">
        <f>K36*J36</f>
        <v>0</v>
      </c>
      <c r="M36" s="32"/>
      <c r="N36" s="35">
        <f t="shared" si="10"/>
        <v>0</v>
      </c>
      <c r="O36" s="79" t="str">
        <f t="shared" si="11"/>
        <v/>
      </c>
    </row>
    <row r="37" spans="2:15" x14ac:dyDescent="0.2">
      <c r="B37" s="39" t="s">
        <v>46</v>
      </c>
      <c r="C37" s="26"/>
      <c r="D37" s="27" t="s">
        <v>27</v>
      </c>
      <c r="E37" s="28"/>
      <c r="F37" s="80">
        <v>6.3E-2</v>
      </c>
      <c r="G37" s="81">
        <f>0.64*$F$16*(1+$F$54)</f>
        <v>100.3008</v>
      </c>
      <c r="H37" s="77">
        <f>G37*F37</f>
        <v>6.3189503999999994</v>
      </c>
      <c r="I37" s="32"/>
      <c r="J37" s="80">
        <v>6.7000000000000004E-2</v>
      </c>
      <c r="K37" s="82">
        <f>0.64*$F$16*(1+$J$54)</f>
        <v>99.283199999999994</v>
      </c>
      <c r="L37" s="77">
        <f t="shared" si="13"/>
        <v>6.6519744000000003</v>
      </c>
      <c r="M37" s="32"/>
      <c r="N37" s="35">
        <f t="shared" si="10"/>
        <v>0.33302400000000087</v>
      </c>
      <c r="O37" s="79">
        <f t="shared" si="11"/>
        <v>5.2702423491091319E-2</v>
      </c>
    </row>
    <row r="38" spans="2:15" x14ac:dyDescent="0.2">
      <c r="B38" s="39" t="s">
        <v>47</v>
      </c>
      <c r="C38" s="26"/>
      <c r="D38" s="27" t="s">
        <v>27</v>
      </c>
      <c r="E38" s="28"/>
      <c r="F38" s="80">
        <v>9.9000000000000005E-2</v>
      </c>
      <c r="G38" s="81">
        <f>0.18*$F$16*(1+$F$54)</f>
        <v>28.209599999999998</v>
      </c>
      <c r="H38" s="77">
        <f t="shared" si="12"/>
        <v>2.7927504000000001</v>
      </c>
      <c r="I38" s="32"/>
      <c r="J38" s="80">
        <v>0.104</v>
      </c>
      <c r="K38" s="82">
        <f>0.18*$F$16*(1+$J$54)</f>
        <v>27.923400000000001</v>
      </c>
      <c r="L38" s="77">
        <f t="shared" si="13"/>
        <v>2.9040336</v>
      </c>
      <c r="M38" s="32"/>
      <c r="N38" s="35">
        <f t="shared" si="10"/>
        <v>0.11128319999999992</v>
      </c>
      <c r="O38" s="79">
        <f t="shared" si="11"/>
        <v>3.9847170015623275E-2</v>
      </c>
    </row>
    <row r="39" spans="2:15" ht="13.5" thickBot="1" x14ac:dyDescent="0.25">
      <c r="B39" s="16" t="s">
        <v>48</v>
      </c>
      <c r="C39" s="26"/>
      <c r="D39" s="27" t="s">
        <v>27</v>
      </c>
      <c r="E39" s="28"/>
      <c r="F39" s="80">
        <v>0.11799999999999999</v>
      </c>
      <c r="G39" s="81">
        <f>0.18*$F$16*(1+$F$54)</f>
        <v>28.209599999999998</v>
      </c>
      <c r="H39" s="77">
        <f t="shared" si="12"/>
        <v>3.3287327999999996</v>
      </c>
      <c r="I39" s="32"/>
      <c r="J39" s="80">
        <v>0.124</v>
      </c>
      <c r="K39" s="82">
        <f>0.18*$F$16*(1+$J$54)</f>
        <v>27.923400000000001</v>
      </c>
      <c r="L39" s="77">
        <f t="shared" si="13"/>
        <v>3.4625016</v>
      </c>
      <c r="M39" s="32"/>
      <c r="N39" s="35">
        <f t="shared" si="10"/>
        <v>0.13376880000000035</v>
      </c>
      <c r="O39" s="79">
        <f t="shared" si="11"/>
        <v>4.0186103252264758E-2</v>
      </c>
    </row>
    <row r="40" spans="2:15" ht="8.25" customHeight="1" thickBot="1" x14ac:dyDescent="0.25">
      <c r="B40" s="83"/>
      <c r="C40" s="84"/>
      <c r="D40" s="85"/>
      <c r="E40" s="84"/>
      <c r="F40" s="86"/>
      <c r="G40" s="87"/>
      <c r="H40" s="88"/>
      <c r="I40" s="89"/>
      <c r="J40" s="86"/>
      <c r="K40" s="90"/>
      <c r="L40" s="88"/>
      <c r="M40" s="89"/>
      <c r="N40" s="173"/>
      <c r="O40" s="93"/>
    </row>
    <row r="41" spans="2:15" x14ac:dyDescent="0.2">
      <c r="B41" s="94" t="s">
        <v>49</v>
      </c>
      <c r="C41" s="26"/>
      <c r="D41" s="26"/>
      <c r="E41" s="26"/>
      <c r="F41" s="95"/>
      <c r="G41" s="96"/>
      <c r="H41" s="97">
        <f>SUM(H30:H36)</f>
        <v>14.136280000000001</v>
      </c>
      <c r="I41" s="98"/>
      <c r="J41" s="99"/>
      <c r="K41" s="99"/>
      <c r="L41" s="100">
        <f>SUM(L30:L36)</f>
        <v>11.544016000000001</v>
      </c>
      <c r="M41" s="101"/>
      <c r="N41" s="102">
        <f t="shared" si="10"/>
        <v>-2.5922640000000001</v>
      </c>
      <c r="O41" s="103">
        <f t="shared" si="11"/>
        <v>-0.18337667335395166</v>
      </c>
    </row>
    <row r="42" spans="2:15" x14ac:dyDescent="0.2">
      <c r="B42" s="104" t="s">
        <v>50</v>
      </c>
      <c r="C42" s="26"/>
      <c r="D42" s="26"/>
      <c r="E42" s="26"/>
      <c r="F42" s="105">
        <v>0.13</v>
      </c>
      <c r="G42" s="96"/>
      <c r="H42" s="106">
        <f>H41*F42</f>
        <v>1.8377164000000001</v>
      </c>
      <c r="I42" s="107"/>
      <c r="J42" s="108">
        <v>0.13</v>
      </c>
      <c r="K42" s="109"/>
      <c r="L42" s="110">
        <f>L41*J42</f>
        <v>1.5007220800000001</v>
      </c>
      <c r="M42" s="111"/>
      <c r="N42" s="112">
        <f t="shared" si="10"/>
        <v>-0.33699432000000007</v>
      </c>
      <c r="O42" s="113">
        <f t="shared" si="11"/>
        <v>-0.18337667335395169</v>
      </c>
    </row>
    <row r="43" spans="2:15" x14ac:dyDescent="0.2">
      <c r="B43" s="114" t="s">
        <v>51</v>
      </c>
      <c r="C43" s="26"/>
      <c r="D43" s="26"/>
      <c r="E43" s="26"/>
      <c r="F43" s="115"/>
      <c r="G43" s="116"/>
      <c r="H43" s="106">
        <f>H41+H42</f>
        <v>15.973996400000001</v>
      </c>
      <c r="I43" s="107"/>
      <c r="J43" s="107"/>
      <c r="K43" s="107"/>
      <c r="L43" s="110">
        <f>L41+L42</f>
        <v>13.044738080000002</v>
      </c>
      <c r="M43" s="111"/>
      <c r="N43" s="112">
        <f t="shared" si="10"/>
        <v>-2.9292583199999989</v>
      </c>
      <c r="O43" s="113">
        <f t="shared" si="11"/>
        <v>-0.18337667335395161</v>
      </c>
    </row>
    <row r="44" spans="2:15" x14ac:dyDescent="0.2">
      <c r="B44" s="232" t="s">
        <v>52</v>
      </c>
      <c r="C44" s="232"/>
      <c r="D44" s="232"/>
      <c r="E44" s="26"/>
      <c r="F44" s="115"/>
      <c r="G44" s="116"/>
      <c r="H44" s="117">
        <f>ROUND(-H43*10%,2)</f>
        <v>-1.6</v>
      </c>
      <c r="I44" s="107"/>
      <c r="J44" s="107"/>
      <c r="K44" s="107"/>
      <c r="L44" s="118">
        <f>ROUND(-L43*10%,2)</f>
        <v>-1.3</v>
      </c>
      <c r="M44" s="111"/>
      <c r="N44" s="119">
        <f t="shared" si="10"/>
        <v>0.30000000000000004</v>
      </c>
      <c r="O44" s="120">
        <f t="shared" si="11"/>
        <v>-0.18750000000000003</v>
      </c>
    </row>
    <row r="45" spans="2:15" ht="13.5" thickBot="1" x14ac:dyDescent="0.25">
      <c r="B45" s="225" t="s">
        <v>53</v>
      </c>
      <c r="C45" s="225"/>
      <c r="D45" s="225"/>
      <c r="E45" s="121"/>
      <c r="F45" s="122"/>
      <c r="G45" s="123"/>
      <c r="H45" s="124">
        <f>SUM(H43:H44)</f>
        <v>14.373996400000001</v>
      </c>
      <c r="I45" s="125"/>
      <c r="J45" s="125"/>
      <c r="K45" s="125"/>
      <c r="L45" s="126">
        <f>SUM(L43:L44)</f>
        <v>11.744738080000001</v>
      </c>
      <c r="M45" s="127"/>
      <c r="N45" s="128">
        <f t="shared" si="10"/>
        <v>-2.6292583199999999</v>
      </c>
      <c r="O45" s="129">
        <f t="shared" si="11"/>
        <v>-0.18291769712701469</v>
      </c>
    </row>
    <row r="46" spans="2:15" ht="8.25" customHeight="1" thickBot="1" x14ac:dyDescent="0.25">
      <c r="B46" s="83"/>
      <c r="C46" s="84"/>
      <c r="D46" s="85"/>
      <c r="E46" s="84"/>
      <c r="F46" s="130"/>
      <c r="G46" s="131"/>
      <c r="H46" s="161"/>
      <c r="I46" s="133"/>
      <c r="J46" s="130"/>
      <c r="K46" s="87"/>
      <c r="L46" s="174"/>
      <c r="M46" s="89"/>
      <c r="N46" s="146"/>
      <c r="O46" s="93"/>
    </row>
    <row r="47" spans="2:15" x14ac:dyDescent="0.2">
      <c r="B47" s="94" t="s">
        <v>54</v>
      </c>
      <c r="C47" s="26"/>
      <c r="D47" s="26"/>
      <c r="E47" s="26"/>
      <c r="F47" s="95"/>
      <c r="G47" s="96"/>
      <c r="H47" s="97">
        <f>SUM(H30:H34,H37:H39)</f>
        <v>26.576713600000001</v>
      </c>
      <c r="I47" s="98"/>
      <c r="J47" s="99"/>
      <c r="K47" s="99"/>
      <c r="L47" s="136">
        <f>SUM(L30:L34,L37:L39)</f>
        <v>24.562525599999997</v>
      </c>
      <c r="M47" s="101"/>
      <c r="N47" s="102">
        <f t="shared" ref="N47" si="14">L47-H47</f>
        <v>-2.0141880000000043</v>
      </c>
      <c r="O47" s="103">
        <f t="shared" ref="O47" si="15">IF((H47)=0,"",(N47/H47))</f>
        <v>-7.578770010149051E-2</v>
      </c>
    </row>
    <row r="48" spans="2:15" x14ac:dyDescent="0.2">
      <c r="B48" s="104" t="s">
        <v>50</v>
      </c>
      <c r="C48" s="26"/>
      <c r="D48" s="26"/>
      <c r="E48" s="26"/>
      <c r="F48" s="105">
        <v>0.13</v>
      </c>
      <c r="G48" s="116"/>
      <c r="H48" s="106">
        <f>H47*F48</f>
        <v>3.4549727680000002</v>
      </c>
      <c r="I48" s="107"/>
      <c r="J48" s="137">
        <v>0.13</v>
      </c>
      <c r="K48" s="107"/>
      <c r="L48" s="110">
        <f>L47*J48</f>
        <v>3.1931283279999998</v>
      </c>
      <c r="M48" s="111"/>
      <c r="N48" s="112">
        <f t="shared" si="10"/>
        <v>-0.2618444400000004</v>
      </c>
      <c r="O48" s="113">
        <f t="shared" si="11"/>
        <v>-7.5787700101490468E-2</v>
      </c>
    </row>
    <row r="49" spans="1:15" x14ac:dyDescent="0.2">
      <c r="B49" s="114" t="s">
        <v>51</v>
      </c>
      <c r="C49" s="26"/>
      <c r="D49" s="26"/>
      <c r="E49" s="26"/>
      <c r="F49" s="115"/>
      <c r="G49" s="116"/>
      <c r="H49" s="106">
        <f>H47+H48</f>
        <v>30.031686368000003</v>
      </c>
      <c r="I49" s="107"/>
      <c r="J49" s="107"/>
      <c r="K49" s="107"/>
      <c r="L49" s="110">
        <f>L47+L48</f>
        <v>27.755653927999997</v>
      </c>
      <c r="M49" s="111"/>
      <c r="N49" s="112">
        <f t="shared" si="10"/>
        <v>-2.2760324400000052</v>
      </c>
      <c r="O49" s="113">
        <f t="shared" si="11"/>
        <v>-7.578770010149051E-2</v>
      </c>
    </row>
    <row r="50" spans="1:15" x14ac:dyDescent="0.2">
      <c r="B50" s="232" t="s">
        <v>52</v>
      </c>
      <c r="C50" s="232"/>
      <c r="D50" s="232"/>
      <c r="E50" s="26"/>
      <c r="F50" s="115"/>
      <c r="G50" s="116"/>
      <c r="H50" s="117">
        <f>ROUND(-H49*10%,2)</f>
        <v>-3</v>
      </c>
      <c r="I50" s="107"/>
      <c r="J50" s="107"/>
      <c r="K50" s="107"/>
      <c r="L50" s="118">
        <f>ROUND(-L49*10%,2)</f>
        <v>-2.78</v>
      </c>
      <c r="M50" s="111"/>
      <c r="N50" s="119">
        <f t="shared" si="10"/>
        <v>0.2200000000000002</v>
      </c>
      <c r="O50" s="120">
        <f t="shared" si="11"/>
        <v>-7.3333333333333403E-2</v>
      </c>
    </row>
    <row r="51" spans="1:15" ht="13.5" thickBot="1" x14ac:dyDescent="0.25">
      <c r="B51" s="225" t="s">
        <v>55</v>
      </c>
      <c r="C51" s="225"/>
      <c r="D51" s="225"/>
      <c r="E51" s="121"/>
      <c r="F51" s="138"/>
      <c r="G51" s="139"/>
      <c r="H51" s="140">
        <f>H49+H50</f>
        <v>27.031686368000003</v>
      </c>
      <c r="I51" s="141"/>
      <c r="J51" s="141"/>
      <c r="K51" s="141"/>
      <c r="L51" s="142">
        <f>L49+L50</f>
        <v>24.975653927999996</v>
      </c>
      <c r="M51" s="143"/>
      <c r="N51" s="144">
        <f t="shared" si="10"/>
        <v>-2.0560324400000063</v>
      </c>
      <c r="O51" s="145">
        <f t="shared" si="11"/>
        <v>-7.6060087854301572E-2</v>
      </c>
    </row>
    <row r="52" spans="1:15" ht="8.25" customHeight="1" thickBot="1" x14ac:dyDescent="0.25">
      <c r="B52" s="83"/>
      <c r="C52" s="84"/>
      <c r="D52" s="85"/>
      <c r="E52" s="84"/>
      <c r="F52" s="130"/>
      <c r="G52" s="131"/>
      <c r="H52" s="132"/>
      <c r="I52" s="133"/>
      <c r="J52" s="130"/>
      <c r="K52" s="87"/>
      <c r="L52" s="134"/>
      <c r="M52" s="89"/>
      <c r="N52" s="135"/>
      <c r="O52" s="93"/>
    </row>
    <row r="53" spans="1:15" ht="10.5" customHeight="1" x14ac:dyDescent="0.2">
      <c r="L53" s="148"/>
    </row>
    <row r="54" spans="1:15" x14ac:dyDescent="0.2">
      <c r="B54" s="17" t="s">
        <v>56</v>
      </c>
      <c r="F54" s="149">
        <v>4.48E-2</v>
      </c>
      <c r="J54" s="149">
        <v>3.4200000000000001E-2</v>
      </c>
    </row>
    <row r="55" spans="1:15" ht="10.5" customHeight="1" x14ac:dyDescent="0.2"/>
    <row r="56" spans="1:15" ht="10.5" customHeight="1" x14ac:dyDescent="0.2">
      <c r="A56" s="150" t="s">
        <v>57</v>
      </c>
    </row>
    <row r="57" spans="1:15" ht="10.5" customHeight="1" x14ac:dyDescent="0.2"/>
    <row r="58" spans="1:15" x14ac:dyDescent="0.2">
      <c r="A58" s="11" t="s">
        <v>58</v>
      </c>
    </row>
    <row r="59" spans="1:15" x14ac:dyDescent="0.2">
      <c r="A59" s="11" t="s">
        <v>59</v>
      </c>
    </row>
    <row r="61" spans="1:15" x14ac:dyDescent="0.2">
      <c r="A61" s="11" t="s">
        <v>60</v>
      </c>
    </row>
    <row r="62" spans="1:15" x14ac:dyDescent="0.2">
      <c r="A62" s="11" t="s">
        <v>61</v>
      </c>
    </row>
    <row r="64" spans="1:15" x14ac:dyDescent="0.2">
      <c r="A64" s="11" t="s">
        <v>62</v>
      </c>
    </row>
    <row r="65" spans="1:1" x14ac:dyDescent="0.2">
      <c r="A65" s="11" t="s">
        <v>63</v>
      </c>
    </row>
    <row r="66" spans="1:1" x14ac:dyDescent="0.2">
      <c r="A66" s="11" t="s">
        <v>64</v>
      </c>
    </row>
    <row r="67" spans="1:1" x14ac:dyDescent="0.2">
      <c r="A67" s="11" t="s">
        <v>65</v>
      </c>
    </row>
    <row r="68" spans="1:1" x14ac:dyDescent="0.2">
      <c r="A68" s="11" t="s">
        <v>66</v>
      </c>
    </row>
  </sheetData>
  <sheetProtection selectLockedCells="1"/>
  <mergeCells count="14">
    <mergeCell ref="B51:D51"/>
    <mergeCell ref="D19:D20"/>
    <mergeCell ref="N19:N20"/>
    <mergeCell ref="O19:O20"/>
    <mergeCell ref="B44:D44"/>
    <mergeCell ref="B45:D45"/>
    <mergeCell ref="B50:D50"/>
    <mergeCell ref="A3:K3"/>
    <mergeCell ref="B10:O10"/>
    <mergeCell ref="B11:O11"/>
    <mergeCell ref="D14:O14"/>
    <mergeCell ref="F18:H18"/>
    <mergeCell ref="J18:L18"/>
    <mergeCell ref="N18:O18"/>
  </mergeCells>
  <dataValidations count="3">
    <dataValidation type="list" allowBlank="1" showInputMessage="1" showErrorMessage="1" sqref="E28:E29 E46 E52 E24:E26 E31:E34 E37:E40 E21:E22">
      <formula1>#REF!</formula1>
    </dataValidation>
    <dataValidation type="list" allowBlank="1" showInputMessage="1" showErrorMessage="1" prompt="Select Charge Unit - monthly, per kWh, per kW" sqref="D28:D29 D46 D52 D24:D26 D31:D40 D21:D22">
      <formula1>"Monthly, per kWh, per kW"</formula1>
    </dataValidation>
    <dataValidation type="list" allowBlank="1" showInputMessage="1" showErrorMessage="1" sqref="E35:E36">
      <formula1>#REF!</formula1>
    </dataValidation>
  </dataValidations>
  <pageMargins left="0.75" right="0.75" top="1" bottom="1" header="0.5" footer="0.5"/>
  <pageSetup scale="64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1</xdr:col>
                    <xdr:colOff>190500</xdr:colOff>
                    <xdr:row>0</xdr:row>
                    <xdr:rowOff>161925</xdr:rowOff>
                  </from>
                  <to>
                    <xdr:col>1</xdr:col>
                    <xdr:colOff>304800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1</xdr:col>
                    <xdr:colOff>285750</xdr:colOff>
                    <xdr:row>0</xdr:row>
                    <xdr:rowOff>161925</xdr:rowOff>
                  </from>
                  <to>
                    <xdr:col>1</xdr:col>
                    <xdr:colOff>542925</xdr:colOff>
                    <xdr:row>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6">
    <pageSetUpPr fitToPage="1"/>
  </sheetPr>
  <dimension ref="A1:U68"/>
  <sheetViews>
    <sheetView showGridLines="0" topLeftCell="A10" zoomScaleNormal="100" workbookViewId="0">
      <selection activeCell="J35" sqref="J35:J39"/>
    </sheetView>
  </sheetViews>
  <sheetFormatPr defaultColWidth="9.140625" defaultRowHeight="12.75" x14ac:dyDescent="0.2"/>
  <cols>
    <col min="1" max="1" width="1.28515625" style="11" customWidth="1"/>
    <col min="2" max="2" width="26.5703125" style="11" customWidth="1"/>
    <col min="3" max="3" width="1.28515625" style="11" customWidth="1"/>
    <col min="4" max="4" width="11.28515625" style="11" customWidth="1"/>
    <col min="5" max="5" width="1.28515625" style="11" customWidth="1"/>
    <col min="6" max="6" width="12.28515625" style="11" customWidth="1"/>
    <col min="7" max="7" width="8.5703125" style="11" customWidth="1"/>
    <col min="8" max="8" width="11.42578125" style="11" bestFit="1" customWidth="1"/>
    <col min="9" max="9" width="2.85546875" style="11" customWidth="1"/>
    <col min="10" max="10" width="12.140625" style="11" customWidth="1"/>
    <col min="11" max="11" width="8.5703125" style="11" customWidth="1"/>
    <col min="12" max="12" width="11.42578125" style="11" bestFit="1" customWidth="1"/>
    <col min="13" max="13" width="2.85546875" style="11" customWidth="1"/>
    <col min="14" max="14" width="12.7109375" style="11" bestFit="1" customWidth="1"/>
    <col min="15" max="15" width="12.28515625" style="11" bestFit="1" customWidth="1"/>
    <col min="16" max="16" width="3.85546875" style="11" customWidth="1"/>
    <col min="17" max="19" width="9.140625" style="11"/>
    <col min="20" max="20" width="0" style="11" hidden="1" customWidth="1"/>
    <col min="21" max="16384" width="9.140625" style="1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'[3]LDC Info'!$E$18</f>
        <v>EB-2012-0167</v>
      </c>
      <c r="P1" s="5"/>
      <c r="T1" s="2">
        <v>1</v>
      </c>
    </row>
    <row r="2" spans="1:20" s="2" customFormat="1" ht="1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N2" s="3" t="s">
        <v>1</v>
      </c>
      <c r="O2" s="7"/>
      <c r="P2" s="5"/>
    </row>
    <row r="3" spans="1:20" s="2" customFormat="1" ht="15" customHeight="1" x14ac:dyDescent="0.25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N3" s="3" t="s">
        <v>2</v>
      </c>
      <c r="O3" s="7"/>
      <c r="P3" s="5"/>
    </row>
    <row r="4" spans="1:20" s="2" customFormat="1" ht="15" customHeight="1" x14ac:dyDescent="0.25">
      <c r="A4" s="152"/>
      <c r="B4" s="152"/>
      <c r="C4" s="152"/>
      <c r="D4" s="152"/>
      <c r="E4" s="152"/>
      <c r="F4" s="152"/>
      <c r="G4" s="152"/>
      <c r="H4" s="152"/>
      <c r="I4" s="154"/>
      <c r="J4" s="154"/>
      <c r="K4" s="154"/>
      <c r="N4" s="3" t="s">
        <v>3</v>
      </c>
      <c r="O4" s="7"/>
      <c r="P4" s="5"/>
    </row>
    <row r="5" spans="1:20" s="2" customFormat="1" ht="15" customHeight="1" x14ac:dyDescent="0.25">
      <c r="C5" s="155"/>
      <c r="D5" s="155"/>
      <c r="E5" s="155"/>
      <c r="N5" s="3" t="s">
        <v>4</v>
      </c>
      <c r="O5" s="9"/>
      <c r="P5" s="5"/>
    </row>
    <row r="6" spans="1:20" s="2" customFormat="1" ht="9" customHeight="1" x14ac:dyDescent="0.2">
      <c r="N6" s="3"/>
      <c r="O6" s="4"/>
      <c r="P6" s="5"/>
    </row>
    <row r="7" spans="1:20" s="2" customFormat="1" x14ac:dyDescent="0.2">
      <c r="N7" s="3" t="s">
        <v>5</v>
      </c>
      <c r="O7" s="10">
        <v>41388</v>
      </c>
      <c r="P7" s="5"/>
    </row>
    <row r="8" spans="1:20" s="2" customFormat="1" ht="15" customHeight="1" x14ac:dyDescent="0.2">
      <c r="N8" s="11"/>
      <c r="O8" s="5"/>
      <c r="P8" s="5"/>
    </row>
    <row r="9" spans="1:20" ht="7.5" customHeight="1" x14ac:dyDescent="0.2">
      <c r="L9" s="5"/>
      <c r="M9" s="5"/>
      <c r="N9" s="5"/>
      <c r="O9" s="5"/>
      <c r="P9" s="5"/>
    </row>
    <row r="10" spans="1:20" ht="18.75" customHeight="1" x14ac:dyDescent="0.25">
      <c r="B10" s="220" t="s">
        <v>6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5"/>
    </row>
    <row r="11" spans="1:20" ht="18.75" customHeight="1" x14ac:dyDescent="0.25">
      <c r="B11" s="220" t="s">
        <v>7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5"/>
    </row>
    <row r="12" spans="1:20" ht="7.5" customHeight="1" x14ac:dyDescent="0.2">
      <c r="L12" s="5"/>
      <c r="M12" s="5"/>
      <c r="N12" s="5"/>
      <c r="O12" s="5"/>
      <c r="P12" s="5"/>
    </row>
    <row r="13" spans="1:20" ht="7.5" customHeight="1" x14ac:dyDescent="0.2">
      <c r="L13" s="5"/>
      <c r="M13" s="5"/>
      <c r="N13" s="5"/>
      <c r="O13" s="5"/>
      <c r="P13" s="5"/>
    </row>
    <row r="14" spans="1:20" ht="15.75" x14ac:dyDescent="0.2">
      <c r="B14" s="13" t="s">
        <v>9</v>
      </c>
      <c r="D14" s="221" t="s">
        <v>74</v>
      </c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</row>
    <row r="15" spans="1:20" ht="7.5" customHeight="1" x14ac:dyDescent="0.25">
      <c r="B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0" x14ac:dyDescent="0.2">
      <c r="B16" s="16"/>
      <c r="D16" s="17" t="s">
        <v>11</v>
      </c>
      <c r="E16" s="17"/>
      <c r="F16" s="18">
        <v>0.2</v>
      </c>
      <c r="G16" s="17" t="s">
        <v>69</v>
      </c>
    </row>
    <row r="17" spans="2:21" ht="10.5" customHeight="1" x14ac:dyDescent="0.2">
      <c r="B17" s="16"/>
    </row>
    <row r="18" spans="2:21" x14ac:dyDescent="0.2">
      <c r="B18" s="16"/>
      <c r="D18" s="19"/>
      <c r="E18" s="19"/>
      <c r="F18" s="222" t="s">
        <v>13</v>
      </c>
      <c r="G18" s="223"/>
      <c r="H18" s="224"/>
      <c r="J18" s="222" t="s">
        <v>14</v>
      </c>
      <c r="K18" s="223"/>
      <c r="L18" s="224"/>
      <c r="N18" s="222" t="s">
        <v>15</v>
      </c>
      <c r="O18" s="224"/>
    </row>
    <row r="19" spans="2:21" x14ac:dyDescent="0.2">
      <c r="B19" s="16"/>
      <c r="D19" s="226" t="s">
        <v>16</v>
      </c>
      <c r="E19" s="20"/>
      <c r="F19" s="21" t="s">
        <v>17</v>
      </c>
      <c r="G19" s="21" t="s">
        <v>18</v>
      </c>
      <c r="H19" s="22" t="s">
        <v>19</v>
      </c>
      <c r="J19" s="21" t="s">
        <v>17</v>
      </c>
      <c r="K19" s="23" t="s">
        <v>18</v>
      </c>
      <c r="L19" s="22" t="s">
        <v>19</v>
      </c>
      <c r="N19" s="228" t="s">
        <v>20</v>
      </c>
      <c r="O19" s="230" t="s">
        <v>21</v>
      </c>
    </row>
    <row r="20" spans="2:21" x14ac:dyDescent="0.2">
      <c r="B20" s="16"/>
      <c r="D20" s="227"/>
      <c r="E20" s="20"/>
      <c r="F20" s="24" t="s">
        <v>22</v>
      </c>
      <c r="G20" s="24"/>
      <c r="H20" s="25" t="s">
        <v>22</v>
      </c>
      <c r="J20" s="24" t="s">
        <v>22</v>
      </c>
      <c r="K20" s="25"/>
      <c r="L20" s="25" t="s">
        <v>22</v>
      </c>
      <c r="N20" s="229"/>
      <c r="O20" s="231"/>
    </row>
    <row r="21" spans="2:21" ht="15" x14ac:dyDescent="0.2">
      <c r="B21" s="26" t="s">
        <v>23</v>
      </c>
      <c r="C21" s="26"/>
      <c r="D21" s="27" t="s">
        <v>24</v>
      </c>
      <c r="E21" s="28"/>
      <c r="F21" s="29">
        <v>6.4</v>
      </c>
      <c r="G21" s="30">
        <v>1</v>
      </c>
      <c r="H21" s="31">
        <f>G21*F21</f>
        <v>6.4</v>
      </c>
      <c r="I21" s="32"/>
      <c r="J21" s="33">
        <v>6.66</v>
      </c>
      <c r="K21" s="34">
        <v>1</v>
      </c>
      <c r="L21" s="31">
        <f>K21*J21</f>
        <v>6.66</v>
      </c>
      <c r="M21" s="32"/>
      <c r="N21" s="35">
        <f>L21-H21</f>
        <v>0.25999999999999979</v>
      </c>
      <c r="O21" s="36">
        <f>IF((H21)=0,"",(N21/H21))</f>
        <v>4.0624999999999967E-2</v>
      </c>
    </row>
    <row r="22" spans="2:21" ht="15" x14ac:dyDescent="0.2">
      <c r="B22" s="26" t="s">
        <v>26</v>
      </c>
      <c r="C22" s="26"/>
      <c r="D22" s="27" t="s">
        <v>44</v>
      </c>
      <c r="E22" s="28"/>
      <c r="F22" s="29">
        <v>5.1349999999999998</v>
      </c>
      <c r="G22" s="30">
        <f>$F$16</f>
        <v>0.2</v>
      </c>
      <c r="H22" s="31">
        <f t="shared" ref="H22" si="0">G22*F22</f>
        <v>1.0269999999999999</v>
      </c>
      <c r="I22" s="32"/>
      <c r="J22" s="33">
        <v>5.3399000000000001</v>
      </c>
      <c r="K22" s="30">
        <f>$F$16</f>
        <v>0.2</v>
      </c>
      <c r="L22" s="31">
        <f t="shared" ref="L22" si="1">K22*J22</f>
        <v>1.0679800000000002</v>
      </c>
      <c r="M22" s="32"/>
      <c r="N22" s="35">
        <f t="shared" ref="N22:N23" si="2">L22-H22</f>
        <v>4.0980000000000238E-2</v>
      </c>
      <c r="O22" s="36">
        <f t="shared" ref="O22:O23" si="3">IF((H22)=0,"",(N22/H22))</f>
        <v>3.9902629016553302E-2</v>
      </c>
    </row>
    <row r="23" spans="2:21" s="51" customFormat="1" ht="15" x14ac:dyDescent="0.2">
      <c r="B23" s="40" t="s">
        <v>31</v>
      </c>
      <c r="C23" s="41"/>
      <c r="D23" s="42"/>
      <c r="E23" s="41"/>
      <c r="F23" s="176"/>
      <c r="G23" s="44"/>
      <c r="H23" s="169">
        <f>SUM(H21:H22)</f>
        <v>7.4270000000000005</v>
      </c>
      <c r="I23" s="46"/>
      <c r="J23" s="177"/>
      <c r="K23" s="48"/>
      <c r="L23" s="169">
        <f>SUM(L21:L22)</f>
        <v>7.7279800000000005</v>
      </c>
      <c r="M23" s="46"/>
      <c r="N23" s="170">
        <f t="shared" si="2"/>
        <v>0.30098000000000003</v>
      </c>
      <c r="O23" s="50">
        <f t="shared" si="3"/>
        <v>4.0525111081190252E-2</v>
      </c>
    </row>
    <row r="24" spans="2:21" ht="25.5" x14ac:dyDescent="0.25">
      <c r="B24" s="52" t="s">
        <v>32</v>
      </c>
      <c r="C24" s="26"/>
      <c r="D24" s="27" t="s">
        <v>44</v>
      </c>
      <c r="E24" s="28"/>
      <c r="F24" s="33">
        <v>-2.4060999999999999</v>
      </c>
      <c r="G24" s="30">
        <f>$F$16</f>
        <v>0.2</v>
      </c>
      <c r="H24" s="31">
        <f>G24*F24</f>
        <v>-0.48121999999999998</v>
      </c>
      <c r="I24" s="32"/>
      <c r="J24" s="33">
        <v>1.1274</v>
      </c>
      <c r="K24" s="30">
        <f>$F$16</f>
        <v>0.2</v>
      </c>
      <c r="L24" s="31">
        <f>K24*J24</f>
        <v>0.22548000000000001</v>
      </c>
      <c r="M24" s="32"/>
      <c r="N24" s="35">
        <f>L24-H24</f>
        <v>0.70669999999999999</v>
      </c>
      <c r="O24" s="36">
        <f>IF((H24)=0,"",(N24/H24))</f>
        <v>-1.4685590790075227</v>
      </c>
      <c r="P24" s="69"/>
      <c r="Q24" s="69"/>
      <c r="R24" s="69"/>
      <c r="S24" s="69"/>
      <c r="T24" s="69"/>
      <c r="U24" s="69"/>
    </row>
    <row r="25" spans="2:21" ht="15" x14ac:dyDescent="0.25">
      <c r="B25" s="52" t="s">
        <v>33</v>
      </c>
      <c r="C25" s="26"/>
      <c r="D25" s="27" t="s">
        <v>44</v>
      </c>
      <c r="E25" s="28"/>
      <c r="F25" s="29">
        <v>-0.4698</v>
      </c>
      <c r="G25" s="30">
        <f t="shared" ref="G25" si="4">$F$16</f>
        <v>0.2</v>
      </c>
      <c r="H25" s="31">
        <f t="shared" ref="H25" si="5">G25*F25</f>
        <v>-9.3960000000000002E-2</v>
      </c>
      <c r="I25" s="53"/>
      <c r="J25" s="33"/>
      <c r="K25" s="30">
        <f t="shared" ref="K25:K26" si="6">$F$16</f>
        <v>0.2</v>
      </c>
      <c r="L25" s="31">
        <f t="shared" ref="L25" si="7">K25*J25</f>
        <v>0</v>
      </c>
      <c r="M25" s="54"/>
      <c r="N25" s="35">
        <f t="shared" ref="N25" si="8">L25-H25</f>
        <v>9.3960000000000002E-2</v>
      </c>
      <c r="O25" s="36">
        <f t="shared" ref="O25" si="9">IF((H25)=0,"",(N25/H25))</f>
        <v>-1</v>
      </c>
      <c r="P25" s="69"/>
      <c r="Q25" s="69"/>
      <c r="R25" s="69"/>
      <c r="S25" s="69"/>
      <c r="T25" s="69"/>
      <c r="U25" s="69"/>
    </row>
    <row r="26" spans="2:21" ht="15" x14ac:dyDescent="0.2">
      <c r="B26" s="39" t="s">
        <v>34</v>
      </c>
      <c r="C26" s="26"/>
      <c r="D26" s="27"/>
      <c r="E26" s="28"/>
      <c r="F26" s="160"/>
      <c r="G26" s="57"/>
      <c r="H26" s="171"/>
      <c r="I26" s="32"/>
      <c r="J26" s="33"/>
      <c r="K26" s="30">
        <f t="shared" si="6"/>
        <v>0.2</v>
      </c>
      <c r="L26" s="31">
        <f>K26*J26</f>
        <v>0</v>
      </c>
      <c r="M26" s="32"/>
      <c r="N26" s="35">
        <f>L26-H26</f>
        <v>0</v>
      </c>
      <c r="O26" s="36"/>
      <c r="P26" s="183"/>
      <c r="Q26" s="184"/>
      <c r="R26" s="184"/>
      <c r="S26" s="184"/>
      <c r="T26" s="184"/>
      <c r="U26" s="184"/>
    </row>
    <row r="27" spans="2:21" ht="25.5" x14ac:dyDescent="0.2">
      <c r="B27" s="59" t="s">
        <v>35</v>
      </c>
      <c r="C27" s="60"/>
      <c r="D27" s="60"/>
      <c r="E27" s="60"/>
      <c r="F27" s="178"/>
      <c r="G27" s="62"/>
      <c r="H27" s="172">
        <f>SUM(H24:H25)+H23</f>
        <v>6.85182</v>
      </c>
      <c r="I27" s="46"/>
      <c r="J27" s="179"/>
      <c r="K27" s="64"/>
      <c r="L27" s="172">
        <f>SUM(L24:L25)+L23</f>
        <v>7.9534600000000006</v>
      </c>
      <c r="M27" s="46"/>
      <c r="N27" s="170">
        <f t="shared" ref="N27:N51" si="10">L27-H27</f>
        <v>1.1016400000000006</v>
      </c>
      <c r="O27" s="50">
        <f t="shared" ref="O27:O51" si="11">IF((H27)=0,"",(N27/H27))</f>
        <v>0.1607806393045936</v>
      </c>
    </row>
    <row r="28" spans="2:21" ht="15" x14ac:dyDescent="0.2">
      <c r="B28" s="32" t="s">
        <v>36</v>
      </c>
      <c r="C28" s="32"/>
      <c r="D28" s="65" t="s">
        <v>44</v>
      </c>
      <c r="E28" s="66"/>
      <c r="F28" s="33">
        <v>1.8420000000000001</v>
      </c>
      <c r="G28" s="67">
        <f>F16*(1+F54)</f>
        <v>0.20896000000000001</v>
      </c>
      <c r="H28" s="31">
        <f>G28*F28</f>
        <v>0.38490432000000002</v>
      </c>
      <c r="I28" s="32"/>
      <c r="J28" s="33">
        <v>1.8599000000000001</v>
      </c>
      <c r="K28" s="68">
        <f>F16*(1+J54)</f>
        <v>0.20684000000000002</v>
      </c>
      <c r="L28" s="31">
        <f>K28*J28</f>
        <v>0.38470171600000008</v>
      </c>
      <c r="M28" s="32"/>
      <c r="N28" s="35">
        <f t="shared" si="10"/>
        <v>-2.0260399999993961E-4</v>
      </c>
      <c r="O28" s="36">
        <f t="shared" si="11"/>
        <v>-5.2637497027817099E-4</v>
      </c>
    </row>
    <row r="29" spans="2:21" ht="25.5" x14ac:dyDescent="0.2">
      <c r="B29" s="70" t="s">
        <v>37</v>
      </c>
      <c r="C29" s="32"/>
      <c r="D29" s="65" t="s">
        <v>44</v>
      </c>
      <c r="E29" s="66"/>
      <c r="F29" s="33">
        <v>1.3778999999999999</v>
      </c>
      <c r="G29" s="67">
        <f>G28</f>
        <v>0.20896000000000001</v>
      </c>
      <c r="H29" s="31">
        <f>G29*F29</f>
        <v>0.28792598399999997</v>
      </c>
      <c r="I29" s="32"/>
      <c r="J29" s="33">
        <v>1.3327</v>
      </c>
      <c r="K29" s="68">
        <f>K28</f>
        <v>0.20684000000000002</v>
      </c>
      <c r="L29" s="31">
        <f>K29*J29</f>
        <v>0.27565566800000002</v>
      </c>
      <c r="M29" s="32"/>
      <c r="N29" s="35">
        <f t="shared" si="10"/>
        <v>-1.2270315999999948E-2</v>
      </c>
      <c r="O29" s="36">
        <f t="shared" si="11"/>
        <v>-4.2616216256466624E-2</v>
      </c>
    </row>
    <row r="30" spans="2:21" ht="25.5" x14ac:dyDescent="0.2">
      <c r="B30" s="59" t="s">
        <v>38</v>
      </c>
      <c r="C30" s="41"/>
      <c r="D30" s="41"/>
      <c r="E30" s="41"/>
      <c r="F30" s="180"/>
      <c r="G30" s="62"/>
      <c r="H30" s="172">
        <f>SUM(H27:H29)</f>
        <v>7.5246503040000006</v>
      </c>
      <c r="I30" s="72"/>
      <c r="J30" s="181"/>
      <c r="K30" s="74"/>
      <c r="L30" s="172">
        <f>SUM(L27:L29)</f>
        <v>8.6138173840000007</v>
      </c>
      <c r="M30" s="72"/>
      <c r="N30" s="170">
        <f t="shared" si="10"/>
        <v>1.0891670800000002</v>
      </c>
      <c r="O30" s="50">
        <f t="shared" si="11"/>
        <v>0.14474653784522237</v>
      </c>
    </row>
    <row r="31" spans="2:21" ht="25.5" x14ac:dyDescent="0.2">
      <c r="B31" s="75" t="s">
        <v>39</v>
      </c>
      <c r="C31" s="26"/>
      <c r="D31" s="27" t="s">
        <v>27</v>
      </c>
      <c r="E31" s="28"/>
      <c r="F31" s="76">
        <v>5.1999999999999998E-3</v>
      </c>
      <c r="G31" s="67">
        <f>70*(1+F54)</f>
        <v>73.135999999999996</v>
      </c>
      <c r="H31" s="77">
        <f t="shared" ref="H31:H39" si="12">G31*F31</f>
        <v>0.38030719999999996</v>
      </c>
      <c r="I31" s="32"/>
      <c r="J31" s="78">
        <v>4.4000000000000003E-3</v>
      </c>
      <c r="K31" s="68">
        <f>70*(1+J54)</f>
        <v>72.394000000000005</v>
      </c>
      <c r="L31" s="77">
        <f t="shared" ref="L31:L39" si="13">K31*J31</f>
        <v>0.31853360000000003</v>
      </c>
      <c r="M31" s="32"/>
      <c r="N31" s="35">
        <f t="shared" si="10"/>
        <v>-6.1773599999999929E-2</v>
      </c>
      <c r="O31" s="79">
        <f t="shared" si="11"/>
        <v>-0.1624307927906701</v>
      </c>
    </row>
    <row r="32" spans="2:21" ht="25.5" x14ac:dyDescent="0.2">
      <c r="B32" s="75" t="s">
        <v>40</v>
      </c>
      <c r="C32" s="26"/>
      <c r="D32" s="27" t="s">
        <v>27</v>
      </c>
      <c r="E32" s="28"/>
      <c r="F32" s="76">
        <v>1.1000000000000001E-3</v>
      </c>
      <c r="G32" s="67">
        <f>+G31</f>
        <v>73.135999999999996</v>
      </c>
      <c r="H32" s="77">
        <f t="shared" si="12"/>
        <v>8.0449599999999996E-2</v>
      </c>
      <c r="I32" s="32"/>
      <c r="J32" s="78">
        <v>1.1999999999999999E-3</v>
      </c>
      <c r="K32" s="68">
        <f>+K31</f>
        <v>72.394000000000005</v>
      </c>
      <c r="L32" s="77">
        <f t="shared" si="13"/>
        <v>8.68728E-2</v>
      </c>
      <c r="M32" s="32"/>
      <c r="N32" s="35">
        <f t="shared" si="10"/>
        <v>6.4232000000000039E-3</v>
      </c>
      <c r="O32" s="79">
        <f t="shared" si="11"/>
        <v>7.9841291939301173E-2</v>
      </c>
    </row>
    <row r="33" spans="2:15" x14ac:dyDescent="0.2">
      <c r="B33" s="26" t="s">
        <v>41</v>
      </c>
      <c r="C33" s="26"/>
      <c r="D33" s="27" t="s">
        <v>24</v>
      </c>
      <c r="E33" s="28"/>
      <c r="F33" s="76">
        <v>0.25</v>
      </c>
      <c r="G33" s="30">
        <v>1</v>
      </c>
      <c r="H33" s="77">
        <f t="shared" si="12"/>
        <v>0.25</v>
      </c>
      <c r="I33" s="32"/>
      <c r="J33" s="78">
        <v>0.25</v>
      </c>
      <c r="K33" s="34">
        <v>1</v>
      </c>
      <c r="L33" s="77">
        <f t="shared" si="13"/>
        <v>0.25</v>
      </c>
      <c r="M33" s="32"/>
      <c r="N33" s="35">
        <f t="shared" si="10"/>
        <v>0</v>
      </c>
      <c r="O33" s="79">
        <f t="shared" si="11"/>
        <v>0</v>
      </c>
    </row>
    <row r="34" spans="2:15" x14ac:dyDescent="0.2">
      <c r="B34" s="26" t="s">
        <v>42</v>
      </c>
      <c r="C34" s="26"/>
      <c r="D34" s="27" t="s">
        <v>27</v>
      </c>
      <c r="E34" s="28"/>
      <c r="F34" s="76">
        <v>7.0000000000000001E-3</v>
      </c>
      <c r="G34" s="67">
        <f>G32</f>
        <v>73.135999999999996</v>
      </c>
      <c r="H34" s="77">
        <f t="shared" si="12"/>
        <v>0.51195199999999996</v>
      </c>
      <c r="I34" s="32"/>
      <c r="J34" s="78">
        <v>7.0000000000000001E-3</v>
      </c>
      <c r="K34" s="68">
        <f>K32</f>
        <v>72.394000000000005</v>
      </c>
      <c r="L34" s="77">
        <f t="shared" si="13"/>
        <v>0.50675800000000004</v>
      </c>
      <c r="M34" s="32"/>
      <c r="N34" s="35">
        <f t="shared" si="10"/>
        <v>-5.1939999999999209E-3</v>
      </c>
      <c r="O34" s="79">
        <f t="shared" si="11"/>
        <v>-1.0145482388973812E-2</v>
      </c>
    </row>
    <row r="35" spans="2:15" x14ac:dyDescent="0.2">
      <c r="B35" s="39" t="s">
        <v>43</v>
      </c>
      <c r="C35" s="26"/>
      <c r="D35" s="27" t="s">
        <v>27</v>
      </c>
      <c r="E35" s="28"/>
      <c r="F35" s="80">
        <v>7.3999999999999996E-2</v>
      </c>
      <c r="G35" s="67"/>
      <c r="H35" s="77">
        <f>G35*F35</f>
        <v>0</v>
      </c>
      <c r="I35" s="32"/>
      <c r="J35" s="80">
        <v>7.8E-2</v>
      </c>
      <c r="K35" s="67"/>
      <c r="L35" s="77">
        <f>K35*J35</f>
        <v>0</v>
      </c>
      <c r="M35" s="32"/>
      <c r="N35" s="35">
        <f t="shared" si="10"/>
        <v>0</v>
      </c>
      <c r="O35" s="79" t="str">
        <f t="shared" si="11"/>
        <v/>
      </c>
    </row>
    <row r="36" spans="2:15" x14ac:dyDescent="0.2">
      <c r="B36" s="39" t="s">
        <v>45</v>
      </c>
      <c r="C36" s="26"/>
      <c r="D36" s="27" t="s">
        <v>27</v>
      </c>
      <c r="E36" s="28"/>
      <c r="F36" s="80">
        <v>8.6999999999999994E-2</v>
      </c>
      <c r="G36" s="67"/>
      <c r="H36" s="77">
        <f>G36*F36</f>
        <v>0</v>
      </c>
      <c r="I36" s="32"/>
      <c r="J36" s="80">
        <v>9.0999999999999998E-2</v>
      </c>
      <c r="K36" s="67"/>
      <c r="L36" s="77">
        <f>K36*J36</f>
        <v>0</v>
      </c>
      <c r="M36" s="32"/>
      <c r="N36" s="35">
        <f t="shared" si="10"/>
        <v>0</v>
      </c>
      <c r="O36" s="79" t="str">
        <f t="shared" si="11"/>
        <v/>
      </c>
    </row>
    <row r="37" spans="2:15" x14ac:dyDescent="0.2">
      <c r="B37" s="39" t="s">
        <v>46</v>
      </c>
      <c r="C37" s="26"/>
      <c r="D37" s="27" t="s">
        <v>27</v>
      </c>
      <c r="E37" s="28"/>
      <c r="F37" s="80">
        <v>6.3E-2</v>
      </c>
      <c r="G37" s="81">
        <f>G31*0.64</f>
        <v>46.807040000000001</v>
      </c>
      <c r="H37" s="77">
        <f>G37*F37</f>
        <v>2.9488435200000001</v>
      </c>
      <c r="I37" s="32"/>
      <c r="J37" s="80">
        <v>6.7000000000000004E-2</v>
      </c>
      <c r="K37" s="217">
        <f>K31*0.64</f>
        <v>46.332160000000002</v>
      </c>
      <c r="L37" s="77">
        <f t="shared" si="13"/>
        <v>3.1042547200000001</v>
      </c>
      <c r="M37" s="32"/>
      <c r="N37" s="35">
        <f t="shared" si="10"/>
        <v>0.15541120000000008</v>
      </c>
      <c r="O37" s="79">
        <f t="shared" si="11"/>
        <v>5.2702423491091208E-2</v>
      </c>
    </row>
    <row r="38" spans="2:15" x14ac:dyDescent="0.2">
      <c r="B38" s="39" t="s">
        <v>47</v>
      </c>
      <c r="C38" s="26"/>
      <c r="D38" s="27" t="s">
        <v>27</v>
      </c>
      <c r="E38" s="28"/>
      <c r="F38" s="80">
        <v>9.9000000000000005E-2</v>
      </c>
      <c r="G38" s="81">
        <f>+G31*0.18</f>
        <v>13.164479999999999</v>
      </c>
      <c r="H38" s="77">
        <f t="shared" si="12"/>
        <v>1.3032835199999999</v>
      </c>
      <c r="I38" s="32"/>
      <c r="J38" s="80">
        <v>0.104</v>
      </c>
      <c r="K38" s="217">
        <f>+K31*0.18</f>
        <v>13.03092</v>
      </c>
      <c r="L38" s="77">
        <f t="shared" si="13"/>
        <v>1.3552156799999999</v>
      </c>
      <c r="M38" s="32"/>
      <c r="N38" s="35">
        <f t="shared" si="10"/>
        <v>5.1932160000000005E-2</v>
      </c>
      <c r="O38" s="79">
        <f t="shared" si="11"/>
        <v>3.9847170015623316E-2</v>
      </c>
    </row>
    <row r="39" spans="2:15" ht="13.5" thickBot="1" x14ac:dyDescent="0.25">
      <c r="B39" s="16" t="s">
        <v>48</v>
      </c>
      <c r="C39" s="26"/>
      <c r="D39" s="27" t="s">
        <v>27</v>
      </c>
      <c r="E39" s="28"/>
      <c r="F39" s="80">
        <v>0.11799999999999999</v>
      </c>
      <c r="G39" s="81">
        <f>+G31*0.18</f>
        <v>13.164479999999999</v>
      </c>
      <c r="H39" s="77">
        <f t="shared" si="12"/>
        <v>1.5534086399999998</v>
      </c>
      <c r="I39" s="32"/>
      <c r="J39" s="80">
        <v>0.124</v>
      </c>
      <c r="K39" s="217">
        <f>+K31*0.18</f>
        <v>13.03092</v>
      </c>
      <c r="L39" s="77">
        <f t="shared" si="13"/>
        <v>1.61583408</v>
      </c>
      <c r="M39" s="32"/>
      <c r="N39" s="35">
        <f t="shared" si="10"/>
        <v>6.2425440000000165E-2</v>
      </c>
      <c r="O39" s="79">
        <f t="shared" si="11"/>
        <v>4.0186103252264758E-2</v>
      </c>
    </row>
    <row r="40" spans="2:15" ht="8.25" customHeight="1" thickBot="1" x14ac:dyDescent="0.25">
      <c r="B40" s="83"/>
      <c r="C40" s="84"/>
      <c r="D40" s="85"/>
      <c r="E40" s="84"/>
      <c r="F40" s="86"/>
      <c r="G40" s="87"/>
      <c r="H40" s="88"/>
      <c r="I40" s="89"/>
      <c r="J40" s="86"/>
      <c r="K40" s="90"/>
      <c r="L40" s="88"/>
      <c r="M40" s="89"/>
      <c r="N40" s="173"/>
      <c r="O40" s="93"/>
    </row>
    <row r="41" spans="2:15" x14ac:dyDescent="0.2">
      <c r="B41" s="94" t="s">
        <v>49</v>
      </c>
      <c r="C41" s="26"/>
      <c r="D41" s="26"/>
      <c r="E41" s="26"/>
      <c r="F41" s="95"/>
      <c r="G41" s="96"/>
      <c r="H41" s="97">
        <f>SUM(H30:H36)</f>
        <v>8.7473591040000009</v>
      </c>
      <c r="I41" s="98"/>
      <c r="J41" s="99"/>
      <c r="K41" s="99"/>
      <c r="L41" s="100">
        <f>SUM(L30:L36)</f>
        <v>9.7759817840000007</v>
      </c>
      <c r="M41" s="101"/>
      <c r="N41" s="102">
        <f t="shared" si="10"/>
        <v>1.0286226799999998</v>
      </c>
      <c r="O41" s="103">
        <f t="shared" si="11"/>
        <v>0.11759236905337866</v>
      </c>
    </row>
    <row r="42" spans="2:15" x14ac:dyDescent="0.2">
      <c r="B42" s="104" t="s">
        <v>50</v>
      </c>
      <c r="C42" s="26"/>
      <c r="D42" s="26"/>
      <c r="E42" s="26"/>
      <c r="F42" s="105">
        <v>0.13</v>
      </c>
      <c r="G42" s="96"/>
      <c r="H42" s="106">
        <f>H41*F42</f>
        <v>1.1371566835200002</v>
      </c>
      <c r="I42" s="107"/>
      <c r="J42" s="108">
        <v>0.13</v>
      </c>
      <c r="K42" s="109"/>
      <c r="L42" s="110">
        <f>L41*J42</f>
        <v>1.2708776319200001</v>
      </c>
      <c r="M42" s="111"/>
      <c r="N42" s="112">
        <f t="shared" si="10"/>
        <v>0.13372094839999993</v>
      </c>
      <c r="O42" s="113">
        <f t="shared" si="11"/>
        <v>0.11759236905337861</v>
      </c>
    </row>
    <row r="43" spans="2:15" x14ac:dyDescent="0.2">
      <c r="B43" s="114" t="s">
        <v>51</v>
      </c>
      <c r="C43" s="26"/>
      <c r="D43" s="26"/>
      <c r="E43" s="26"/>
      <c r="F43" s="115"/>
      <c r="G43" s="116"/>
      <c r="H43" s="106">
        <f>H41+H42</f>
        <v>9.8845157875200016</v>
      </c>
      <c r="I43" s="107"/>
      <c r="J43" s="107"/>
      <c r="K43" s="107"/>
      <c r="L43" s="110">
        <f>L41+L42</f>
        <v>11.04685941592</v>
      </c>
      <c r="M43" s="111"/>
      <c r="N43" s="112">
        <f t="shared" si="10"/>
        <v>1.1623436283999986</v>
      </c>
      <c r="O43" s="113">
        <f t="shared" si="11"/>
        <v>0.11759236905337854</v>
      </c>
    </row>
    <row r="44" spans="2:15" x14ac:dyDescent="0.2">
      <c r="B44" s="232" t="s">
        <v>52</v>
      </c>
      <c r="C44" s="232"/>
      <c r="D44" s="232"/>
      <c r="E44" s="26"/>
      <c r="F44" s="115"/>
      <c r="G44" s="116"/>
      <c r="H44" s="117">
        <f>ROUND(-H43*10%,2)</f>
        <v>-0.99</v>
      </c>
      <c r="I44" s="107"/>
      <c r="J44" s="107"/>
      <c r="K44" s="107"/>
      <c r="L44" s="118">
        <f>ROUND(-L43*10%,2)</f>
        <v>-1.1000000000000001</v>
      </c>
      <c r="M44" s="111"/>
      <c r="N44" s="119">
        <f t="shared" si="10"/>
        <v>-0.1100000000000001</v>
      </c>
      <c r="O44" s="120">
        <f t="shared" si="11"/>
        <v>0.11111111111111122</v>
      </c>
    </row>
    <row r="45" spans="2:15" ht="13.5" thickBot="1" x14ac:dyDescent="0.25">
      <c r="B45" s="225" t="s">
        <v>53</v>
      </c>
      <c r="C45" s="225"/>
      <c r="D45" s="225"/>
      <c r="E45" s="121"/>
      <c r="F45" s="122"/>
      <c r="G45" s="123"/>
      <c r="H45" s="124">
        <f>SUM(H43:H44)</f>
        <v>8.8945157875200014</v>
      </c>
      <c r="I45" s="125"/>
      <c r="J45" s="125"/>
      <c r="K45" s="125"/>
      <c r="L45" s="126">
        <f>SUM(L43:L44)</f>
        <v>9.9468594159200006</v>
      </c>
      <c r="M45" s="127"/>
      <c r="N45" s="128">
        <f t="shared" si="10"/>
        <v>1.0523436283999992</v>
      </c>
      <c r="O45" s="129">
        <f t="shared" si="11"/>
        <v>0.11831376249582409</v>
      </c>
    </row>
    <row r="46" spans="2:15" ht="8.25" customHeight="1" thickBot="1" x14ac:dyDescent="0.25">
      <c r="B46" s="83"/>
      <c r="C46" s="84"/>
      <c r="D46" s="85"/>
      <c r="E46" s="84"/>
      <c r="F46" s="130"/>
      <c r="G46" s="131"/>
      <c r="H46" s="161"/>
      <c r="I46" s="133"/>
      <c r="J46" s="130"/>
      <c r="K46" s="87"/>
      <c r="L46" s="174"/>
      <c r="M46" s="89"/>
      <c r="N46" s="146"/>
      <c r="O46" s="93"/>
    </row>
    <row r="47" spans="2:15" x14ac:dyDescent="0.2">
      <c r="B47" s="94" t="s">
        <v>54</v>
      </c>
      <c r="C47" s="26"/>
      <c r="D47" s="26"/>
      <c r="E47" s="26"/>
      <c r="F47" s="95"/>
      <c r="G47" s="96"/>
      <c r="H47" s="97">
        <f>SUM(H30:H34,H37:H39)</f>
        <v>14.552894784000003</v>
      </c>
      <c r="I47" s="98"/>
      <c r="J47" s="99"/>
      <c r="K47" s="99"/>
      <c r="L47" s="136">
        <f>SUM(L30:L34,L37:L39)</f>
        <v>15.851286264000002</v>
      </c>
      <c r="M47" s="101"/>
      <c r="N47" s="102">
        <f t="shared" ref="N47" si="14">L47-H47</f>
        <v>1.2983914799999994</v>
      </c>
      <c r="O47" s="103">
        <f t="shared" ref="O47" si="15">IF((H47)=0,"",(N47/H47))</f>
        <v>8.9218777382181008E-2</v>
      </c>
    </row>
    <row r="48" spans="2:15" x14ac:dyDescent="0.2">
      <c r="B48" s="104" t="s">
        <v>50</v>
      </c>
      <c r="C48" s="26"/>
      <c r="D48" s="26"/>
      <c r="E48" s="26"/>
      <c r="F48" s="105">
        <v>0.13</v>
      </c>
      <c r="G48" s="116"/>
      <c r="H48" s="106">
        <f>H47*F48</f>
        <v>1.8918763219200005</v>
      </c>
      <c r="I48" s="107"/>
      <c r="J48" s="137">
        <v>0.13</v>
      </c>
      <c r="K48" s="107"/>
      <c r="L48" s="110">
        <f>L47*J48</f>
        <v>2.0606672143200004</v>
      </c>
      <c r="M48" s="111"/>
      <c r="N48" s="112">
        <f t="shared" si="10"/>
        <v>0.16879089239999989</v>
      </c>
      <c r="O48" s="113">
        <f t="shared" si="11"/>
        <v>8.921877738218098E-2</v>
      </c>
    </row>
    <row r="49" spans="1:15" x14ac:dyDescent="0.2">
      <c r="B49" s="114" t="s">
        <v>51</v>
      </c>
      <c r="C49" s="26"/>
      <c r="D49" s="26"/>
      <c r="E49" s="26"/>
      <c r="F49" s="115"/>
      <c r="G49" s="116"/>
      <c r="H49" s="106">
        <f>H47+H48</f>
        <v>16.444771105920005</v>
      </c>
      <c r="I49" s="107"/>
      <c r="J49" s="107"/>
      <c r="K49" s="107"/>
      <c r="L49" s="110">
        <f>L47+L48</f>
        <v>17.911953478320001</v>
      </c>
      <c r="M49" s="111"/>
      <c r="N49" s="112">
        <f t="shared" si="10"/>
        <v>1.4671823723999964</v>
      </c>
      <c r="O49" s="113">
        <f t="shared" si="11"/>
        <v>8.9218777382180814E-2</v>
      </c>
    </row>
    <row r="50" spans="1:15" x14ac:dyDescent="0.2">
      <c r="B50" s="232" t="s">
        <v>52</v>
      </c>
      <c r="C50" s="232"/>
      <c r="D50" s="232"/>
      <c r="E50" s="26"/>
      <c r="F50" s="115"/>
      <c r="G50" s="116"/>
      <c r="H50" s="117">
        <f>ROUND(-H49*10%,2)</f>
        <v>-1.64</v>
      </c>
      <c r="I50" s="107"/>
      <c r="J50" s="107"/>
      <c r="K50" s="107"/>
      <c r="L50" s="118">
        <f>ROUND(-L49*10%,2)</f>
        <v>-1.79</v>
      </c>
      <c r="M50" s="111"/>
      <c r="N50" s="119">
        <f t="shared" si="10"/>
        <v>-0.15000000000000013</v>
      </c>
      <c r="O50" s="120">
        <f t="shared" si="11"/>
        <v>9.1463414634146423E-2</v>
      </c>
    </row>
    <row r="51" spans="1:15" ht="13.5" thickBot="1" x14ac:dyDescent="0.25">
      <c r="B51" s="225" t="s">
        <v>55</v>
      </c>
      <c r="C51" s="225"/>
      <c r="D51" s="225"/>
      <c r="E51" s="121"/>
      <c r="F51" s="138"/>
      <c r="G51" s="139"/>
      <c r="H51" s="140">
        <f>H49+H50</f>
        <v>14.804771105920004</v>
      </c>
      <c r="I51" s="141"/>
      <c r="J51" s="141"/>
      <c r="K51" s="141"/>
      <c r="L51" s="142">
        <f>L49+L50</f>
        <v>16.121953478320002</v>
      </c>
      <c r="M51" s="143"/>
      <c r="N51" s="144">
        <f t="shared" si="10"/>
        <v>1.3171823723999978</v>
      </c>
      <c r="O51" s="145">
        <f t="shared" si="11"/>
        <v>8.8970127466090593E-2</v>
      </c>
    </row>
    <row r="52" spans="1:15" ht="8.25" customHeight="1" thickBot="1" x14ac:dyDescent="0.25">
      <c r="B52" s="83"/>
      <c r="C52" s="84"/>
      <c r="D52" s="85"/>
      <c r="E52" s="84"/>
      <c r="F52" s="130"/>
      <c r="G52" s="131"/>
      <c r="H52" s="132"/>
      <c r="I52" s="133"/>
      <c r="J52" s="130"/>
      <c r="K52" s="87"/>
      <c r="L52" s="134"/>
      <c r="M52" s="89"/>
      <c r="N52" s="135"/>
      <c r="O52" s="147"/>
    </row>
    <row r="53" spans="1:15" ht="10.5" customHeight="1" x14ac:dyDescent="0.2">
      <c r="L53" s="148"/>
    </row>
    <row r="54" spans="1:15" x14ac:dyDescent="0.2">
      <c r="B54" s="17" t="s">
        <v>56</v>
      </c>
      <c r="F54" s="149">
        <v>4.48E-2</v>
      </c>
      <c r="J54" s="149">
        <v>3.4200000000000001E-2</v>
      </c>
    </row>
    <row r="55" spans="1:15" ht="10.5" customHeight="1" x14ac:dyDescent="0.2"/>
    <row r="56" spans="1:15" ht="10.5" customHeight="1" x14ac:dyDescent="0.2">
      <c r="A56" s="150" t="s">
        <v>57</v>
      </c>
    </row>
    <row r="57" spans="1:15" ht="10.5" customHeight="1" x14ac:dyDescent="0.2"/>
    <row r="58" spans="1:15" x14ac:dyDescent="0.2">
      <c r="A58" s="11" t="s">
        <v>58</v>
      </c>
    </row>
    <row r="59" spans="1:15" x14ac:dyDescent="0.2">
      <c r="A59" s="11" t="s">
        <v>59</v>
      </c>
    </row>
    <row r="61" spans="1:15" x14ac:dyDescent="0.2">
      <c r="A61" s="11" t="s">
        <v>60</v>
      </c>
    </row>
    <row r="62" spans="1:15" x14ac:dyDescent="0.2">
      <c r="A62" s="11" t="s">
        <v>61</v>
      </c>
    </row>
    <row r="64" spans="1:15" x14ac:dyDescent="0.2">
      <c r="A64" s="11" t="s">
        <v>62</v>
      </c>
    </row>
    <row r="65" spans="1:1" x14ac:dyDescent="0.2">
      <c r="A65" s="11" t="s">
        <v>63</v>
      </c>
    </row>
    <row r="66" spans="1:1" x14ac:dyDescent="0.2">
      <c r="A66" s="11" t="s">
        <v>64</v>
      </c>
    </row>
    <row r="67" spans="1:1" x14ac:dyDescent="0.2">
      <c r="A67" s="11" t="s">
        <v>65</v>
      </c>
    </row>
    <row r="68" spans="1:1" x14ac:dyDescent="0.2">
      <c r="A68" s="11" t="s">
        <v>66</v>
      </c>
    </row>
  </sheetData>
  <sheetProtection selectLockedCells="1"/>
  <mergeCells count="14">
    <mergeCell ref="B51:D51"/>
    <mergeCell ref="D19:D20"/>
    <mergeCell ref="N19:N20"/>
    <mergeCell ref="O19:O20"/>
    <mergeCell ref="B44:D44"/>
    <mergeCell ref="B45:D45"/>
    <mergeCell ref="B50:D50"/>
    <mergeCell ref="A3:K3"/>
    <mergeCell ref="B10:O10"/>
    <mergeCell ref="B11:O11"/>
    <mergeCell ref="D14:O14"/>
    <mergeCell ref="F18:H18"/>
    <mergeCell ref="J18:L18"/>
    <mergeCell ref="N18:O18"/>
  </mergeCells>
  <dataValidations count="3">
    <dataValidation type="list" allowBlank="1" showInputMessage="1" showErrorMessage="1" sqref="E35:E36">
      <formula1>#REF!</formula1>
    </dataValidation>
    <dataValidation type="list" allowBlank="1" showInputMessage="1" showErrorMessage="1" prompt="Select Charge Unit - monthly, per kWh, per kW" sqref="D28:D29 D46 D52 D24:D26 D31:D40 D21:D22">
      <formula1>"Monthly, per kWh, per kW"</formula1>
    </dataValidation>
    <dataValidation type="list" allowBlank="1" showInputMessage="1" showErrorMessage="1" sqref="E28:E29 E46 E52 E24:E26 E31:E34 E37:E40 E21:E22">
      <formula1>#REF!</formula1>
    </dataValidation>
  </dataValidations>
  <pageMargins left="0.75" right="0.75" top="1" bottom="1" header="0.5" footer="0.5"/>
  <pageSetup scale="65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</xdr:col>
                    <xdr:colOff>228600</xdr:colOff>
                    <xdr:row>0</xdr:row>
                    <xdr:rowOff>190500</xdr:rowOff>
                  </from>
                  <to>
                    <xdr:col>1</xdr:col>
                    <xdr:colOff>352425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333375</xdr:colOff>
                    <xdr:row>0</xdr:row>
                    <xdr:rowOff>190500</xdr:rowOff>
                  </from>
                  <to>
                    <xdr:col>1</xdr:col>
                    <xdr:colOff>628650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1">
    <pageSetUpPr fitToPage="1"/>
  </sheetPr>
  <dimension ref="A1:T69"/>
  <sheetViews>
    <sheetView showGridLines="0" topLeftCell="A10" zoomScaleNormal="100" workbookViewId="0">
      <selection activeCell="J36" sqref="J36:J40"/>
    </sheetView>
  </sheetViews>
  <sheetFormatPr defaultColWidth="9.140625" defaultRowHeight="12.75" x14ac:dyDescent="0.2"/>
  <cols>
    <col min="1" max="1" width="1.28515625" style="11" customWidth="1"/>
    <col min="2" max="2" width="26.5703125" style="11" customWidth="1"/>
    <col min="3" max="3" width="1.28515625" style="11" customWidth="1"/>
    <col min="4" max="4" width="11.28515625" style="11" customWidth="1"/>
    <col min="5" max="5" width="1.28515625" style="11" customWidth="1"/>
    <col min="6" max="6" width="12.28515625" style="11" customWidth="1"/>
    <col min="7" max="7" width="8.5703125" style="11" customWidth="1"/>
    <col min="8" max="8" width="12.28515625" style="11" bestFit="1" customWidth="1"/>
    <col min="9" max="9" width="2.85546875" style="11" customWidth="1"/>
    <col min="10" max="10" width="12.140625" style="11" customWidth="1"/>
    <col min="11" max="11" width="8.5703125" style="11" customWidth="1"/>
    <col min="12" max="12" width="12.28515625" style="11" bestFit="1" customWidth="1"/>
    <col min="13" max="13" width="2.85546875" style="11" customWidth="1"/>
    <col min="14" max="14" width="12.7109375" style="11" bestFit="1" customWidth="1"/>
    <col min="15" max="15" width="12.28515625" style="11" bestFit="1" customWidth="1"/>
    <col min="16" max="16" width="3.85546875" style="11" customWidth="1"/>
    <col min="17" max="19" width="9.140625" style="11"/>
    <col min="20" max="20" width="0" style="11" hidden="1" customWidth="1"/>
    <col min="21" max="16384" width="9.140625" style="1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'[3]LDC Info'!$E$18</f>
        <v>EB-2012-0167</v>
      </c>
      <c r="P1" s="5"/>
      <c r="T1" s="2">
        <v>1</v>
      </c>
    </row>
    <row r="2" spans="1:20" s="2" customFormat="1" ht="1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N2" s="3" t="s">
        <v>1</v>
      </c>
      <c r="O2" s="7"/>
      <c r="P2" s="5"/>
    </row>
    <row r="3" spans="1:20" s="2" customFormat="1" ht="15" customHeight="1" x14ac:dyDescent="0.25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N3" s="3" t="s">
        <v>2</v>
      </c>
      <c r="O3" s="7"/>
      <c r="P3" s="5"/>
    </row>
    <row r="4" spans="1:20" s="2" customFormat="1" ht="15" customHeight="1" x14ac:dyDescent="0.25">
      <c r="A4" s="152"/>
      <c r="B4" s="152"/>
      <c r="C4" s="152"/>
      <c r="D4" s="152"/>
      <c r="E4" s="152"/>
      <c r="F4" s="152"/>
      <c r="G4" s="152"/>
      <c r="H4" s="152"/>
      <c r="I4" s="154"/>
      <c r="J4" s="154"/>
      <c r="K4" s="154"/>
      <c r="N4" s="3" t="s">
        <v>3</v>
      </c>
      <c r="O4" s="7"/>
      <c r="P4" s="5"/>
    </row>
    <row r="5" spans="1:20" s="2" customFormat="1" ht="15" customHeight="1" x14ac:dyDescent="0.25">
      <c r="C5" s="155"/>
      <c r="D5" s="155"/>
      <c r="E5" s="155"/>
      <c r="N5" s="3" t="s">
        <v>4</v>
      </c>
      <c r="O5" s="9"/>
      <c r="P5" s="5"/>
    </row>
    <row r="6" spans="1:20" s="2" customFormat="1" ht="9" customHeight="1" x14ac:dyDescent="0.2">
      <c r="N6" s="3"/>
      <c r="O6" s="4"/>
      <c r="P6" s="5"/>
    </row>
    <row r="7" spans="1:20" s="2" customFormat="1" x14ac:dyDescent="0.2">
      <c r="N7" s="3" t="s">
        <v>5</v>
      </c>
      <c r="O7" s="10">
        <v>41388</v>
      </c>
      <c r="P7" s="5"/>
    </row>
    <row r="8" spans="1:20" s="2" customFormat="1" ht="15" customHeight="1" x14ac:dyDescent="0.2">
      <c r="N8" s="11"/>
      <c r="O8" s="5"/>
      <c r="P8" s="5"/>
    </row>
    <row r="9" spans="1:20" ht="7.5" customHeight="1" x14ac:dyDescent="0.2">
      <c r="L9" s="5"/>
      <c r="M9" s="5"/>
      <c r="N9" s="5"/>
      <c r="O9" s="5"/>
      <c r="P9" s="5"/>
    </row>
    <row r="10" spans="1:20" ht="18.75" customHeight="1" x14ac:dyDescent="0.25">
      <c r="B10" s="220" t="s">
        <v>6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5"/>
    </row>
    <row r="11" spans="1:20" ht="18.75" customHeight="1" x14ac:dyDescent="0.25">
      <c r="B11" s="220" t="s">
        <v>7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5"/>
    </row>
    <row r="12" spans="1:20" ht="7.5" customHeight="1" x14ac:dyDescent="0.2">
      <c r="L12" s="5"/>
      <c r="M12" s="5"/>
      <c r="N12" s="5"/>
      <c r="O12" s="5"/>
      <c r="P12" s="5"/>
    </row>
    <row r="13" spans="1:20" ht="7.5" customHeight="1" x14ac:dyDescent="0.2">
      <c r="L13" s="5"/>
      <c r="M13" s="5"/>
      <c r="N13" s="5"/>
      <c r="O13" s="5"/>
      <c r="P13" s="5"/>
    </row>
    <row r="14" spans="1:20" ht="15.75" x14ac:dyDescent="0.2">
      <c r="B14" s="13" t="s">
        <v>9</v>
      </c>
      <c r="D14" s="221" t="s">
        <v>75</v>
      </c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</row>
    <row r="15" spans="1:20" ht="7.5" customHeight="1" x14ac:dyDescent="0.25">
      <c r="B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0" x14ac:dyDescent="0.2">
      <c r="B16" s="16"/>
      <c r="D16" s="17" t="s">
        <v>11</v>
      </c>
      <c r="E16" s="17"/>
      <c r="F16" s="18">
        <v>2400</v>
      </c>
      <c r="G16" s="17" t="s">
        <v>69</v>
      </c>
    </row>
    <row r="17" spans="2:15" ht="10.5" customHeight="1" x14ac:dyDescent="0.2">
      <c r="B17" s="16"/>
    </row>
    <row r="18" spans="2:15" x14ac:dyDescent="0.2">
      <c r="B18" s="16"/>
      <c r="D18" s="19"/>
      <c r="E18" s="19"/>
      <c r="F18" s="222" t="s">
        <v>13</v>
      </c>
      <c r="G18" s="223"/>
      <c r="H18" s="224"/>
      <c r="J18" s="222" t="s">
        <v>14</v>
      </c>
      <c r="K18" s="223"/>
      <c r="L18" s="224"/>
      <c r="N18" s="222" t="s">
        <v>15</v>
      </c>
      <c r="O18" s="224"/>
    </row>
    <row r="19" spans="2:15" x14ac:dyDescent="0.2">
      <c r="B19" s="16"/>
      <c r="D19" s="226" t="s">
        <v>16</v>
      </c>
      <c r="E19" s="20"/>
      <c r="F19" s="21" t="s">
        <v>17</v>
      </c>
      <c r="G19" s="21" t="s">
        <v>18</v>
      </c>
      <c r="H19" s="22" t="s">
        <v>19</v>
      </c>
      <c r="J19" s="21" t="s">
        <v>17</v>
      </c>
      <c r="K19" s="23" t="s">
        <v>18</v>
      </c>
      <c r="L19" s="22" t="s">
        <v>19</v>
      </c>
      <c r="N19" s="228" t="s">
        <v>20</v>
      </c>
      <c r="O19" s="230" t="s">
        <v>21</v>
      </c>
    </row>
    <row r="20" spans="2:15" x14ac:dyDescent="0.2">
      <c r="B20" s="16"/>
      <c r="D20" s="227"/>
      <c r="E20" s="20"/>
      <c r="F20" s="24" t="s">
        <v>22</v>
      </c>
      <c r="G20" s="24"/>
      <c r="H20" s="25" t="s">
        <v>22</v>
      </c>
      <c r="J20" s="24" t="s">
        <v>22</v>
      </c>
      <c r="K20" s="25"/>
      <c r="L20" s="25" t="s">
        <v>22</v>
      </c>
      <c r="N20" s="229"/>
      <c r="O20" s="231"/>
    </row>
    <row r="21" spans="2:15" ht="15" x14ac:dyDescent="0.2">
      <c r="B21" s="26" t="s">
        <v>23</v>
      </c>
      <c r="C21" s="26"/>
      <c r="D21" s="27" t="s">
        <v>24</v>
      </c>
      <c r="E21" s="28"/>
      <c r="F21" s="29">
        <v>2.16</v>
      </c>
      <c r="G21" s="30">
        <v>1</v>
      </c>
      <c r="H21" s="31">
        <f>G21*F21</f>
        <v>2.16</v>
      </c>
      <c r="I21" s="32"/>
      <c r="J21" s="33">
        <v>1.1100000000000001</v>
      </c>
      <c r="K21" s="34">
        <v>1</v>
      </c>
      <c r="L21" s="31">
        <f>K21*J21</f>
        <v>1.1100000000000001</v>
      </c>
      <c r="M21" s="32"/>
      <c r="N21" s="35">
        <f>L21-H21</f>
        <v>-1.05</v>
      </c>
      <c r="O21" s="36">
        <f>IF((H21)=0,"",(N21/H21))</f>
        <v>-0.4861111111111111</v>
      </c>
    </row>
    <row r="22" spans="2:15" ht="15" x14ac:dyDescent="0.2">
      <c r="B22" s="26" t="s">
        <v>26</v>
      </c>
      <c r="C22" s="26"/>
      <c r="D22" s="27" t="s">
        <v>44</v>
      </c>
      <c r="E22" s="28"/>
      <c r="F22" s="29">
        <v>13.061</v>
      </c>
      <c r="G22" s="30">
        <f>$F$16</f>
        <v>2400</v>
      </c>
      <c r="H22" s="31">
        <f t="shared" ref="H22" si="0">G22*F22</f>
        <v>31346.400000000001</v>
      </c>
      <c r="I22" s="32"/>
      <c r="J22" s="33">
        <v>6.6959</v>
      </c>
      <c r="K22" s="30">
        <f>$F$16</f>
        <v>2400</v>
      </c>
      <c r="L22" s="31">
        <f t="shared" ref="L22" si="1">K22*J22</f>
        <v>16070.16</v>
      </c>
      <c r="M22" s="32"/>
      <c r="N22" s="35">
        <f t="shared" ref="N22:N23" si="2">L22-H22</f>
        <v>-15276.240000000002</v>
      </c>
      <c r="O22" s="36">
        <f t="shared" ref="O22:O23" si="3">IF((H22)=0,"",(N22/H22))</f>
        <v>-0.48733634484342703</v>
      </c>
    </row>
    <row r="23" spans="2:15" s="51" customFormat="1" ht="15" x14ac:dyDescent="0.2">
      <c r="B23" s="40" t="s">
        <v>31</v>
      </c>
      <c r="C23" s="41"/>
      <c r="D23" s="42"/>
      <c r="E23" s="41"/>
      <c r="F23" s="176"/>
      <c r="G23" s="44"/>
      <c r="H23" s="169">
        <f>SUM(H21:H22)</f>
        <v>31348.560000000001</v>
      </c>
      <c r="I23" s="46"/>
      <c r="J23" s="177"/>
      <c r="K23" s="48"/>
      <c r="L23" s="169">
        <f>SUM(L21:L22)</f>
        <v>16071.27</v>
      </c>
      <c r="M23" s="46"/>
      <c r="N23" s="170">
        <f t="shared" si="2"/>
        <v>-15277.29</v>
      </c>
      <c r="O23" s="50">
        <f t="shared" si="3"/>
        <v>-0.48733626042153133</v>
      </c>
    </row>
    <row r="24" spans="2:15" ht="25.5" x14ac:dyDescent="0.2">
      <c r="B24" s="52" t="s">
        <v>32</v>
      </c>
      <c r="C24" s="26"/>
      <c r="D24" s="27" t="s">
        <v>44</v>
      </c>
      <c r="E24" s="28"/>
      <c r="F24" s="33">
        <v>-1.5474000000000001</v>
      </c>
      <c r="G24" s="30">
        <f>$F$16</f>
        <v>2400</v>
      </c>
      <c r="H24" s="31">
        <f>G24*F24</f>
        <v>-3713.76</v>
      </c>
      <c r="I24" s="32"/>
      <c r="J24" s="33">
        <v>-1.3424</v>
      </c>
      <c r="K24" s="30">
        <f>$F$16</f>
        <v>2400</v>
      </c>
      <c r="L24" s="31">
        <f>K24*J24</f>
        <v>-3221.76</v>
      </c>
      <c r="M24" s="32"/>
      <c r="N24" s="35">
        <f>L24-H24</f>
        <v>492</v>
      </c>
      <c r="O24" s="36">
        <f>IF((H24)=0,"",(N24/H24))</f>
        <v>-0.132480289517901</v>
      </c>
    </row>
    <row r="25" spans="2:15" ht="15" x14ac:dyDescent="0.2">
      <c r="B25" s="52" t="s">
        <v>70</v>
      </c>
      <c r="C25" s="26"/>
      <c r="D25" s="27" t="s">
        <v>44</v>
      </c>
      <c r="E25" s="28"/>
      <c r="F25" s="33">
        <v>-0.10970000000000001</v>
      </c>
      <c r="G25" s="30">
        <f>+G24</f>
        <v>2400</v>
      </c>
      <c r="H25" s="31">
        <f>G25*F25</f>
        <v>-263.28000000000003</v>
      </c>
      <c r="I25" s="32"/>
      <c r="J25" s="33">
        <v>0.71</v>
      </c>
      <c r="K25" s="30">
        <f>+K24</f>
        <v>2400</v>
      </c>
      <c r="L25" s="31">
        <f>K25*J25</f>
        <v>1704</v>
      </c>
      <c r="M25" s="32"/>
      <c r="N25" s="35">
        <f>L25-H25</f>
        <v>1967.28</v>
      </c>
      <c r="O25" s="36">
        <f>IF((H25)=0,"",(N25/H25))</f>
        <v>-7.472196900638103</v>
      </c>
    </row>
    <row r="26" spans="2:15" ht="15" x14ac:dyDescent="0.2">
      <c r="B26" s="52" t="s">
        <v>33</v>
      </c>
      <c r="C26" s="26"/>
      <c r="D26" s="27" t="s">
        <v>44</v>
      </c>
      <c r="E26" s="28"/>
      <c r="F26" s="29">
        <v>-0.2863</v>
      </c>
      <c r="G26" s="30">
        <f t="shared" ref="G26" si="4">$F$16</f>
        <v>2400</v>
      </c>
      <c r="H26" s="31">
        <f t="shared" ref="H26" si="5">G26*F26</f>
        <v>-687.12</v>
      </c>
      <c r="I26" s="53"/>
      <c r="J26" s="33">
        <v>0</v>
      </c>
      <c r="K26" s="30">
        <f t="shared" ref="K26:K27" si="6">$F$16</f>
        <v>2400</v>
      </c>
      <c r="L26" s="31">
        <f t="shared" ref="L26" si="7">K26*J26</f>
        <v>0</v>
      </c>
      <c r="M26" s="54"/>
      <c r="N26" s="35">
        <f t="shared" ref="N26" si="8">L26-H26</f>
        <v>687.12</v>
      </c>
      <c r="O26" s="36">
        <f t="shared" ref="O26" si="9">IF((H26)=0,"",(N26/H26))</f>
        <v>-1</v>
      </c>
    </row>
    <row r="27" spans="2:15" ht="15" x14ac:dyDescent="0.2">
      <c r="B27" s="39" t="s">
        <v>34</v>
      </c>
      <c r="C27" s="26"/>
      <c r="D27" s="27"/>
      <c r="E27" s="28"/>
      <c r="F27" s="160"/>
      <c r="G27" s="57"/>
      <c r="H27" s="171"/>
      <c r="I27" s="32"/>
      <c r="J27" s="33"/>
      <c r="K27" s="30">
        <f t="shared" si="6"/>
        <v>2400</v>
      </c>
      <c r="L27" s="31">
        <f>K27*J27</f>
        <v>0</v>
      </c>
      <c r="M27" s="32"/>
      <c r="N27" s="35">
        <f>L27-H27</f>
        <v>0</v>
      </c>
      <c r="O27" s="36"/>
    </row>
    <row r="28" spans="2:15" ht="25.5" x14ac:dyDescent="0.2">
      <c r="B28" s="59" t="s">
        <v>35</v>
      </c>
      <c r="C28" s="60"/>
      <c r="D28" s="60"/>
      <c r="E28" s="60"/>
      <c r="F28" s="178"/>
      <c r="G28" s="62"/>
      <c r="H28" s="172">
        <f>SUM(H24:H26)+H23</f>
        <v>26684.400000000001</v>
      </c>
      <c r="I28" s="46"/>
      <c r="J28" s="179"/>
      <c r="K28" s="64"/>
      <c r="L28" s="172">
        <f>SUM(L24:L26)+L23</f>
        <v>14553.51</v>
      </c>
      <c r="M28" s="46"/>
      <c r="N28" s="170">
        <f t="shared" ref="N28:N52" si="10">L28-H28</f>
        <v>-12130.890000000001</v>
      </c>
      <c r="O28" s="50">
        <f t="shared" ref="O28:O52" si="11">IF((H28)=0,"",(N28/H28))</f>
        <v>-0.45460606196879078</v>
      </c>
    </row>
    <row r="29" spans="2:15" ht="15" x14ac:dyDescent="0.2">
      <c r="B29" s="32" t="s">
        <v>36</v>
      </c>
      <c r="C29" s="32"/>
      <c r="D29" s="65" t="s">
        <v>44</v>
      </c>
      <c r="E29" s="66"/>
      <c r="F29" s="33">
        <v>1.8325</v>
      </c>
      <c r="G29" s="67">
        <f>F16*(1+F55)</f>
        <v>2507.52</v>
      </c>
      <c r="H29" s="31">
        <f>G29*F29</f>
        <v>4595.0303999999996</v>
      </c>
      <c r="I29" s="32"/>
      <c r="J29" s="33">
        <v>1.8503000000000001</v>
      </c>
      <c r="K29" s="68">
        <f>F16*(1+J55)</f>
        <v>2482.08</v>
      </c>
      <c r="L29" s="31">
        <f>K29*J29</f>
        <v>4592.5926239999999</v>
      </c>
      <c r="M29" s="32"/>
      <c r="N29" s="35">
        <f t="shared" si="10"/>
        <v>-2.4377759999997579</v>
      </c>
      <c r="O29" s="36">
        <f t="shared" si="11"/>
        <v>-5.3052445528973169E-4</v>
      </c>
    </row>
    <row r="30" spans="2:15" ht="25.5" x14ac:dyDescent="0.2">
      <c r="B30" s="70" t="s">
        <v>37</v>
      </c>
      <c r="C30" s="32"/>
      <c r="D30" s="65" t="s">
        <v>44</v>
      </c>
      <c r="E30" s="66"/>
      <c r="F30" s="33">
        <v>1.3495999999999999</v>
      </c>
      <c r="G30" s="67">
        <f>G29</f>
        <v>2507.52</v>
      </c>
      <c r="H30" s="31">
        <f>G30*F30</f>
        <v>3384.1489919999999</v>
      </c>
      <c r="I30" s="32"/>
      <c r="J30" s="33">
        <v>1.3052999999999999</v>
      </c>
      <c r="K30" s="68">
        <f>K29</f>
        <v>2482.08</v>
      </c>
      <c r="L30" s="31">
        <f>K30*J30</f>
        <v>3239.8590239999999</v>
      </c>
      <c r="M30" s="32"/>
      <c r="N30" s="35">
        <f t="shared" si="10"/>
        <v>-144.28996800000004</v>
      </c>
      <c r="O30" s="36">
        <f t="shared" si="11"/>
        <v>-4.2637002194967202E-2</v>
      </c>
    </row>
    <row r="31" spans="2:15" ht="25.5" x14ac:dyDescent="0.2">
      <c r="B31" s="59" t="s">
        <v>38</v>
      </c>
      <c r="C31" s="41"/>
      <c r="D31" s="41"/>
      <c r="E31" s="41"/>
      <c r="F31" s="180"/>
      <c r="G31" s="62"/>
      <c r="H31" s="172">
        <f>SUM(H28:H30)</f>
        <v>34663.579392</v>
      </c>
      <c r="I31" s="72"/>
      <c r="J31" s="181"/>
      <c r="K31" s="74"/>
      <c r="L31" s="172">
        <f>SUM(L28:L30)</f>
        <v>22385.961648</v>
      </c>
      <c r="M31" s="72"/>
      <c r="N31" s="170">
        <f t="shared" si="10"/>
        <v>-12277.617743999999</v>
      </c>
      <c r="O31" s="50">
        <f t="shared" si="11"/>
        <v>-0.35419359337234363</v>
      </c>
    </row>
    <row r="32" spans="2:15" ht="25.5" x14ac:dyDescent="0.2">
      <c r="B32" s="75" t="s">
        <v>39</v>
      </c>
      <c r="C32" s="26"/>
      <c r="D32" s="27" t="s">
        <v>27</v>
      </c>
      <c r="E32" s="28"/>
      <c r="F32" s="76">
        <v>5.1999999999999998E-3</v>
      </c>
      <c r="G32" s="67">
        <f>900000*(1+F55)</f>
        <v>940320</v>
      </c>
      <c r="H32" s="77">
        <f t="shared" ref="H32:H40" si="12">G32*F32</f>
        <v>4889.6639999999998</v>
      </c>
      <c r="I32" s="32"/>
      <c r="J32" s="78">
        <v>4.4000000000000003E-3</v>
      </c>
      <c r="K32" s="68">
        <f>900000*(1+J55)</f>
        <v>930780</v>
      </c>
      <c r="L32" s="77">
        <f t="shared" ref="L32:L40" si="13">K32*J32</f>
        <v>4095.4320000000002</v>
      </c>
      <c r="M32" s="32"/>
      <c r="N32" s="35">
        <f t="shared" si="10"/>
        <v>-794.23199999999952</v>
      </c>
      <c r="O32" s="79">
        <f t="shared" si="11"/>
        <v>-0.16243079279067019</v>
      </c>
    </row>
    <row r="33" spans="2:15" ht="25.5" x14ac:dyDescent="0.2">
      <c r="B33" s="75" t="s">
        <v>40</v>
      </c>
      <c r="C33" s="26"/>
      <c r="D33" s="27" t="s">
        <v>27</v>
      </c>
      <c r="E33" s="28"/>
      <c r="F33" s="76">
        <v>1.1000000000000001E-3</v>
      </c>
      <c r="G33" s="67">
        <f>G32</f>
        <v>940320</v>
      </c>
      <c r="H33" s="77">
        <f t="shared" si="12"/>
        <v>1034.3520000000001</v>
      </c>
      <c r="I33" s="32"/>
      <c r="J33" s="78">
        <v>1.1999999999999999E-3</v>
      </c>
      <c r="K33" s="68">
        <f>K32</f>
        <v>930780</v>
      </c>
      <c r="L33" s="77">
        <f t="shared" si="13"/>
        <v>1116.9359999999999</v>
      </c>
      <c r="M33" s="32"/>
      <c r="N33" s="35">
        <f t="shared" si="10"/>
        <v>82.583999999999833</v>
      </c>
      <c r="O33" s="79">
        <f t="shared" si="11"/>
        <v>7.9841291939300965E-2</v>
      </c>
    </row>
    <row r="34" spans="2:15" x14ac:dyDescent="0.2">
      <c r="B34" s="26" t="s">
        <v>41</v>
      </c>
      <c r="C34" s="26"/>
      <c r="D34" s="27" t="s">
        <v>24</v>
      </c>
      <c r="E34" s="28"/>
      <c r="F34" s="76">
        <v>0.25</v>
      </c>
      <c r="G34" s="30">
        <v>1</v>
      </c>
      <c r="H34" s="77">
        <f t="shared" si="12"/>
        <v>0.25</v>
      </c>
      <c r="I34" s="32"/>
      <c r="J34" s="78">
        <v>0.25</v>
      </c>
      <c r="K34" s="34">
        <v>1</v>
      </c>
      <c r="L34" s="77">
        <f t="shared" si="13"/>
        <v>0.25</v>
      </c>
      <c r="M34" s="32"/>
      <c r="N34" s="35">
        <f t="shared" si="10"/>
        <v>0</v>
      </c>
      <c r="O34" s="79">
        <f t="shared" si="11"/>
        <v>0</v>
      </c>
    </row>
    <row r="35" spans="2:15" x14ac:dyDescent="0.2">
      <c r="B35" s="26" t="s">
        <v>42</v>
      </c>
      <c r="C35" s="26"/>
      <c r="D35" s="27" t="s">
        <v>27</v>
      </c>
      <c r="E35" s="28"/>
      <c r="F35" s="76">
        <v>7.0000000000000001E-3</v>
      </c>
      <c r="G35" s="67">
        <f>G33</f>
        <v>940320</v>
      </c>
      <c r="H35" s="77">
        <f t="shared" si="12"/>
        <v>6582.24</v>
      </c>
      <c r="I35" s="32"/>
      <c r="J35" s="78">
        <v>7.0000000000000001E-3</v>
      </c>
      <c r="K35" s="68">
        <f>K33</f>
        <v>930780</v>
      </c>
      <c r="L35" s="77">
        <f t="shared" si="13"/>
        <v>6515.46</v>
      </c>
      <c r="M35" s="32"/>
      <c r="N35" s="35">
        <f t="shared" si="10"/>
        <v>-66.779999999999745</v>
      </c>
      <c r="O35" s="79">
        <f t="shared" si="11"/>
        <v>-1.0145482388973929E-2</v>
      </c>
    </row>
    <row r="36" spans="2:15" x14ac:dyDescent="0.2">
      <c r="B36" s="39" t="s">
        <v>43</v>
      </c>
      <c r="C36" s="26"/>
      <c r="D36" s="27" t="s">
        <v>27</v>
      </c>
      <c r="E36" s="28"/>
      <c r="F36" s="80">
        <v>7.3999999999999996E-2</v>
      </c>
      <c r="G36" s="67"/>
      <c r="H36" s="77">
        <f>G36*F36</f>
        <v>0</v>
      </c>
      <c r="I36" s="32"/>
      <c r="J36" s="80">
        <v>7.8E-2</v>
      </c>
      <c r="K36" s="67"/>
      <c r="L36" s="77">
        <f>K36*J36</f>
        <v>0</v>
      </c>
      <c r="M36" s="32"/>
      <c r="N36" s="35">
        <f t="shared" si="10"/>
        <v>0</v>
      </c>
      <c r="O36" s="79" t="str">
        <f t="shared" si="11"/>
        <v/>
      </c>
    </row>
    <row r="37" spans="2:15" x14ac:dyDescent="0.2">
      <c r="B37" s="39" t="s">
        <v>45</v>
      </c>
      <c r="C37" s="26"/>
      <c r="D37" s="27" t="s">
        <v>27</v>
      </c>
      <c r="E37" s="28"/>
      <c r="F37" s="80">
        <v>8.6999999999999994E-2</v>
      </c>
      <c r="G37" s="67"/>
      <c r="H37" s="77">
        <f>G37*F37</f>
        <v>0</v>
      </c>
      <c r="I37" s="32"/>
      <c r="J37" s="80">
        <v>9.0999999999999998E-2</v>
      </c>
      <c r="K37" s="67"/>
      <c r="L37" s="77">
        <f>K37*J37</f>
        <v>0</v>
      </c>
      <c r="M37" s="32"/>
      <c r="N37" s="35">
        <f t="shared" si="10"/>
        <v>0</v>
      </c>
      <c r="O37" s="79" t="str">
        <f t="shared" si="11"/>
        <v/>
      </c>
    </row>
    <row r="38" spans="2:15" x14ac:dyDescent="0.2">
      <c r="B38" s="39" t="s">
        <v>46</v>
      </c>
      <c r="C38" s="26"/>
      <c r="D38" s="27" t="s">
        <v>27</v>
      </c>
      <c r="E38" s="28"/>
      <c r="F38" s="80">
        <v>6.3E-2</v>
      </c>
      <c r="G38" s="81">
        <f>G32*0.64</f>
        <v>601804.80000000005</v>
      </c>
      <c r="H38" s="77">
        <f>G38*F38</f>
        <v>37913.702400000002</v>
      </c>
      <c r="I38" s="32"/>
      <c r="J38" s="80">
        <v>6.7000000000000004E-2</v>
      </c>
      <c r="K38" s="217">
        <f>K32*0.64</f>
        <v>595699.20000000007</v>
      </c>
      <c r="L38" s="77">
        <f t="shared" si="13"/>
        <v>39911.846400000009</v>
      </c>
      <c r="M38" s="32"/>
      <c r="N38" s="35">
        <f t="shared" si="10"/>
        <v>1998.1440000000075</v>
      </c>
      <c r="O38" s="79">
        <f t="shared" si="11"/>
        <v>5.2702423491091374E-2</v>
      </c>
    </row>
    <row r="39" spans="2:15" x14ac:dyDescent="0.2">
      <c r="B39" s="39" t="s">
        <v>47</v>
      </c>
      <c r="C39" s="26"/>
      <c r="D39" s="27" t="s">
        <v>27</v>
      </c>
      <c r="E39" s="28"/>
      <c r="F39" s="80">
        <v>9.9000000000000005E-2</v>
      </c>
      <c r="G39" s="81">
        <f>G32*0.18</f>
        <v>169257.60000000001</v>
      </c>
      <c r="H39" s="77">
        <f t="shared" si="12"/>
        <v>16756.502400000001</v>
      </c>
      <c r="I39" s="32"/>
      <c r="J39" s="80">
        <v>0.104</v>
      </c>
      <c r="K39" s="217">
        <f>K32*0.18</f>
        <v>167540.4</v>
      </c>
      <c r="L39" s="77">
        <f t="shared" si="13"/>
        <v>17424.2016</v>
      </c>
      <c r="M39" s="32"/>
      <c r="N39" s="35">
        <f t="shared" si="10"/>
        <v>667.69919999999911</v>
      </c>
      <c r="O39" s="79">
        <f t="shared" si="11"/>
        <v>3.9847170015623254E-2</v>
      </c>
    </row>
    <row r="40" spans="2:15" ht="13.5" thickBot="1" x14ac:dyDescent="0.25">
      <c r="B40" s="16" t="s">
        <v>48</v>
      </c>
      <c r="C40" s="26"/>
      <c r="D40" s="27" t="s">
        <v>27</v>
      </c>
      <c r="E40" s="28"/>
      <c r="F40" s="80">
        <v>0.11799999999999999</v>
      </c>
      <c r="G40" s="81">
        <f>G32*0.18</f>
        <v>169257.60000000001</v>
      </c>
      <c r="H40" s="77">
        <f t="shared" si="12"/>
        <v>19972.396799999999</v>
      </c>
      <c r="I40" s="32"/>
      <c r="J40" s="80">
        <v>0.124</v>
      </c>
      <c r="K40" s="217">
        <f>K32*0.18</f>
        <v>167540.4</v>
      </c>
      <c r="L40" s="77">
        <f t="shared" si="13"/>
        <v>20775.009599999998</v>
      </c>
      <c r="M40" s="32"/>
      <c r="N40" s="35">
        <f t="shared" si="10"/>
        <v>802.61279999999897</v>
      </c>
      <c r="O40" s="79">
        <f t="shared" si="11"/>
        <v>4.0186103252264599E-2</v>
      </c>
    </row>
    <row r="41" spans="2:15" ht="8.25" customHeight="1" thickBot="1" x14ac:dyDescent="0.25">
      <c r="B41" s="83"/>
      <c r="C41" s="84"/>
      <c r="D41" s="85"/>
      <c r="E41" s="84"/>
      <c r="F41" s="86"/>
      <c r="G41" s="87"/>
      <c r="H41" s="88"/>
      <c r="I41" s="89"/>
      <c r="J41" s="86"/>
      <c r="K41" s="90"/>
      <c r="L41" s="88"/>
      <c r="M41" s="89"/>
      <c r="N41" s="173"/>
      <c r="O41" s="93"/>
    </row>
    <row r="42" spans="2:15" x14ac:dyDescent="0.2">
      <c r="B42" s="94" t="s">
        <v>49</v>
      </c>
      <c r="C42" s="26"/>
      <c r="D42" s="26"/>
      <c r="E42" s="26"/>
      <c r="F42" s="95"/>
      <c r="G42" s="96"/>
      <c r="H42" s="97">
        <f>SUM(H31:H37)</f>
        <v>47170.085391999994</v>
      </c>
      <c r="I42" s="98"/>
      <c r="J42" s="99"/>
      <c r="K42" s="99"/>
      <c r="L42" s="100">
        <f>SUM(L31:L37)</f>
        <v>34114.039648000005</v>
      </c>
      <c r="M42" s="101"/>
      <c r="N42" s="102">
        <f t="shared" si="10"/>
        <v>-13056.045743999988</v>
      </c>
      <c r="O42" s="103">
        <f t="shared" si="11"/>
        <v>-0.27678656155696257</v>
      </c>
    </row>
    <row r="43" spans="2:15" x14ac:dyDescent="0.2">
      <c r="B43" s="104" t="s">
        <v>50</v>
      </c>
      <c r="C43" s="26"/>
      <c r="D43" s="26"/>
      <c r="E43" s="26"/>
      <c r="F43" s="105">
        <v>0.13</v>
      </c>
      <c r="G43" s="96"/>
      <c r="H43" s="106">
        <f>H42*F43</f>
        <v>6132.111100959999</v>
      </c>
      <c r="I43" s="107"/>
      <c r="J43" s="108">
        <v>0.13</v>
      </c>
      <c r="K43" s="109"/>
      <c r="L43" s="110">
        <f>L42*J43</f>
        <v>4434.8251542400012</v>
      </c>
      <c r="M43" s="111"/>
      <c r="N43" s="112">
        <f t="shared" si="10"/>
        <v>-1697.2859467199978</v>
      </c>
      <c r="O43" s="113">
        <f t="shared" si="11"/>
        <v>-0.27678656155696252</v>
      </c>
    </row>
    <row r="44" spans="2:15" x14ac:dyDescent="0.2">
      <c r="B44" s="114" t="s">
        <v>51</v>
      </c>
      <c r="C44" s="26"/>
      <c r="D44" s="26"/>
      <c r="E44" s="26"/>
      <c r="F44" s="115"/>
      <c r="G44" s="116"/>
      <c r="H44" s="106">
        <f>H42+H43</f>
        <v>53302.196492959993</v>
      </c>
      <c r="I44" s="107"/>
      <c r="J44" s="107"/>
      <c r="K44" s="107"/>
      <c r="L44" s="110">
        <f>L42+L43</f>
        <v>38548.864802240008</v>
      </c>
      <c r="M44" s="111"/>
      <c r="N44" s="112">
        <f t="shared" si="10"/>
        <v>-14753.331690719984</v>
      </c>
      <c r="O44" s="113">
        <f t="shared" si="11"/>
        <v>-0.27678656155696257</v>
      </c>
    </row>
    <row r="45" spans="2:15" x14ac:dyDescent="0.2">
      <c r="B45" s="232" t="s">
        <v>52</v>
      </c>
      <c r="C45" s="232"/>
      <c r="D45" s="232"/>
      <c r="E45" s="26"/>
      <c r="F45" s="115"/>
      <c r="G45" s="116"/>
      <c r="H45" s="117">
        <f>ROUND(-H44*10%,2)</f>
        <v>-5330.22</v>
      </c>
      <c r="I45" s="107"/>
      <c r="J45" s="107"/>
      <c r="K45" s="107"/>
      <c r="L45" s="118">
        <f>ROUND(-L44*10%,2)</f>
        <v>-3854.89</v>
      </c>
      <c r="M45" s="111"/>
      <c r="N45" s="119">
        <f t="shared" si="10"/>
        <v>1475.3300000000004</v>
      </c>
      <c r="O45" s="120">
        <f t="shared" si="11"/>
        <v>-0.27678594879761065</v>
      </c>
    </row>
    <row r="46" spans="2:15" ht="13.5" thickBot="1" x14ac:dyDescent="0.25">
      <c r="B46" s="225" t="s">
        <v>53</v>
      </c>
      <c r="C46" s="225"/>
      <c r="D46" s="225"/>
      <c r="E46" s="121"/>
      <c r="F46" s="122"/>
      <c r="G46" s="123"/>
      <c r="H46" s="124">
        <f>SUM(H44:H45)</f>
        <v>47971.976492959991</v>
      </c>
      <c r="I46" s="125"/>
      <c r="J46" s="125"/>
      <c r="K46" s="125"/>
      <c r="L46" s="126">
        <f>SUM(L44:L45)</f>
        <v>34693.974802240009</v>
      </c>
      <c r="M46" s="127"/>
      <c r="N46" s="128">
        <f t="shared" si="10"/>
        <v>-13278.001690719982</v>
      </c>
      <c r="O46" s="129">
        <f t="shared" si="11"/>
        <v>-0.27678662964133993</v>
      </c>
    </row>
    <row r="47" spans="2:15" ht="8.25" customHeight="1" thickBot="1" x14ac:dyDescent="0.25">
      <c r="B47" s="83"/>
      <c r="C47" s="84"/>
      <c r="D47" s="85"/>
      <c r="E47" s="84"/>
      <c r="F47" s="130"/>
      <c r="G47" s="131"/>
      <c r="H47" s="161"/>
      <c r="I47" s="133"/>
      <c r="J47" s="130"/>
      <c r="K47" s="87"/>
      <c r="L47" s="174"/>
      <c r="M47" s="89"/>
      <c r="N47" s="146"/>
      <c r="O47" s="93"/>
    </row>
    <row r="48" spans="2:15" x14ac:dyDescent="0.2">
      <c r="B48" s="94" t="s">
        <v>54</v>
      </c>
      <c r="C48" s="26"/>
      <c r="D48" s="26"/>
      <c r="E48" s="26"/>
      <c r="F48" s="95"/>
      <c r="G48" s="96"/>
      <c r="H48" s="97">
        <f>SUM(H31:H35,H38:H40)</f>
        <v>121812.68699199999</v>
      </c>
      <c r="I48" s="98"/>
      <c r="J48" s="99"/>
      <c r="K48" s="99"/>
      <c r="L48" s="136">
        <f>SUM(L31:L35,L38:L40)</f>
        <v>112225.09724800001</v>
      </c>
      <c r="M48" s="101"/>
      <c r="N48" s="102">
        <f t="shared" ref="N48" si="14">L48-H48</f>
        <v>-9587.5897439999826</v>
      </c>
      <c r="O48" s="103">
        <f t="shared" ref="O48" si="15">IF((H48)=0,"",(N48/H48))</f>
        <v>-7.8707645162031811E-2</v>
      </c>
    </row>
    <row r="49" spans="1:15" x14ac:dyDescent="0.2">
      <c r="B49" s="104" t="s">
        <v>50</v>
      </c>
      <c r="C49" s="26"/>
      <c r="D49" s="26"/>
      <c r="E49" s="26"/>
      <c r="F49" s="105">
        <v>0.13</v>
      </c>
      <c r="G49" s="116"/>
      <c r="H49" s="106">
        <f>H48*F49</f>
        <v>15835.649308959999</v>
      </c>
      <c r="I49" s="107"/>
      <c r="J49" s="137">
        <v>0.13</v>
      </c>
      <c r="K49" s="107"/>
      <c r="L49" s="110">
        <f>L48*J49</f>
        <v>14589.262642240001</v>
      </c>
      <c r="M49" s="111"/>
      <c r="N49" s="112">
        <f t="shared" si="10"/>
        <v>-1246.3866667199982</v>
      </c>
      <c r="O49" s="113">
        <f t="shared" si="11"/>
        <v>-7.8707645162031825E-2</v>
      </c>
    </row>
    <row r="50" spans="1:15" x14ac:dyDescent="0.2">
      <c r="B50" s="114" t="s">
        <v>51</v>
      </c>
      <c r="C50" s="26"/>
      <c r="D50" s="26"/>
      <c r="E50" s="26"/>
      <c r="F50" s="115"/>
      <c r="G50" s="116"/>
      <c r="H50" s="106">
        <f>H48+H49</f>
        <v>137648.33630095999</v>
      </c>
      <c r="I50" s="107"/>
      <c r="J50" s="107"/>
      <c r="K50" s="107"/>
      <c r="L50" s="110">
        <f>L48+L49</f>
        <v>126814.35989024001</v>
      </c>
      <c r="M50" s="111"/>
      <c r="N50" s="112">
        <f t="shared" si="10"/>
        <v>-10833.976410719974</v>
      </c>
      <c r="O50" s="113">
        <f t="shared" si="11"/>
        <v>-7.8707645162031756E-2</v>
      </c>
    </row>
    <row r="51" spans="1:15" x14ac:dyDescent="0.2">
      <c r="B51" s="232" t="s">
        <v>52</v>
      </c>
      <c r="C51" s="232"/>
      <c r="D51" s="232"/>
      <c r="E51" s="26"/>
      <c r="F51" s="115"/>
      <c r="G51" s="116"/>
      <c r="H51" s="117">
        <f>ROUND(-H50*10%,2)</f>
        <v>-13764.83</v>
      </c>
      <c r="I51" s="107"/>
      <c r="J51" s="107"/>
      <c r="K51" s="107"/>
      <c r="L51" s="118">
        <f>ROUND(-L50*10%,2)</f>
        <v>-12681.44</v>
      </c>
      <c r="M51" s="111"/>
      <c r="N51" s="119">
        <f t="shared" si="10"/>
        <v>1083.3899999999994</v>
      </c>
      <c r="O51" s="120">
        <f t="shared" si="11"/>
        <v>-7.870711080340255E-2</v>
      </c>
    </row>
    <row r="52" spans="1:15" ht="13.5" thickBot="1" x14ac:dyDescent="0.25">
      <c r="B52" s="225" t="s">
        <v>55</v>
      </c>
      <c r="C52" s="225"/>
      <c r="D52" s="225"/>
      <c r="E52" s="121"/>
      <c r="F52" s="138"/>
      <c r="G52" s="139"/>
      <c r="H52" s="140">
        <f>H50+H51</f>
        <v>123883.50630095998</v>
      </c>
      <c r="I52" s="141"/>
      <c r="J52" s="141"/>
      <c r="K52" s="141"/>
      <c r="L52" s="142">
        <f>L50+L51</f>
        <v>114132.91989024001</v>
      </c>
      <c r="M52" s="143"/>
      <c r="N52" s="144">
        <f t="shared" si="10"/>
        <v>-9750.5864107199741</v>
      </c>
      <c r="O52" s="145">
        <f t="shared" si="11"/>
        <v>-7.8707704535195391E-2</v>
      </c>
    </row>
    <row r="53" spans="1:15" ht="8.25" customHeight="1" thickBot="1" x14ac:dyDescent="0.25">
      <c r="B53" s="83"/>
      <c r="C53" s="84"/>
      <c r="D53" s="85"/>
      <c r="E53" s="84"/>
      <c r="F53" s="130"/>
      <c r="G53" s="131"/>
      <c r="H53" s="132"/>
      <c r="I53" s="133"/>
      <c r="J53" s="130"/>
      <c r="K53" s="87"/>
      <c r="L53" s="134"/>
      <c r="M53" s="89"/>
      <c r="N53" s="135"/>
      <c r="O53" s="147"/>
    </row>
    <row r="54" spans="1:15" ht="10.5" customHeight="1" x14ac:dyDescent="0.2">
      <c r="L54" s="148"/>
    </row>
    <row r="55" spans="1:15" x14ac:dyDescent="0.2">
      <c r="B55" s="17" t="s">
        <v>56</v>
      </c>
      <c r="F55" s="149">
        <v>4.48E-2</v>
      </c>
      <c r="J55" s="149">
        <v>3.4200000000000001E-2</v>
      </c>
    </row>
    <row r="56" spans="1:15" ht="10.5" customHeight="1" x14ac:dyDescent="0.2"/>
    <row r="57" spans="1:15" ht="10.5" customHeight="1" x14ac:dyDescent="0.2">
      <c r="A57" s="150" t="s">
        <v>57</v>
      </c>
    </row>
    <row r="58" spans="1:15" ht="10.5" customHeight="1" x14ac:dyDescent="0.2"/>
    <row r="59" spans="1:15" x14ac:dyDescent="0.2">
      <c r="A59" s="11" t="s">
        <v>58</v>
      </c>
    </row>
    <row r="60" spans="1:15" x14ac:dyDescent="0.2">
      <c r="A60" s="11" t="s">
        <v>59</v>
      </c>
    </row>
    <row r="62" spans="1:15" x14ac:dyDescent="0.2">
      <c r="A62" s="11" t="s">
        <v>60</v>
      </c>
    </row>
    <row r="63" spans="1:15" x14ac:dyDescent="0.2">
      <c r="A63" s="11" t="s">
        <v>61</v>
      </c>
    </row>
    <row r="65" spans="1:1" x14ac:dyDescent="0.2">
      <c r="A65" s="11" t="s">
        <v>62</v>
      </c>
    </row>
    <row r="66" spans="1:1" x14ac:dyDescent="0.2">
      <c r="A66" s="11" t="s">
        <v>63</v>
      </c>
    </row>
    <row r="67" spans="1:1" x14ac:dyDescent="0.2">
      <c r="A67" s="11" t="s">
        <v>64</v>
      </c>
    </row>
    <row r="68" spans="1:1" x14ac:dyDescent="0.2">
      <c r="A68" s="11" t="s">
        <v>65</v>
      </c>
    </row>
    <row r="69" spans="1:1" x14ac:dyDescent="0.2">
      <c r="A69" s="11" t="s">
        <v>66</v>
      </c>
    </row>
  </sheetData>
  <sheetProtection selectLockedCells="1"/>
  <mergeCells count="14">
    <mergeCell ref="B52:D52"/>
    <mergeCell ref="D19:D20"/>
    <mergeCell ref="N19:N20"/>
    <mergeCell ref="O19:O20"/>
    <mergeCell ref="B45:D45"/>
    <mergeCell ref="B46:D46"/>
    <mergeCell ref="B51:D51"/>
    <mergeCell ref="A3:K3"/>
    <mergeCell ref="B10:O10"/>
    <mergeCell ref="B11:O11"/>
    <mergeCell ref="D14:O14"/>
    <mergeCell ref="F18:H18"/>
    <mergeCell ref="J18:L18"/>
    <mergeCell ref="N18:O18"/>
  </mergeCells>
  <dataValidations count="3">
    <dataValidation type="list" allowBlank="1" showInputMessage="1" showErrorMessage="1" sqref="E29:E30 E47 E53 E24:E27 E32:E35 E38:E41 E21:E22">
      <formula1>#REF!</formula1>
    </dataValidation>
    <dataValidation type="list" allowBlank="1" showInputMessage="1" showErrorMessage="1" prompt="Select Charge Unit - monthly, per kWh, per kW" sqref="D29:D30 D47 D53 D24:D27 D32:D41 D21:D22">
      <formula1>"Monthly, per kWh, per kW"</formula1>
    </dataValidation>
    <dataValidation type="list" allowBlank="1" showInputMessage="1" showErrorMessage="1" sqref="E36:E37">
      <formula1>#REF!</formula1>
    </dataValidation>
  </dataValidations>
  <pageMargins left="0.75" right="0.75" top="1" bottom="1" header="0.5" footer="0.5"/>
  <pageSetup scale="64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</xdr:col>
                    <xdr:colOff>219075</xdr:colOff>
                    <xdr:row>0</xdr:row>
                    <xdr:rowOff>180975</xdr:rowOff>
                  </from>
                  <to>
                    <xdr:col>1</xdr:col>
                    <xdr:colOff>342900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323850</xdr:colOff>
                    <xdr:row>0</xdr:row>
                    <xdr:rowOff>180975</xdr:rowOff>
                  </from>
                  <to>
                    <xdr:col>1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7">
    <tabColor theme="5" tint="-0.249977111117893"/>
    <pageSetUpPr fitToPage="1"/>
  </sheetPr>
  <dimension ref="A1:T67"/>
  <sheetViews>
    <sheetView showGridLines="0" zoomScaleNormal="100" workbookViewId="0">
      <selection activeCell="O7" sqref="O7"/>
    </sheetView>
  </sheetViews>
  <sheetFormatPr defaultColWidth="9.140625" defaultRowHeight="12.75" x14ac:dyDescent="0.2"/>
  <cols>
    <col min="1" max="1" width="1.28515625" style="11" customWidth="1"/>
    <col min="2" max="2" width="26.5703125" style="11" customWidth="1"/>
    <col min="3" max="3" width="1.28515625" style="11" customWidth="1"/>
    <col min="4" max="4" width="11.28515625" style="11" customWidth="1"/>
    <col min="5" max="5" width="1.28515625" style="11" customWidth="1"/>
    <col min="6" max="6" width="12.28515625" style="11" customWidth="1"/>
    <col min="7" max="7" width="8.5703125" style="11" customWidth="1"/>
    <col min="8" max="8" width="11.42578125" style="11" bestFit="1" customWidth="1"/>
    <col min="9" max="9" width="2.85546875" style="11" customWidth="1"/>
    <col min="10" max="10" width="12.140625" style="11" customWidth="1"/>
    <col min="11" max="11" width="8.5703125" style="11" customWidth="1"/>
    <col min="12" max="12" width="11.42578125" style="11" bestFit="1" customWidth="1"/>
    <col min="13" max="13" width="2.85546875" style="11" customWidth="1"/>
    <col min="14" max="14" width="12.7109375" style="11" bestFit="1" customWidth="1"/>
    <col min="15" max="15" width="13.7109375" style="11" bestFit="1" customWidth="1"/>
    <col min="16" max="16" width="3.85546875" style="11" customWidth="1"/>
    <col min="17" max="19" width="9.140625" style="11"/>
    <col min="20" max="20" width="0" style="11" hidden="1" customWidth="1"/>
    <col min="21" max="16384" width="9.140625" style="1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'[3]LDC Info'!$E$18</f>
        <v>EB-2012-0167</v>
      </c>
      <c r="P1" s="5"/>
      <c r="T1" s="2">
        <v>1</v>
      </c>
    </row>
    <row r="2" spans="1:20" s="2" customFormat="1" ht="1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N2" s="3" t="s">
        <v>1</v>
      </c>
      <c r="O2" s="7"/>
      <c r="P2" s="5"/>
    </row>
    <row r="3" spans="1:20" s="2" customFormat="1" ht="15" customHeight="1" x14ac:dyDescent="0.25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N3" s="3" t="s">
        <v>2</v>
      </c>
      <c r="O3" s="7"/>
      <c r="P3" s="5"/>
    </row>
    <row r="4" spans="1:20" s="2" customFormat="1" ht="15" customHeight="1" x14ac:dyDescent="0.25">
      <c r="A4" s="152"/>
      <c r="B4" s="152"/>
      <c r="C4" s="152"/>
      <c r="D4" s="152"/>
      <c r="E4" s="152"/>
      <c r="F4" s="152"/>
      <c r="G4" s="152"/>
      <c r="H4" s="152"/>
      <c r="I4" s="154"/>
      <c r="J4" s="154"/>
      <c r="K4" s="154"/>
      <c r="N4" s="3" t="s">
        <v>3</v>
      </c>
      <c r="O4" s="7"/>
      <c r="P4" s="5"/>
    </row>
    <row r="5" spans="1:20" s="2" customFormat="1" ht="15" customHeight="1" x14ac:dyDescent="0.25">
      <c r="C5" s="155"/>
      <c r="D5" s="155"/>
      <c r="E5" s="155"/>
      <c r="N5" s="3" t="s">
        <v>4</v>
      </c>
      <c r="O5" s="9"/>
      <c r="P5" s="5"/>
    </row>
    <row r="6" spans="1:20" s="2" customFormat="1" ht="9" customHeight="1" x14ac:dyDescent="0.2">
      <c r="N6" s="3"/>
      <c r="O6" s="4"/>
      <c r="P6" s="5"/>
    </row>
    <row r="7" spans="1:20" s="2" customFormat="1" x14ac:dyDescent="0.2">
      <c r="N7" s="3" t="s">
        <v>5</v>
      </c>
      <c r="O7" s="10">
        <v>41388</v>
      </c>
      <c r="P7" s="5"/>
    </row>
    <row r="8" spans="1:20" s="2" customFormat="1" ht="15" customHeight="1" x14ac:dyDescent="0.2">
      <c r="N8" s="11"/>
      <c r="O8" s="5"/>
      <c r="P8" s="5"/>
    </row>
    <row r="9" spans="1:20" ht="7.5" customHeight="1" x14ac:dyDescent="0.2">
      <c r="L9" s="5"/>
      <c r="M9" s="5"/>
      <c r="N9" s="5"/>
      <c r="O9" s="5"/>
      <c r="P9" s="5"/>
    </row>
    <row r="10" spans="1:20" ht="18.75" customHeight="1" x14ac:dyDescent="0.25">
      <c r="B10" s="220" t="s">
        <v>6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5"/>
    </row>
    <row r="11" spans="1:20" ht="18.75" customHeight="1" x14ac:dyDescent="0.25">
      <c r="B11" s="220" t="s">
        <v>7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5"/>
    </row>
    <row r="12" spans="1:20" ht="7.5" customHeight="1" x14ac:dyDescent="0.2">
      <c r="L12" s="5"/>
      <c r="M12" s="5"/>
      <c r="N12" s="5"/>
      <c r="O12" s="5"/>
      <c r="P12" s="5"/>
    </row>
    <row r="13" spans="1:20" ht="7.5" customHeight="1" x14ac:dyDescent="0.2">
      <c r="L13" s="5"/>
      <c r="M13" s="5"/>
      <c r="N13" s="5"/>
      <c r="O13" s="5"/>
      <c r="P13" s="5"/>
    </row>
    <row r="14" spans="1:20" ht="15.75" x14ac:dyDescent="0.2">
      <c r="B14" s="13" t="s">
        <v>9</v>
      </c>
      <c r="D14" s="221" t="s">
        <v>76</v>
      </c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</row>
    <row r="15" spans="1:20" ht="7.5" customHeight="1" x14ac:dyDescent="0.25">
      <c r="B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0" x14ac:dyDescent="0.2">
      <c r="B16" s="16"/>
      <c r="D16" s="17" t="s">
        <v>11</v>
      </c>
      <c r="E16" s="17"/>
      <c r="F16" s="18">
        <v>5</v>
      </c>
      <c r="G16" s="17" t="s">
        <v>69</v>
      </c>
    </row>
    <row r="17" spans="2:15" ht="10.5" customHeight="1" x14ac:dyDescent="0.2">
      <c r="B17" s="16"/>
    </row>
    <row r="18" spans="2:15" x14ac:dyDescent="0.2">
      <c r="B18" s="16"/>
      <c r="D18" s="19"/>
      <c r="E18" s="19"/>
      <c r="F18" s="222" t="s">
        <v>13</v>
      </c>
      <c r="G18" s="223"/>
      <c r="H18" s="224"/>
      <c r="J18" s="222" t="s">
        <v>14</v>
      </c>
      <c r="K18" s="223"/>
      <c r="L18" s="224"/>
      <c r="N18" s="222" t="s">
        <v>15</v>
      </c>
      <c r="O18" s="224"/>
    </row>
    <row r="19" spans="2:15" x14ac:dyDescent="0.2">
      <c r="B19" s="16"/>
      <c r="D19" s="226" t="s">
        <v>16</v>
      </c>
      <c r="E19" s="20"/>
      <c r="F19" s="21" t="s">
        <v>17</v>
      </c>
      <c r="G19" s="21" t="s">
        <v>18</v>
      </c>
      <c r="H19" s="22" t="s">
        <v>19</v>
      </c>
      <c r="J19" s="21" t="s">
        <v>17</v>
      </c>
      <c r="K19" s="23" t="s">
        <v>18</v>
      </c>
      <c r="L19" s="22" t="s">
        <v>19</v>
      </c>
      <c r="N19" s="228" t="s">
        <v>20</v>
      </c>
      <c r="O19" s="230" t="s">
        <v>21</v>
      </c>
    </row>
    <row r="20" spans="2:15" x14ac:dyDescent="0.2">
      <c r="B20" s="16"/>
      <c r="D20" s="227"/>
      <c r="E20" s="20"/>
      <c r="F20" s="24" t="s">
        <v>22</v>
      </c>
      <c r="G20" s="24"/>
      <c r="H20" s="25" t="s">
        <v>22</v>
      </c>
      <c r="J20" s="24" t="s">
        <v>22</v>
      </c>
      <c r="K20" s="25"/>
      <c r="L20" s="25" t="s">
        <v>22</v>
      </c>
      <c r="N20" s="229"/>
      <c r="O20" s="231"/>
    </row>
    <row r="21" spans="2:15" ht="15" x14ac:dyDescent="0.2">
      <c r="B21" s="26" t="s">
        <v>23</v>
      </c>
      <c r="C21" s="26"/>
      <c r="D21" s="27" t="s">
        <v>24</v>
      </c>
      <c r="E21" s="28"/>
      <c r="F21" s="185">
        <v>5.25</v>
      </c>
      <c r="G21" s="30">
        <v>1</v>
      </c>
      <c r="H21" s="186">
        <f>G21*F21</f>
        <v>5.25</v>
      </c>
      <c r="I21" s="32"/>
      <c r="J21" s="187">
        <v>5.4</v>
      </c>
      <c r="K21" s="34">
        <v>1</v>
      </c>
      <c r="L21" s="186">
        <f>K21*J21</f>
        <v>5.4</v>
      </c>
      <c r="M21" s="32"/>
      <c r="N21" s="188">
        <f>L21-H21</f>
        <v>0.15000000000000036</v>
      </c>
      <c r="O21" s="189">
        <f>IF((H21)=0,"",(N21/H21))</f>
        <v>2.857142857142864E-2</v>
      </c>
    </row>
    <row r="22" spans="2:15" s="51" customFormat="1" ht="15" x14ac:dyDescent="0.2">
      <c r="B22" s="40" t="s">
        <v>31</v>
      </c>
      <c r="C22" s="41"/>
      <c r="D22" s="42"/>
      <c r="E22" s="41"/>
      <c r="F22" s="43"/>
      <c r="G22" s="44"/>
      <c r="H22" s="45">
        <f>SUM(H21:H21)</f>
        <v>5.25</v>
      </c>
      <c r="I22" s="46"/>
      <c r="J22" s="47"/>
      <c r="K22" s="48"/>
      <c r="L22" s="45">
        <f>SUM(L21:L21)</f>
        <v>5.4</v>
      </c>
      <c r="M22" s="46"/>
      <c r="N22" s="49">
        <f t="shared" ref="N22" si="0">L22-H22</f>
        <v>0.15000000000000036</v>
      </c>
      <c r="O22" s="190">
        <f t="shared" ref="O22" si="1">IF((H22)=0,"",(N22/H22))</f>
        <v>2.857142857142864E-2</v>
      </c>
    </row>
    <row r="23" spans="2:15" ht="15" x14ac:dyDescent="0.2">
      <c r="B23" s="52"/>
      <c r="C23" s="26"/>
      <c r="D23" s="27"/>
      <c r="E23" s="28"/>
      <c r="F23" s="187"/>
      <c r="G23" s="30">
        <f>$F$16</f>
        <v>5</v>
      </c>
      <c r="H23" s="186">
        <f>G23*F23</f>
        <v>0</v>
      </c>
      <c r="I23" s="32"/>
      <c r="J23" s="187"/>
      <c r="K23" s="30">
        <f>$F$16</f>
        <v>5</v>
      </c>
      <c r="L23" s="186">
        <f>K23*J23</f>
        <v>0</v>
      </c>
      <c r="M23" s="32"/>
      <c r="N23" s="188">
        <f>L23-H23</f>
        <v>0</v>
      </c>
      <c r="O23" s="189" t="str">
        <f>IF((H23)=0,"",(N23/H23))</f>
        <v/>
      </c>
    </row>
    <row r="24" spans="2:15" ht="15" x14ac:dyDescent="0.2">
      <c r="B24" s="52"/>
      <c r="C24" s="26"/>
      <c r="D24" s="27"/>
      <c r="E24" s="28"/>
      <c r="F24" s="185"/>
      <c r="G24" s="30">
        <f t="shared" ref="G24" si="2">$F$16</f>
        <v>5</v>
      </c>
      <c r="H24" s="186">
        <f t="shared" ref="H24" si="3">G24*F24</f>
        <v>0</v>
      </c>
      <c r="I24" s="53"/>
      <c r="J24" s="187"/>
      <c r="K24" s="30">
        <f t="shared" ref="K24:K25" si="4">$F$16</f>
        <v>5</v>
      </c>
      <c r="L24" s="186">
        <f t="shared" ref="L24" si="5">K24*J24</f>
        <v>0</v>
      </c>
      <c r="M24" s="54"/>
      <c r="N24" s="188">
        <f t="shared" ref="N24" si="6">L24-H24</f>
        <v>0</v>
      </c>
      <c r="O24" s="189" t="str">
        <f t="shared" ref="O24" si="7">IF((H24)=0,"",(N24/H24))</f>
        <v/>
      </c>
    </row>
    <row r="25" spans="2:15" ht="15" x14ac:dyDescent="0.2">
      <c r="B25" s="39"/>
      <c r="C25" s="26"/>
      <c r="D25" s="27"/>
      <c r="E25" s="28"/>
      <c r="F25" s="56"/>
      <c r="G25" s="57"/>
      <c r="H25" s="58"/>
      <c r="I25" s="32"/>
      <c r="J25" s="187"/>
      <c r="K25" s="30">
        <f t="shared" si="4"/>
        <v>5</v>
      </c>
      <c r="L25" s="186">
        <f>K25*J25</f>
        <v>0</v>
      </c>
      <c r="M25" s="32"/>
      <c r="N25" s="188">
        <f>L25-H25</f>
        <v>0</v>
      </c>
      <c r="O25" s="189"/>
    </row>
    <row r="26" spans="2:15" ht="25.5" x14ac:dyDescent="0.2">
      <c r="B26" s="59" t="s">
        <v>35</v>
      </c>
      <c r="C26" s="60"/>
      <c r="D26" s="60"/>
      <c r="E26" s="60"/>
      <c r="F26" s="61"/>
      <c r="G26" s="62"/>
      <c r="H26" s="63">
        <f>SUM(H23:H24)+H22</f>
        <v>5.25</v>
      </c>
      <c r="I26" s="46"/>
      <c r="J26" s="62"/>
      <c r="K26" s="64"/>
      <c r="L26" s="63">
        <f>SUM(L23:L24)+L22</f>
        <v>5.4</v>
      </c>
      <c r="M26" s="46"/>
      <c r="N26" s="49">
        <f t="shared" ref="N26:N50" si="8">L26-H26</f>
        <v>0.15000000000000036</v>
      </c>
      <c r="O26" s="190">
        <f t="shared" ref="O26:O50" si="9">IF((H26)=0,"",(N26/H26))</f>
        <v>2.857142857142864E-2</v>
      </c>
    </row>
    <row r="27" spans="2:15" ht="15" x14ac:dyDescent="0.2">
      <c r="B27" s="32" t="s">
        <v>36</v>
      </c>
      <c r="C27" s="32"/>
      <c r="D27" s="65"/>
      <c r="E27" s="66"/>
      <c r="F27" s="187"/>
      <c r="G27" s="67">
        <f>F16*(1+F53)</f>
        <v>5.2240000000000002</v>
      </c>
      <c r="H27" s="186">
        <f>G27*F27</f>
        <v>0</v>
      </c>
      <c r="I27" s="32"/>
      <c r="J27" s="187"/>
      <c r="K27" s="68">
        <f>F16*(1+J53)</f>
        <v>5.1710000000000003</v>
      </c>
      <c r="L27" s="186">
        <f>K27*J27</f>
        <v>0</v>
      </c>
      <c r="M27" s="32"/>
      <c r="N27" s="188">
        <f t="shared" si="8"/>
        <v>0</v>
      </c>
      <c r="O27" s="189" t="str">
        <f t="shared" si="9"/>
        <v/>
      </c>
    </row>
    <row r="28" spans="2:15" ht="25.5" x14ac:dyDescent="0.2">
      <c r="B28" s="70" t="s">
        <v>37</v>
      </c>
      <c r="C28" s="32"/>
      <c r="D28" s="65"/>
      <c r="E28" s="66"/>
      <c r="F28" s="187"/>
      <c r="G28" s="67">
        <f>G27</f>
        <v>5.2240000000000002</v>
      </c>
      <c r="H28" s="186">
        <f>G28*F28</f>
        <v>0</v>
      </c>
      <c r="I28" s="32"/>
      <c r="J28" s="187"/>
      <c r="K28" s="68">
        <f>K27</f>
        <v>5.1710000000000003</v>
      </c>
      <c r="L28" s="186">
        <f>K28*J28</f>
        <v>0</v>
      </c>
      <c r="M28" s="32"/>
      <c r="N28" s="188">
        <f t="shared" si="8"/>
        <v>0</v>
      </c>
      <c r="O28" s="189" t="str">
        <f t="shared" si="9"/>
        <v/>
      </c>
    </row>
    <row r="29" spans="2:15" ht="25.5" x14ac:dyDescent="0.2">
      <c r="B29" s="59" t="s">
        <v>38</v>
      </c>
      <c r="C29" s="41"/>
      <c r="D29" s="41"/>
      <c r="E29" s="41"/>
      <c r="F29" s="71"/>
      <c r="G29" s="62"/>
      <c r="H29" s="63">
        <f>SUM(H26:H28)</f>
        <v>5.25</v>
      </c>
      <c r="I29" s="72"/>
      <c r="J29" s="73"/>
      <c r="K29" s="74"/>
      <c r="L29" s="63">
        <f>SUM(L26:L28)</f>
        <v>5.4</v>
      </c>
      <c r="M29" s="72"/>
      <c r="N29" s="49">
        <f t="shared" si="8"/>
        <v>0.15000000000000036</v>
      </c>
      <c r="O29" s="190">
        <f t="shared" si="9"/>
        <v>2.857142857142864E-2</v>
      </c>
    </row>
    <row r="30" spans="2:15" ht="25.5" x14ac:dyDescent="0.2">
      <c r="B30" s="75" t="s">
        <v>39</v>
      </c>
      <c r="C30" s="26"/>
      <c r="D30" s="27"/>
      <c r="E30" s="28"/>
      <c r="F30" s="191"/>
      <c r="G30" s="67">
        <f>G28</f>
        <v>5.2240000000000002</v>
      </c>
      <c r="H30" s="192">
        <f t="shared" ref="H30:H38" si="10">G30*F30</f>
        <v>0</v>
      </c>
      <c r="I30" s="32"/>
      <c r="J30" s="193"/>
      <c r="K30" s="68">
        <f>K28</f>
        <v>5.1710000000000003</v>
      </c>
      <c r="L30" s="192">
        <f t="shared" ref="L30:L38" si="11">K30*J30</f>
        <v>0</v>
      </c>
      <c r="M30" s="32"/>
      <c r="N30" s="188">
        <f t="shared" si="8"/>
        <v>0</v>
      </c>
      <c r="O30" s="194" t="str">
        <f t="shared" si="9"/>
        <v/>
      </c>
    </row>
    <row r="31" spans="2:15" ht="25.5" x14ac:dyDescent="0.2">
      <c r="B31" s="75" t="s">
        <v>40</v>
      </c>
      <c r="C31" s="26"/>
      <c r="D31" s="27"/>
      <c r="E31" s="28"/>
      <c r="F31" s="191"/>
      <c r="G31" s="67">
        <f>G28</f>
        <v>5.2240000000000002</v>
      </c>
      <c r="H31" s="192">
        <f t="shared" si="10"/>
        <v>0</v>
      </c>
      <c r="I31" s="32"/>
      <c r="J31" s="193"/>
      <c r="K31" s="68">
        <f>K28</f>
        <v>5.1710000000000003</v>
      </c>
      <c r="L31" s="192">
        <f t="shared" si="11"/>
        <v>0</v>
      </c>
      <c r="M31" s="32"/>
      <c r="N31" s="188">
        <f t="shared" si="8"/>
        <v>0</v>
      </c>
      <c r="O31" s="194" t="str">
        <f t="shared" si="9"/>
        <v/>
      </c>
    </row>
    <row r="32" spans="2:15" x14ac:dyDescent="0.2">
      <c r="B32" s="26" t="s">
        <v>41</v>
      </c>
      <c r="C32" s="26"/>
      <c r="D32" s="27"/>
      <c r="E32" s="28"/>
      <c r="F32" s="191"/>
      <c r="G32" s="30">
        <v>1</v>
      </c>
      <c r="H32" s="192">
        <f t="shared" si="10"/>
        <v>0</v>
      </c>
      <c r="I32" s="32"/>
      <c r="J32" s="193"/>
      <c r="K32" s="34">
        <v>1</v>
      </c>
      <c r="L32" s="192">
        <f t="shared" si="11"/>
        <v>0</v>
      </c>
      <c r="M32" s="32"/>
      <c r="N32" s="188">
        <f t="shared" si="8"/>
        <v>0</v>
      </c>
      <c r="O32" s="194" t="str">
        <f t="shared" si="9"/>
        <v/>
      </c>
    </row>
    <row r="33" spans="2:15" x14ac:dyDescent="0.2">
      <c r="B33" s="26" t="s">
        <v>42</v>
      </c>
      <c r="C33" s="26"/>
      <c r="D33" s="27"/>
      <c r="E33" s="28"/>
      <c r="F33" s="191"/>
      <c r="G33" s="67">
        <f>G31</f>
        <v>5.2240000000000002</v>
      </c>
      <c r="H33" s="192">
        <f t="shared" si="10"/>
        <v>0</v>
      </c>
      <c r="I33" s="32"/>
      <c r="J33" s="193"/>
      <c r="K33" s="68">
        <f>K31</f>
        <v>5.1710000000000003</v>
      </c>
      <c r="L33" s="192">
        <f t="shared" si="11"/>
        <v>0</v>
      </c>
      <c r="M33" s="32"/>
      <c r="N33" s="188">
        <f t="shared" si="8"/>
        <v>0</v>
      </c>
      <c r="O33" s="194" t="str">
        <f t="shared" si="9"/>
        <v/>
      </c>
    </row>
    <row r="34" spans="2:15" x14ac:dyDescent="0.2">
      <c r="B34" s="39" t="s">
        <v>43</v>
      </c>
      <c r="C34" s="26"/>
      <c r="D34" s="27"/>
      <c r="E34" s="28"/>
      <c r="F34" s="195"/>
      <c r="G34" s="67">
        <f>IF($T$1=1,IF($F$16&gt;=600,600,IF($F$16&lt;600,$F$16*(1+$F$66),$F$16-600)),IF($T$1=2,IF($F$16&gt;=1000,1000,IF($F$16&lt;1000,$F$16*(1+$F$66),$F$16-1000))))</f>
        <v>5</v>
      </c>
      <c r="H34" s="192">
        <f>G34*F34</f>
        <v>0</v>
      </c>
      <c r="I34" s="32"/>
      <c r="J34" s="191"/>
      <c r="K34" s="67">
        <f>IF($T$1=1,IF($F$16&gt;=600,600,IF($F$16&lt;600,$F$16*(1+$J$66),$F$16-600)),IF($T$1=2,IF($F$16&gt;=1000,1000,IF($F$16&lt;1000,$F$16*(1+$J$66),$F$16-1000))))</f>
        <v>5</v>
      </c>
      <c r="L34" s="192">
        <f>K34*J34</f>
        <v>0</v>
      </c>
      <c r="M34" s="32"/>
      <c r="N34" s="188">
        <f t="shared" si="8"/>
        <v>0</v>
      </c>
      <c r="O34" s="194" t="str">
        <f t="shared" si="9"/>
        <v/>
      </c>
    </row>
    <row r="35" spans="2:15" x14ac:dyDescent="0.2">
      <c r="B35" s="39" t="s">
        <v>45</v>
      </c>
      <c r="C35" s="26"/>
      <c r="D35" s="27"/>
      <c r="E35" s="28"/>
      <c r="F35" s="195"/>
      <c r="G35" s="67">
        <f>IF($T$1=1,IF($F$16&gt;=600,$F$16*(1+$F$66)-600,IF($F$16&lt;600,0,)), IF($T$1=2,IF($F$16&gt;=1000,$F$16*(1+$F$66)-1000,IF($F$16&lt;1000,0))))</f>
        <v>0</v>
      </c>
      <c r="H35" s="192">
        <f>G35*F35</f>
        <v>0</v>
      </c>
      <c r="I35" s="32"/>
      <c r="J35" s="191"/>
      <c r="K35" s="67">
        <f>IF($T$1=1,IF($F$16&gt;=600,$F$16*(1+$J$66)-600,IF($F$16&lt;600,0,)), IF($T$1=2,IF($F$16&gt;=1000,$F$16*(1+$J$66)-1000,IF($F$16&lt;1000,0))))</f>
        <v>0</v>
      </c>
      <c r="L35" s="192">
        <f>K35*J35</f>
        <v>0</v>
      </c>
      <c r="M35" s="32"/>
      <c r="N35" s="188">
        <f t="shared" si="8"/>
        <v>0</v>
      </c>
      <c r="O35" s="194" t="str">
        <f t="shared" si="9"/>
        <v/>
      </c>
    </row>
    <row r="36" spans="2:15" x14ac:dyDescent="0.2">
      <c r="B36" s="39" t="s">
        <v>46</v>
      </c>
      <c r="C36" s="26"/>
      <c r="D36" s="27"/>
      <c r="E36" s="28"/>
      <c r="F36" s="195"/>
      <c r="G36" s="81">
        <f>0.64*$F$16*(1+$F$53)</f>
        <v>3.3433600000000001</v>
      </c>
      <c r="H36" s="192">
        <f>G36*F36</f>
        <v>0</v>
      </c>
      <c r="I36" s="32"/>
      <c r="J36" s="191"/>
      <c r="K36" s="82">
        <f>0.64*$F$16*(1+$J$53)</f>
        <v>3.3094400000000004</v>
      </c>
      <c r="L36" s="192">
        <f t="shared" si="11"/>
        <v>0</v>
      </c>
      <c r="M36" s="32"/>
      <c r="N36" s="188">
        <f t="shared" si="8"/>
        <v>0</v>
      </c>
      <c r="O36" s="194" t="str">
        <f t="shared" si="9"/>
        <v/>
      </c>
    </row>
    <row r="37" spans="2:15" x14ac:dyDescent="0.2">
      <c r="B37" s="39" t="s">
        <v>47</v>
      </c>
      <c r="C37" s="26"/>
      <c r="D37" s="27"/>
      <c r="E37" s="28"/>
      <c r="F37" s="195"/>
      <c r="G37" s="81">
        <f>0.18*$F$16*(1+$F$53)</f>
        <v>0.94031999999999982</v>
      </c>
      <c r="H37" s="192">
        <f t="shared" si="10"/>
        <v>0</v>
      </c>
      <c r="I37" s="32"/>
      <c r="J37" s="191"/>
      <c r="K37" s="82">
        <f>0.18*$F$16*(1+$J$53)</f>
        <v>0.93077999999999994</v>
      </c>
      <c r="L37" s="192">
        <f t="shared" si="11"/>
        <v>0</v>
      </c>
      <c r="M37" s="32"/>
      <c r="N37" s="188">
        <f t="shared" si="8"/>
        <v>0</v>
      </c>
      <c r="O37" s="194" t="str">
        <f t="shared" si="9"/>
        <v/>
      </c>
    </row>
    <row r="38" spans="2:15" ht="13.5" thickBot="1" x14ac:dyDescent="0.25">
      <c r="B38" s="16" t="s">
        <v>48</v>
      </c>
      <c r="C38" s="26"/>
      <c r="D38" s="27"/>
      <c r="E38" s="28"/>
      <c r="F38" s="195"/>
      <c r="G38" s="81">
        <f>0.18*$F$16*(1+$F$53)</f>
        <v>0.94031999999999982</v>
      </c>
      <c r="H38" s="192">
        <f t="shared" si="10"/>
        <v>0</v>
      </c>
      <c r="I38" s="32"/>
      <c r="J38" s="191"/>
      <c r="K38" s="82">
        <f>0.18*$F$16*(1+$J$53)</f>
        <v>0.93077999999999994</v>
      </c>
      <c r="L38" s="192">
        <f t="shared" si="11"/>
        <v>0</v>
      </c>
      <c r="M38" s="32"/>
      <c r="N38" s="188">
        <f t="shared" si="8"/>
        <v>0</v>
      </c>
      <c r="O38" s="194" t="str">
        <f t="shared" si="9"/>
        <v/>
      </c>
    </row>
    <row r="39" spans="2:15" ht="8.25" customHeight="1" thickBot="1" x14ac:dyDescent="0.25">
      <c r="B39" s="83"/>
      <c r="C39" s="84"/>
      <c r="D39" s="85"/>
      <c r="E39" s="84"/>
      <c r="F39" s="86"/>
      <c r="G39" s="87"/>
      <c r="H39" s="91"/>
      <c r="I39" s="89"/>
      <c r="J39" s="86"/>
      <c r="K39" s="90"/>
      <c r="L39" s="91"/>
      <c r="M39" s="89"/>
      <c r="N39" s="92"/>
      <c r="O39" s="147"/>
    </row>
    <row r="40" spans="2:15" x14ac:dyDescent="0.2">
      <c r="B40" s="94" t="s">
        <v>49</v>
      </c>
      <c r="C40" s="26"/>
      <c r="D40" s="26"/>
      <c r="E40" s="26"/>
      <c r="F40" s="95"/>
      <c r="G40" s="96"/>
      <c r="H40" s="196">
        <f>SUM(H29:H35)</f>
        <v>5.25</v>
      </c>
      <c r="I40" s="98"/>
      <c r="J40" s="99"/>
      <c r="K40" s="99"/>
      <c r="L40" s="197">
        <f>SUM(L29:L35)</f>
        <v>5.4</v>
      </c>
      <c r="M40" s="101"/>
      <c r="N40" s="198">
        <f t="shared" si="8"/>
        <v>0.15000000000000036</v>
      </c>
      <c r="O40" s="199">
        <f t="shared" si="9"/>
        <v>2.857142857142864E-2</v>
      </c>
    </row>
    <row r="41" spans="2:15" x14ac:dyDescent="0.2">
      <c r="B41" s="104" t="s">
        <v>50</v>
      </c>
      <c r="C41" s="26"/>
      <c r="D41" s="26"/>
      <c r="E41" s="26"/>
      <c r="F41" s="105">
        <v>0.13</v>
      </c>
      <c r="G41" s="96"/>
      <c r="H41" s="200">
        <f>H40*F41</f>
        <v>0.6825</v>
      </c>
      <c r="I41" s="107"/>
      <c r="J41" s="108">
        <v>0.13</v>
      </c>
      <c r="K41" s="109"/>
      <c r="L41" s="201">
        <f>L40*J41</f>
        <v>0.70200000000000007</v>
      </c>
      <c r="M41" s="111"/>
      <c r="N41" s="202">
        <f t="shared" si="8"/>
        <v>1.9500000000000073E-2</v>
      </c>
      <c r="O41" s="203">
        <f t="shared" si="9"/>
        <v>2.8571428571428678E-2</v>
      </c>
    </row>
    <row r="42" spans="2:15" x14ac:dyDescent="0.2">
      <c r="B42" s="114" t="s">
        <v>51</v>
      </c>
      <c r="C42" s="26"/>
      <c r="D42" s="26"/>
      <c r="E42" s="26"/>
      <c r="F42" s="115"/>
      <c r="G42" s="116"/>
      <c r="H42" s="200">
        <f>H40+H41</f>
        <v>5.9325000000000001</v>
      </c>
      <c r="I42" s="107"/>
      <c r="J42" s="107"/>
      <c r="K42" s="107"/>
      <c r="L42" s="201">
        <f>L40+L41</f>
        <v>6.1020000000000003</v>
      </c>
      <c r="M42" s="111"/>
      <c r="N42" s="202">
        <f t="shared" si="8"/>
        <v>0.16950000000000021</v>
      </c>
      <c r="O42" s="203">
        <f t="shared" si="9"/>
        <v>2.8571428571428605E-2</v>
      </c>
    </row>
    <row r="43" spans="2:15" x14ac:dyDescent="0.2">
      <c r="B43" s="232" t="s">
        <v>52</v>
      </c>
      <c r="C43" s="232"/>
      <c r="D43" s="232"/>
      <c r="E43" s="26"/>
      <c r="F43" s="115"/>
      <c r="G43" s="116"/>
      <c r="H43" s="204">
        <f>ROUND(-H42*10%,2)</f>
        <v>-0.59</v>
      </c>
      <c r="I43" s="107"/>
      <c r="J43" s="107"/>
      <c r="K43" s="107"/>
      <c r="L43" s="205">
        <f>ROUND(-L42*10%,2)</f>
        <v>-0.61</v>
      </c>
      <c r="M43" s="111"/>
      <c r="N43" s="206">
        <f t="shared" si="8"/>
        <v>-2.0000000000000018E-2</v>
      </c>
      <c r="O43" s="207">
        <f t="shared" si="9"/>
        <v>3.3898305084745797E-2</v>
      </c>
    </row>
    <row r="44" spans="2:15" ht="13.5" thickBot="1" x14ac:dyDescent="0.25">
      <c r="B44" s="225" t="s">
        <v>53</v>
      </c>
      <c r="C44" s="225"/>
      <c r="D44" s="225"/>
      <c r="E44" s="121"/>
      <c r="F44" s="122"/>
      <c r="G44" s="123"/>
      <c r="H44" s="208">
        <f>SUM(H42:H43)</f>
        <v>5.3425000000000002</v>
      </c>
      <c r="I44" s="125"/>
      <c r="J44" s="125"/>
      <c r="K44" s="125"/>
      <c r="L44" s="209">
        <f>SUM(L42:L43)</f>
        <v>5.492</v>
      </c>
      <c r="M44" s="127"/>
      <c r="N44" s="210">
        <f t="shared" si="8"/>
        <v>0.14949999999999974</v>
      </c>
      <c r="O44" s="211">
        <f t="shared" si="9"/>
        <v>2.798315395414127E-2</v>
      </c>
    </row>
    <row r="45" spans="2:15" ht="8.25" customHeight="1" thickBot="1" x14ac:dyDescent="0.25">
      <c r="B45" s="83"/>
      <c r="C45" s="84"/>
      <c r="D45" s="85"/>
      <c r="E45" s="84"/>
      <c r="F45" s="130"/>
      <c r="G45" s="131"/>
      <c r="H45" s="132"/>
      <c r="I45" s="133"/>
      <c r="J45" s="130"/>
      <c r="K45" s="87"/>
      <c r="L45" s="134"/>
      <c r="M45" s="89"/>
      <c r="N45" s="135"/>
      <c r="O45" s="147"/>
    </row>
    <row r="46" spans="2:15" x14ac:dyDescent="0.2">
      <c r="B46" s="94" t="s">
        <v>54</v>
      </c>
      <c r="C46" s="26"/>
      <c r="D46" s="26"/>
      <c r="E46" s="26"/>
      <c r="F46" s="95"/>
      <c r="G46" s="96"/>
      <c r="H46" s="196">
        <f>SUM(H29:H33,H36:H38)</f>
        <v>5.25</v>
      </c>
      <c r="I46" s="98"/>
      <c r="J46" s="99"/>
      <c r="K46" s="99"/>
      <c r="L46" s="212">
        <f>SUM(L29:L33,L36:L38)</f>
        <v>5.4</v>
      </c>
      <c r="M46" s="101"/>
      <c r="N46" s="198">
        <f t="shared" ref="N46" si="12">L46-H46</f>
        <v>0.15000000000000036</v>
      </c>
      <c r="O46" s="199">
        <f t="shared" ref="O46" si="13">IF((H46)=0,"",(N46/H46))</f>
        <v>2.857142857142864E-2</v>
      </c>
    </row>
    <row r="47" spans="2:15" x14ac:dyDescent="0.2">
      <c r="B47" s="104" t="s">
        <v>50</v>
      </c>
      <c r="C47" s="26"/>
      <c r="D47" s="26"/>
      <c r="E47" s="26"/>
      <c r="F47" s="105">
        <v>0.13</v>
      </c>
      <c r="G47" s="116"/>
      <c r="H47" s="200">
        <f>H46*F47</f>
        <v>0.6825</v>
      </c>
      <c r="I47" s="107"/>
      <c r="J47" s="137">
        <v>0.13</v>
      </c>
      <c r="K47" s="107"/>
      <c r="L47" s="201">
        <f>L46*J47</f>
        <v>0.70200000000000007</v>
      </c>
      <c r="M47" s="111"/>
      <c r="N47" s="202">
        <f t="shared" si="8"/>
        <v>1.9500000000000073E-2</v>
      </c>
      <c r="O47" s="203">
        <f t="shared" si="9"/>
        <v>2.8571428571428678E-2</v>
      </c>
    </row>
    <row r="48" spans="2:15" x14ac:dyDescent="0.2">
      <c r="B48" s="114" t="s">
        <v>51</v>
      </c>
      <c r="C48" s="26"/>
      <c r="D48" s="26"/>
      <c r="E48" s="26"/>
      <c r="F48" s="115"/>
      <c r="G48" s="116"/>
      <c r="H48" s="200">
        <f>H46+H47</f>
        <v>5.9325000000000001</v>
      </c>
      <c r="I48" s="107"/>
      <c r="J48" s="107"/>
      <c r="K48" s="107"/>
      <c r="L48" s="201">
        <f>L46+L47</f>
        <v>6.1020000000000003</v>
      </c>
      <c r="M48" s="111"/>
      <c r="N48" s="202">
        <f t="shared" si="8"/>
        <v>0.16950000000000021</v>
      </c>
      <c r="O48" s="203">
        <f t="shared" si="9"/>
        <v>2.8571428571428605E-2</v>
      </c>
    </row>
    <row r="49" spans="1:15" x14ac:dyDescent="0.2">
      <c r="B49" s="232" t="s">
        <v>52</v>
      </c>
      <c r="C49" s="232"/>
      <c r="D49" s="232"/>
      <c r="E49" s="26"/>
      <c r="F49" s="115"/>
      <c r="G49" s="116"/>
      <c r="H49" s="204">
        <f>ROUND(-H48*10%,2)</f>
        <v>-0.59</v>
      </c>
      <c r="I49" s="107"/>
      <c r="J49" s="107"/>
      <c r="K49" s="107"/>
      <c r="L49" s="205">
        <f>ROUND(-L48*10%,2)</f>
        <v>-0.61</v>
      </c>
      <c r="M49" s="111"/>
      <c r="N49" s="206">
        <f t="shared" si="8"/>
        <v>-2.0000000000000018E-2</v>
      </c>
      <c r="O49" s="207">
        <f t="shared" si="9"/>
        <v>3.3898305084745797E-2</v>
      </c>
    </row>
    <row r="50" spans="1:15" ht="13.5" thickBot="1" x14ac:dyDescent="0.25">
      <c r="B50" s="225" t="s">
        <v>55</v>
      </c>
      <c r="C50" s="225"/>
      <c r="D50" s="225"/>
      <c r="E50" s="121"/>
      <c r="F50" s="138"/>
      <c r="G50" s="139"/>
      <c r="H50" s="213">
        <f>H48+H49</f>
        <v>5.3425000000000002</v>
      </c>
      <c r="I50" s="141"/>
      <c r="J50" s="141"/>
      <c r="K50" s="141"/>
      <c r="L50" s="214">
        <f>L48+L49</f>
        <v>5.492</v>
      </c>
      <c r="M50" s="143"/>
      <c r="N50" s="215">
        <f t="shared" si="8"/>
        <v>0.14949999999999974</v>
      </c>
      <c r="O50" s="216">
        <f t="shared" si="9"/>
        <v>2.798315395414127E-2</v>
      </c>
    </row>
    <row r="51" spans="1:15" ht="8.25" customHeight="1" thickBot="1" x14ac:dyDescent="0.25">
      <c r="B51" s="83"/>
      <c r="C51" s="84"/>
      <c r="D51" s="85"/>
      <c r="E51" s="84"/>
      <c r="F51" s="130"/>
      <c r="G51" s="131"/>
      <c r="H51" s="132"/>
      <c r="I51" s="133"/>
      <c r="J51" s="130"/>
      <c r="K51" s="87"/>
      <c r="L51" s="134"/>
      <c r="M51" s="89"/>
      <c r="N51" s="135"/>
      <c r="O51" s="147"/>
    </row>
    <row r="52" spans="1:15" ht="10.5" customHeight="1" x14ac:dyDescent="0.2">
      <c r="L52" s="148"/>
    </row>
    <row r="53" spans="1:15" x14ac:dyDescent="0.2">
      <c r="B53" s="17" t="s">
        <v>56</v>
      </c>
      <c r="F53" s="149">
        <v>4.48E-2</v>
      </c>
      <c r="J53" s="149">
        <v>3.4200000000000001E-2</v>
      </c>
    </row>
    <row r="54" spans="1:15" ht="10.5" customHeight="1" x14ac:dyDescent="0.2"/>
    <row r="55" spans="1:15" ht="10.5" customHeight="1" x14ac:dyDescent="0.2">
      <c r="A55" s="150" t="s">
        <v>57</v>
      </c>
    </row>
    <row r="56" spans="1:15" ht="10.5" customHeight="1" x14ac:dyDescent="0.2"/>
    <row r="57" spans="1:15" x14ac:dyDescent="0.2">
      <c r="A57" s="11" t="s">
        <v>58</v>
      </c>
    </row>
    <row r="58" spans="1:15" x14ac:dyDescent="0.2">
      <c r="A58" s="11" t="s">
        <v>59</v>
      </c>
    </row>
    <row r="60" spans="1:15" x14ac:dyDescent="0.2">
      <c r="A60" s="11" t="s">
        <v>60</v>
      </c>
    </row>
    <row r="61" spans="1:15" x14ac:dyDescent="0.2">
      <c r="A61" s="11" t="s">
        <v>61</v>
      </c>
    </row>
    <row r="63" spans="1:15" x14ac:dyDescent="0.2">
      <c r="A63" s="11" t="s">
        <v>62</v>
      </c>
    </row>
    <row r="64" spans="1:15" x14ac:dyDescent="0.2">
      <c r="A64" s="11" t="s">
        <v>63</v>
      </c>
    </row>
    <row r="65" spans="1:1" x14ac:dyDescent="0.2">
      <c r="A65" s="11" t="s">
        <v>64</v>
      </c>
    </row>
    <row r="66" spans="1:1" x14ac:dyDescent="0.2">
      <c r="A66" s="11" t="s">
        <v>65</v>
      </c>
    </row>
    <row r="67" spans="1:1" x14ac:dyDescent="0.2">
      <c r="A67" s="11" t="s">
        <v>66</v>
      </c>
    </row>
  </sheetData>
  <sheetProtection selectLockedCells="1"/>
  <mergeCells count="14">
    <mergeCell ref="B50:D50"/>
    <mergeCell ref="D19:D20"/>
    <mergeCell ref="N19:N20"/>
    <mergeCell ref="O19:O20"/>
    <mergeCell ref="B43:D43"/>
    <mergeCell ref="B44:D44"/>
    <mergeCell ref="B49:D49"/>
    <mergeCell ref="A3:K3"/>
    <mergeCell ref="B10:O10"/>
    <mergeCell ref="B11:O11"/>
    <mergeCell ref="D14:O14"/>
    <mergeCell ref="F18:H18"/>
    <mergeCell ref="J18:L18"/>
    <mergeCell ref="N18:O18"/>
  </mergeCells>
  <dataValidations count="3">
    <dataValidation type="list" allowBlank="1" showInputMessage="1" showErrorMessage="1" sqref="E34:E35">
      <formula1>#REF!</formula1>
    </dataValidation>
    <dataValidation type="list" allowBlank="1" showInputMessage="1" showErrorMessage="1" prompt="Select Charge Unit - monthly, per kWh, per kW" sqref="D27:D28 D45 D51 D23:D25 D30:D39 D21">
      <formula1>"Monthly, per kWh, per kW"</formula1>
    </dataValidation>
    <dataValidation type="list" allowBlank="1" showInputMessage="1" showErrorMessage="1" sqref="E27:E28 E45 E51 E23:E25 E30:E33 E36:E39 E21">
      <formula1>#REF!</formula1>
    </dataValidation>
  </dataValidations>
  <pageMargins left="0.75" right="0.75" top="1" bottom="1" header="0.5" footer="0.5"/>
  <pageSetup scale="64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1</xdr:col>
                    <xdr:colOff>609600</xdr:colOff>
                    <xdr:row>2</xdr:row>
                    <xdr:rowOff>28575</xdr:rowOff>
                  </from>
                  <to>
                    <xdr:col>1</xdr:col>
                    <xdr:colOff>895350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1</xdr:col>
                    <xdr:colOff>838200</xdr:colOff>
                    <xdr:row>2</xdr:row>
                    <xdr:rowOff>28575</xdr:rowOff>
                  </from>
                  <to>
                    <xdr:col>1</xdr:col>
                    <xdr:colOff>1504950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App.2-W_Bill Impacts RS</vt:lpstr>
      <vt:lpstr>App.2-W_Bill Impacts GS &lt; 50</vt:lpstr>
      <vt:lpstr>App.2-W_Bill Impacts GS &gt;50</vt:lpstr>
      <vt:lpstr>App.2-W_Bill Impacts GS &gt;50 IM</vt:lpstr>
      <vt:lpstr>App.2-W_Bill Impacts GS &gt;1,000</vt:lpstr>
      <vt:lpstr>App.2-W_Bill Impacts USL</vt:lpstr>
      <vt:lpstr>App.2-W_Bill Impacts Sentinel</vt:lpstr>
      <vt:lpstr>App.2-W_Bill Impacts ST</vt:lpstr>
      <vt:lpstr>App.2-W_Bill Impacts - Microfit</vt:lpstr>
      <vt:lpstr>'App.2-W_Bill Impacts - Microfit'!Print_Area</vt:lpstr>
      <vt:lpstr>'App.2-W_Bill Impacts GS &lt; 50'!Print_Area</vt:lpstr>
      <vt:lpstr>'App.2-W_Bill Impacts GS &gt;1,000'!Print_Area</vt:lpstr>
      <vt:lpstr>'App.2-W_Bill Impacts GS &gt;50'!Print_Area</vt:lpstr>
      <vt:lpstr>'App.2-W_Bill Impacts GS &gt;50 IM'!Print_Area</vt:lpstr>
      <vt:lpstr>'App.2-W_Bill Impacts RS'!Print_Area</vt:lpstr>
      <vt:lpstr>'App.2-W_Bill Impacts Sentinel'!Print_Area</vt:lpstr>
      <vt:lpstr>'App.2-W_Bill Impacts ST'!Print_Area</vt:lpstr>
      <vt:lpstr>'App.2-W_Bill Impacts USL'!Print_Area</vt:lpstr>
    </vt:vector>
  </TitlesOfParts>
  <Company>Thunder Bay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jpajala</dc:creator>
  <cp:lastModifiedBy>jpajala</cp:lastModifiedBy>
  <cp:lastPrinted>2013-04-19T15:53:59Z</cp:lastPrinted>
  <dcterms:created xsi:type="dcterms:W3CDTF">2013-02-18T20:13:39Z</dcterms:created>
  <dcterms:modified xsi:type="dcterms:W3CDTF">2013-04-19T15:58:06Z</dcterms:modified>
</cp:coreProperties>
</file>