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2720" windowHeight="12090" tabRatio="736" activeTab="3"/>
  </bookViews>
  <sheets>
    <sheet name="Revenue Input" sheetId="17" r:id="rId1"/>
    <sheet name="Transformer Allowance" sheetId="16" r:id="rId2"/>
    <sheet name="Forecast Data For2013" sheetId="13" r:id="rId3"/>
    <sheet name="2012 Existing Rates" sheetId="10" r:id="rId4"/>
    <sheet name="2013 Test Yr On Existing Rates" sheetId="12" r:id="rId5"/>
    <sheet name="Cost Allocation Study" sheetId="7" r:id="rId6"/>
    <sheet name="Rates By Rate Class" sheetId="2" r:id="rId7"/>
    <sheet name="BILL IMPACTS" sheetId="20" state="hidden" r:id="rId8"/>
    <sheet name="Distribution Rate Schedule" sheetId="14" r:id="rId9"/>
    <sheet name="Rate Schedule " sheetId="24" r:id="rId10"/>
    <sheet name="Dist. Rev. Reconciliation" sheetId="15" r:id="rId11"/>
    <sheet name="Revenue Deficiency Analysis" sheetId="27" r:id="rId12"/>
    <sheet name="Appendix 2-O Table a" sheetId="29" state="hidden" r:id="rId13"/>
    <sheet name="Appendix 2-O Table b" sheetId="30" state="hidden" r:id="rId14"/>
    <sheet name="Appendix 2-O Table c" sheetId="31" state="hidden" r:id="rId15"/>
    <sheet name="Appendix 2-O Table d" sheetId="32" state="hidden" r:id="rId16"/>
    <sheet name="Rate Schedule Part 2" sheetId="33" r:id="rId17"/>
  </sheets>
  <definedNames>
    <definedName name="_xlnm.Print_Area" localSheetId="3">'2012 Existing Rates'!$A$1:$E$15</definedName>
    <definedName name="_xlnm.Print_Area" localSheetId="4">'2013 Test Yr On Existing Rates'!$A$1:$O$35</definedName>
    <definedName name="_xlnm.Print_Area" localSheetId="12">'Appendix 2-O Table a'!$A$1:$E$13</definedName>
    <definedName name="_xlnm.Print_Area" localSheetId="13">'Appendix 2-O Table b'!$A$2:$E$14</definedName>
    <definedName name="_xlnm.Print_Area" localSheetId="14">'Appendix 2-O Table c'!$A$1:$D$14</definedName>
    <definedName name="_xlnm.Print_Area" localSheetId="15">'Appendix 2-O Table d'!$A$1:$E$13</definedName>
    <definedName name="_xlnm.Print_Area" localSheetId="7">'BILL IMPACTS'!$A$5:$P$719</definedName>
    <definedName name="_xlnm.Print_Area" localSheetId="5">'Cost Allocation Study'!$A$1:$M$17</definedName>
    <definedName name="_xlnm.Print_Area" localSheetId="10">'Dist. Rev. Reconciliation'!$A$3:$F$18</definedName>
    <definedName name="_xlnm.Print_Area" localSheetId="8">'Distribution Rate Schedule'!$A$1:$E$31</definedName>
    <definedName name="_xlnm.Print_Area" localSheetId="2">'Forecast Data For2013'!$A$1:$C$28</definedName>
    <definedName name="_xlnm.Print_Area" localSheetId="9">'Rate Schedule '!$A$4:$E$36</definedName>
    <definedName name="_xlnm.Print_Area" localSheetId="6">'Rates By Rate Class'!$A$1:$I$35</definedName>
    <definedName name="_xlnm.Print_Area" localSheetId="11">'Revenue Deficiency Analysis'!$A$3:$I$30</definedName>
    <definedName name="_xlnm.Print_Area" localSheetId="0">'Revenue Input'!$A$1:$B$11</definedName>
    <definedName name="_xlnm.Print_Area" localSheetId="1">'Transformer Allowance'!$A$1:$C$30</definedName>
  </definedNames>
  <calcPr calcId="145621"/>
</workbook>
</file>

<file path=xl/calcChain.xml><?xml version="1.0" encoding="utf-8"?>
<calcChain xmlns="http://schemas.openxmlformats.org/spreadsheetml/2006/main">
  <c r="F24" i="2" l="1"/>
  <c r="F23" i="2"/>
  <c r="F6" i="2" l="1"/>
  <c r="H10" i="15" l="1"/>
  <c r="C6" i="10" l="1"/>
  <c r="C7" i="10" l="1"/>
  <c r="L8" i="12" l="1"/>
  <c r="L7" i="12"/>
  <c r="C610" i="20" l="1"/>
  <c r="G616" i="20" s="1"/>
  <c r="C611" i="20"/>
  <c r="G609" i="20" s="1"/>
  <c r="E12" i="12"/>
  <c r="E9" i="27"/>
  <c r="G9" i="27" s="1"/>
  <c r="B8" i="27"/>
  <c r="B7" i="27"/>
  <c r="H7" i="27" s="1"/>
  <c r="D8" i="12"/>
  <c r="M8" i="12" s="1"/>
  <c r="B13" i="27"/>
  <c r="H13" i="27" s="1"/>
  <c r="H8" i="7"/>
  <c r="H11" i="7"/>
  <c r="H12" i="7"/>
  <c r="B15" i="16"/>
  <c r="B14" i="12"/>
  <c r="G14" i="12" s="1"/>
  <c r="O14" i="12" s="1"/>
  <c r="C12" i="12"/>
  <c r="G12" i="12" s="1"/>
  <c r="O12" i="12" s="1"/>
  <c r="C9" i="27"/>
  <c r="H9" i="27" s="1"/>
  <c r="E8" i="27"/>
  <c r="G8" i="27" s="1"/>
  <c r="E14" i="12"/>
  <c r="F14" i="12" s="1"/>
  <c r="C11" i="12"/>
  <c r="G11" i="12" s="1"/>
  <c r="K632" i="20"/>
  <c r="L632" i="20"/>
  <c r="M632" i="20" s="1"/>
  <c r="N632" i="20" s="1"/>
  <c r="I9" i="7"/>
  <c r="J9" i="7"/>
  <c r="E10" i="30" s="1"/>
  <c r="C13" i="16"/>
  <c r="I11" i="12"/>
  <c r="D11" i="12"/>
  <c r="F11" i="12" s="1"/>
  <c r="N11" i="12" s="1"/>
  <c r="L569" i="20"/>
  <c r="H10" i="2"/>
  <c r="C12" i="16"/>
  <c r="I10" i="12"/>
  <c r="K425" i="20"/>
  <c r="C11" i="16"/>
  <c r="H8" i="2"/>
  <c r="D9" i="12"/>
  <c r="F9" i="12" s="1"/>
  <c r="D7" i="12"/>
  <c r="M7" i="12" s="1"/>
  <c r="A7" i="10"/>
  <c r="A6" i="7" s="1"/>
  <c r="A8" i="10"/>
  <c r="A7" i="7" s="1"/>
  <c r="A9" i="10"/>
  <c r="A8" i="7"/>
  <c r="A10" i="10"/>
  <c r="A9" i="7" s="1"/>
  <c r="A11" i="10"/>
  <c r="A12" i="10"/>
  <c r="A11" i="7"/>
  <c r="A13" i="10"/>
  <c r="A12" i="7" s="1"/>
  <c r="A6" i="10"/>
  <c r="A5" i="7" s="1"/>
  <c r="J687" i="20"/>
  <c r="G687" i="20"/>
  <c r="H687" i="20"/>
  <c r="I687" i="20"/>
  <c r="I692" i="20"/>
  <c r="B13" i="31"/>
  <c r="B12" i="31"/>
  <c r="B11" i="31"/>
  <c r="B10" i="31"/>
  <c r="B9" i="31"/>
  <c r="B8" i="31"/>
  <c r="B7" i="31"/>
  <c r="B6" i="31"/>
  <c r="K715" i="20"/>
  <c r="H715" i="20"/>
  <c r="G712" i="20"/>
  <c r="J710" i="20"/>
  <c r="H710" i="20"/>
  <c r="G710" i="20"/>
  <c r="I710" i="20"/>
  <c r="J709" i="20"/>
  <c r="G709" i="20"/>
  <c r="I709" i="20"/>
  <c r="H708" i="20"/>
  <c r="J707" i="20"/>
  <c r="J708" i="20"/>
  <c r="G707" i="20"/>
  <c r="I706" i="20"/>
  <c r="I711" i="20"/>
  <c r="K677" i="20"/>
  <c r="H677" i="20"/>
  <c r="G676" i="20"/>
  <c r="G677" i="20"/>
  <c r="H672" i="20"/>
  <c r="I672" i="20"/>
  <c r="H670" i="20"/>
  <c r="G669" i="20"/>
  <c r="H668" i="20"/>
  <c r="I668" i="20"/>
  <c r="I673" i="20"/>
  <c r="G668" i="20"/>
  <c r="J668" i="20"/>
  <c r="K637" i="20"/>
  <c r="H637" i="20"/>
  <c r="G636" i="20"/>
  <c r="G637" i="20"/>
  <c r="H632" i="20"/>
  <c r="I632" i="20"/>
  <c r="H630" i="20"/>
  <c r="I630" i="20"/>
  <c r="G629" i="20"/>
  <c r="J629" i="20"/>
  <c r="H628" i="20"/>
  <c r="I628" i="20"/>
  <c r="I633" i="20"/>
  <c r="K597" i="20"/>
  <c r="H597" i="20"/>
  <c r="G596" i="20"/>
  <c r="G597" i="20"/>
  <c r="J594" i="20"/>
  <c r="G594" i="20"/>
  <c r="J592" i="20"/>
  <c r="H592" i="20"/>
  <c r="I592" i="20"/>
  <c r="G592" i="20"/>
  <c r="I590" i="20"/>
  <c r="J589" i="20"/>
  <c r="H589" i="20"/>
  <c r="I589" i="20"/>
  <c r="G588" i="20"/>
  <c r="G589" i="20"/>
  <c r="I587" i="20"/>
  <c r="I593" i="20"/>
  <c r="K576" i="20"/>
  <c r="H576" i="20"/>
  <c r="G575" i="20"/>
  <c r="G576" i="20"/>
  <c r="J573" i="20"/>
  <c r="G573" i="20"/>
  <c r="J571" i="20"/>
  <c r="H571" i="20"/>
  <c r="I571" i="20"/>
  <c r="G571" i="20"/>
  <c r="I569" i="20"/>
  <c r="J568" i="20"/>
  <c r="H568" i="20"/>
  <c r="I568" i="20"/>
  <c r="G567" i="20"/>
  <c r="G568" i="20"/>
  <c r="G570" i="20"/>
  <c r="I566" i="20"/>
  <c r="I572" i="20"/>
  <c r="K555" i="20"/>
  <c r="H555" i="20"/>
  <c r="G554" i="20"/>
  <c r="G555" i="20"/>
  <c r="J552" i="20"/>
  <c r="G552" i="20"/>
  <c r="J550" i="20"/>
  <c r="H550" i="20"/>
  <c r="I550" i="20"/>
  <c r="G550" i="20"/>
  <c r="I548" i="20"/>
  <c r="J547" i="20"/>
  <c r="H547" i="20"/>
  <c r="G546" i="20"/>
  <c r="G547" i="20"/>
  <c r="G549" i="20"/>
  <c r="I549" i="20"/>
  <c r="I545" i="20"/>
  <c r="K514" i="20"/>
  <c r="H514" i="20"/>
  <c r="G513" i="20"/>
  <c r="J511" i="20"/>
  <c r="G511" i="20"/>
  <c r="J509" i="20"/>
  <c r="H509" i="20"/>
  <c r="I509" i="20"/>
  <c r="G509" i="20"/>
  <c r="L507" i="20"/>
  <c r="I507" i="20"/>
  <c r="J506" i="20"/>
  <c r="H506" i="20"/>
  <c r="G505" i="20"/>
  <c r="G506" i="20"/>
  <c r="I504" i="20"/>
  <c r="K493" i="20"/>
  <c r="H493" i="20"/>
  <c r="G492" i="20"/>
  <c r="G493" i="20"/>
  <c r="J490" i="20"/>
  <c r="G490" i="20"/>
  <c r="J488" i="20"/>
  <c r="H488" i="20"/>
  <c r="I488" i="20"/>
  <c r="G488" i="20"/>
  <c r="L486" i="20"/>
  <c r="I486" i="20"/>
  <c r="J485" i="20"/>
  <c r="H485" i="20"/>
  <c r="G484" i="20"/>
  <c r="G485" i="20"/>
  <c r="G487" i="20"/>
  <c r="I483" i="20"/>
  <c r="K472" i="20"/>
  <c r="H472" i="20"/>
  <c r="G471" i="20"/>
  <c r="G472" i="20"/>
  <c r="J469" i="20"/>
  <c r="G469" i="20"/>
  <c r="J467" i="20"/>
  <c r="H467" i="20"/>
  <c r="I467" i="20"/>
  <c r="G467" i="20"/>
  <c r="L465" i="20"/>
  <c r="M465" i="20" s="1"/>
  <c r="N465" i="20" s="1"/>
  <c r="I465" i="20"/>
  <c r="J464" i="20"/>
  <c r="H464" i="20"/>
  <c r="I464" i="20"/>
  <c r="G463" i="20"/>
  <c r="J463" i="20"/>
  <c r="G464" i="20"/>
  <c r="I462" i="20"/>
  <c r="K451" i="20"/>
  <c r="H451" i="20"/>
  <c r="G450" i="20"/>
  <c r="G451" i="20"/>
  <c r="J448" i="20"/>
  <c r="G448" i="20"/>
  <c r="J446" i="20"/>
  <c r="H446" i="20"/>
  <c r="I446" i="20"/>
  <c r="G446" i="20"/>
  <c r="L444" i="20"/>
  <c r="M444" i="20" s="1"/>
  <c r="I444" i="20"/>
  <c r="J443" i="20"/>
  <c r="H443" i="20"/>
  <c r="G442" i="20"/>
  <c r="J442" i="20"/>
  <c r="I441" i="20"/>
  <c r="I447" i="20"/>
  <c r="K430" i="20"/>
  <c r="H430" i="20"/>
  <c r="G429" i="20"/>
  <c r="G430" i="20"/>
  <c r="J427" i="20"/>
  <c r="G427" i="20"/>
  <c r="J425" i="20"/>
  <c r="H425" i="20"/>
  <c r="I425" i="20"/>
  <c r="G425" i="20"/>
  <c r="L423" i="20"/>
  <c r="M423" i="20" s="1"/>
  <c r="N423" i="20" s="1"/>
  <c r="I423" i="20"/>
  <c r="J422" i="20"/>
  <c r="H422" i="20"/>
  <c r="G421" i="20"/>
  <c r="G422" i="20"/>
  <c r="I420" i="20"/>
  <c r="I426" i="20"/>
  <c r="K388" i="20"/>
  <c r="H388" i="20"/>
  <c r="G387" i="20"/>
  <c r="G388" i="20"/>
  <c r="J385" i="20"/>
  <c r="G385" i="20"/>
  <c r="J383" i="20"/>
  <c r="H383" i="20"/>
  <c r="I383" i="20"/>
  <c r="G383" i="20"/>
  <c r="L381" i="20"/>
  <c r="M381" i="20" s="1"/>
  <c r="N381" i="20" s="1"/>
  <c r="I381" i="20"/>
  <c r="J380" i="20"/>
  <c r="H380" i="20"/>
  <c r="G379" i="20"/>
  <c r="G380" i="20"/>
  <c r="I378" i="20"/>
  <c r="I384" i="20"/>
  <c r="K367" i="20"/>
  <c r="H367" i="20"/>
  <c r="G366" i="20"/>
  <c r="G367" i="20"/>
  <c r="J364" i="20"/>
  <c r="G364" i="20"/>
  <c r="J362" i="20"/>
  <c r="H362" i="20"/>
  <c r="I362" i="20"/>
  <c r="G362" i="20"/>
  <c r="L360" i="20"/>
  <c r="M360" i="20" s="1"/>
  <c r="N360" i="20" s="1"/>
  <c r="I360" i="20"/>
  <c r="J359" i="20"/>
  <c r="H359" i="20"/>
  <c r="I359" i="20"/>
  <c r="G358" i="20"/>
  <c r="G359" i="20"/>
  <c r="I357" i="20"/>
  <c r="K346" i="20"/>
  <c r="H346" i="20"/>
  <c r="G345" i="20"/>
  <c r="J343" i="20"/>
  <c r="G343" i="20"/>
  <c r="J341" i="20"/>
  <c r="H341" i="20"/>
  <c r="I341" i="20"/>
  <c r="G341" i="20"/>
  <c r="L339" i="20"/>
  <c r="M339" i="20" s="1"/>
  <c r="N339" i="20" s="1"/>
  <c r="I339" i="20"/>
  <c r="J338" i="20"/>
  <c r="H338" i="20"/>
  <c r="G337" i="20"/>
  <c r="J337" i="20"/>
  <c r="G338" i="20"/>
  <c r="I338" i="20"/>
  <c r="I336" i="20"/>
  <c r="K325" i="20"/>
  <c r="H325" i="20"/>
  <c r="G324" i="20"/>
  <c r="J322" i="20"/>
  <c r="G322" i="20"/>
  <c r="J320" i="20"/>
  <c r="H320" i="20"/>
  <c r="G320" i="20"/>
  <c r="I320" i="20"/>
  <c r="L318" i="20"/>
  <c r="M318" i="20" s="1"/>
  <c r="N318" i="20" s="1"/>
  <c r="I318" i="20"/>
  <c r="J317" i="20"/>
  <c r="H317" i="20"/>
  <c r="I317" i="20"/>
  <c r="G316" i="20"/>
  <c r="G317" i="20"/>
  <c r="I315" i="20"/>
  <c r="K304" i="20"/>
  <c r="H304" i="20"/>
  <c r="G303" i="20"/>
  <c r="J301" i="20"/>
  <c r="G301" i="20"/>
  <c r="J299" i="20"/>
  <c r="H299" i="20"/>
  <c r="I299" i="20"/>
  <c r="G299" i="20"/>
  <c r="L297" i="20"/>
  <c r="M297" i="20" s="1"/>
  <c r="N297" i="20" s="1"/>
  <c r="I297" i="20"/>
  <c r="J296" i="20"/>
  <c r="H296" i="20"/>
  <c r="I296" i="20"/>
  <c r="G295" i="20"/>
  <c r="J295" i="20"/>
  <c r="I294" i="20"/>
  <c r="K260" i="20"/>
  <c r="H260" i="20"/>
  <c r="K259" i="20"/>
  <c r="L259" i="20"/>
  <c r="H259" i="20"/>
  <c r="I259" i="20"/>
  <c r="G258" i="20"/>
  <c r="G260" i="20"/>
  <c r="G256" i="20"/>
  <c r="J254" i="20"/>
  <c r="H254" i="20"/>
  <c r="I254" i="20"/>
  <c r="G254" i="20"/>
  <c r="J253" i="20"/>
  <c r="G253" i="20"/>
  <c r="I253" i="20"/>
  <c r="I252" i="20"/>
  <c r="H251" i="20"/>
  <c r="J250" i="20"/>
  <c r="J251" i="20"/>
  <c r="H250" i="20"/>
  <c r="G250" i="20"/>
  <c r="I250" i="20"/>
  <c r="I249" i="20"/>
  <c r="I255" i="20"/>
  <c r="I257" i="20"/>
  <c r="K238" i="20"/>
  <c r="H238" i="20"/>
  <c r="K237" i="20"/>
  <c r="L237" i="20"/>
  <c r="H237" i="20"/>
  <c r="I237" i="20"/>
  <c r="G236" i="20"/>
  <c r="G238" i="20"/>
  <c r="G234" i="20"/>
  <c r="J232" i="20"/>
  <c r="H232" i="20"/>
  <c r="I232" i="20"/>
  <c r="G232" i="20"/>
  <c r="J231" i="20"/>
  <c r="G231" i="20"/>
  <c r="I231" i="20"/>
  <c r="I230" i="20"/>
  <c r="H229" i="20"/>
  <c r="J228" i="20"/>
  <c r="J229" i="20"/>
  <c r="H228" i="20"/>
  <c r="I228" i="20"/>
  <c r="I233" i="20"/>
  <c r="I235" i="20"/>
  <c r="I239" i="20" s="1"/>
  <c r="G228" i="20"/>
  <c r="I227" i="20"/>
  <c r="K216" i="20"/>
  <c r="H216" i="20"/>
  <c r="K215" i="20"/>
  <c r="L215" i="20"/>
  <c r="H215" i="20"/>
  <c r="I215" i="20"/>
  <c r="G214" i="20"/>
  <c r="G212" i="20"/>
  <c r="J210" i="20"/>
  <c r="H210" i="20"/>
  <c r="G210" i="20"/>
  <c r="I210" i="20"/>
  <c r="J209" i="20"/>
  <c r="G209" i="20"/>
  <c r="I209" i="20"/>
  <c r="I208" i="20"/>
  <c r="H207" i="20"/>
  <c r="I207" i="20"/>
  <c r="J206" i="20"/>
  <c r="J207" i="20"/>
  <c r="H206" i="20"/>
  <c r="I206" i="20"/>
  <c r="G206" i="20"/>
  <c r="I205" i="20"/>
  <c r="I211" i="20" s="1"/>
  <c r="I213" i="20" s="1"/>
  <c r="I217" i="20" s="1"/>
  <c r="K194" i="20"/>
  <c r="H194" i="20"/>
  <c r="K193" i="20"/>
  <c r="L193" i="20"/>
  <c r="H193" i="20"/>
  <c r="I193" i="20"/>
  <c r="G192" i="20"/>
  <c r="G190" i="20"/>
  <c r="J188" i="20"/>
  <c r="H188" i="20"/>
  <c r="G188" i="20"/>
  <c r="I188" i="20"/>
  <c r="J187" i="20"/>
  <c r="G187" i="20"/>
  <c r="I187" i="20"/>
  <c r="I186" i="20"/>
  <c r="H185" i="20"/>
  <c r="I185" i="20"/>
  <c r="J184" i="20"/>
  <c r="H184" i="20"/>
  <c r="I184" i="20"/>
  <c r="G184" i="20"/>
  <c r="G185" i="20"/>
  <c r="I183" i="20"/>
  <c r="I189" i="20" s="1"/>
  <c r="I191" i="20" s="1"/>
  <c r="I195" i="20" s="1"/>
  <c r="H190" i="20"/>
  <c r="K149" i="20"/>
  <c r="H149" i="20"/>
  <c r="G149" i="20"/>
  <c r="G148" i="20"/>
  <c r="G146" i="20"/>
  <c r="J144" i="20"/>
  <c r="H144" i="20"/>
  <c r="I144" i="20"/>
  <c r="G144" i="20"/>
  <c r="J143" i="20"/>
  <c r="G143" i="20"/>
  <c r="I143" i="20"/>
  <c r="I142" i="20"/>
  <c r="H141" i="20"/>
  <c r="J140" i="20"/>
  <c r="G140" i="20"/>
  <c r="I139" i="20"/>
  <c r="I145" i="20" s="1"/>
  <c r="I147" i="20" s="1"/>
  <c r="I150" i="20" s="1"/>
  <c r="K127" i="20"/>
  <c r="H127" i="20"/>
  <c r="G127" i="20"/>
  <c r="G126" i="20"/>
  <c r="G124" i="20"/>
  <c r="J122" i="20"/>
  <c r="H122" i="20"/>
  <c r="G122" i="20"/>
  <c r="I122" i="20"/>
  <c r="J121" i="20"/>
  <c r="G121" i="20"/>
  <c r="I121" i="20"/>
  <c r="I120" i="20"/>
  <c r="H119" i="20"/>
  <c r="I119" i="20"/>
  <c r="J118" i="20"/>
  <c r="G118" i="20"/>
  <c r="I117" i="20"/>
  <c r="I123" i="20" s="1"/>
  <c r="I125" i="20" s="1"/>
  <c r="I128" i="20" s="1"/>
  <c r="K105" i="20"/>
  <c r="H105" i="20"/>
  <c r="G105" i="20"/>
  <c r="I95" i="20"/>
  <c r="I101" i="20" s="1"/>
  <c r="I103" i="20" s="1"/>
  <c r="I106" i="20" s="1"/>
  <c r="H96" i="20"/>
  <c r="I96" i="20"/>
  <c r="H97" i="20"/>
  <c r="I98" i="20"/>
  <c r="H100" i="20"/>
  <c r="I100" i="20"/>
  <c r="G102" i="20"/>
  <c r="H102" i="20"/>
  <c r="G104" i="20"/>
  <c r="H104" i="20"/>
  <c r="J100" i="20"/>
  <c r="G100" i="20"/>
  <c r="J99" i="20"/>
  <c r="G99" i="20"/>
  <c r="I99" i="20"/>
  <c r="J96" i="20"/>
  <c r="J97" i="20"/>
  <c r="G96" i="20"/>
  <c r="G97" i="20"/>
  <c r="I97" i="20"/>
  <c r="K83" i="20"/>
  <c r="H83" i="20"/>
  <c r="G83" i="20"/>
  <c r="G82" i="20"/>
  <c r="G80" i="20"/>
  <c r="J78" i="20"/>
  <c r="H78" i="20"/>
  <c r="G78" i="20"/>
  <c r="I78" i="20"/>
  <c r="J77" i="20"/>
  <c r="G77" i="20"/>
  <c r="I77" i="20"/>
  <c r="I76" i="20"/>
  <c r="H75" i="20"/>
  <c r="J74" i="20"/>
  <c r="G74" i="20"/>
  <c r="G75" i="20"/>
  <c r="I75" i="20"/>
  <c r="I73" i="20"/>
  <c r="K62" i="20"/>
  <c r="H62" i="20"/>
  <c r="G62" i="20"/>
  <c r="G61" i="20"/>
  <c r="G59" i="20"/>
  <c r="J57" i="20"/>
  <c r="H57" i="20"/>
  <c r="G57" i="20"/>
  <c r="I57" i="20"/>
  <c r="J56" i="20"/>
  <c r="G56" i="20"/>
  <c r="I56" i="20"/>
  <c r="I55" i="20"/>
  <c r="H54" i="20"/>
  <c r="J53" i="20"/>
  <c r="G53" i="20"/>
  <c r="G54" i="20"/>
  <c r="I54" i="20"/>
  <c r="I52" i="20"/>
  <c r="I58" i="20" s="1"/>
  <c r="I60" i="20" s="1"/>
  <c r="I63" i="20" s="1"/>
  <c r="G628" i="20"/>
  <c r="G708" i="20"/>
  <c r="I708" i="20"/>
  <c r="J669" i="20"/>
  <c r="G670" i="20"/>
  <c r="J670" i="20"/>
  <c r="G630" i="20"/>
  <c r="J630" i="20"/>
  <c r="J567" i="20"/>
  <c r="J546" i="20"/>
  <c r="J505" i="20"/>
  <c r="G466" i="20"/>
  <c r="J466" i="20"/>
  <c r="N444" i="20"/>
  <c r="J421" i="20"/>
  <c r="J358" i="20"/>
  <c r="G340" i="20"/>
  <c r="J316" i="20"/>
  <c r="G251" i="20"/>
  <c r="I251" i="20"/>
  <c r="G229" i="20"/>
  <c r="I229" i="20"/>
  <c r="G207" i="20"/>
  <c r="G141" i="20"/>
  <c r="I141" i="20"/>
  <c r="J119" i="20"/>
  <c r="J75" i="20"/>
  <c r="J54" i="20"/>
  <c r="G671" i="20"/>
  <c r="G672" i="20"/>
  <c r="I670" i="20"/>
  <c r="G631" i="20"/>
  <c r="I466" i="20"/>
  <c r="J671" i="20"/>
  <c r="J672" i="20"/>
  <c r="I671" i="20"/>
  <c r="I631" i="20"/>
  <c r="J256" i="20"/>
  <c r="J258" i="20"/>
  <c r="J676" i="20"/>
  <c r="J677" i="20"/>
  <c r="J636" i="20"/>
  <c r="J693" i="20"/>
  <c r="J695" i="20"/>
  <c r="J696" i="20"/>
  <c r="L696" i="20"/>
  <c r="H463" i="20"/>
  <c r="I463" i="20"/>
  <c r="I468" i="20"/>
  <c r="B13" i="32"/>
  <c r="B13" i="29"/>
  <c r="F28" i="2"/>
  <c r="I12" i="20"/>
  <c r="G13" i="20"/>
  <c r="G14" i="20"/>
  <c r="J13" i="20"/>
  <c r="J14" i="20"/>
  <c r="H14" i="20"/>
  <c r="H13" i="20"/>
  <c r="I13" i="20"/>
  <c r="I18" i="20"/>
  <c r="I20" i="20" s="1"/>
  <c r="I23" i="20" s="1"/>
  <c r="I15" i="20"/>
  <c r="H17" i="20"/>
  <c r="I17" i="20"/>
  <c r="G19" i="20"/>
  <c r="H19" i="20"/>
  <c r="G21" i="20"/>
  <c r="H21" i="20"/>
  <c r="G22" i="20"/>
  <c r="H22" i="20"/>
  <c r="G16" i="20"/>
  <c r="I16" i="20"/>
  <c r="J16" i="20"/>
  <c r="G17" i="20"/>
  <c r="J17" i="20"/>
  <c r="K22" i="20"/>
  <c r="I32" i="20"/>
  <c r="I38" i="20" s="1"/>
  <c r="I40" i="20" s="1"/>
  <c r="I43" i="20" s="1"/>
  <c r="G33" i="20"/>
  <c r="G34" i="20"/>
  <c r="I34" i="20"/>
  <c r="J33" i="20"/>
  <c r="J34" i="20"/>
  <c r="H34" i="20"/>
  <c r="I35" i="20"/>
  <c r="G36" i="20"/>
  <c r="I36" i="20"/>
  <c r="J36" i="20"/>
  <c r="G37" i="20"/>
  <c r="H37" i="20"/>
  <c r="I37" i="20"/>
  <c r="J37" i="20"/>
  <c r="G39" i="20"/>
  <c r="J39" i="20"/>
  <c r="G41" i="20"/>
  <c r="G42" i="20"/>
  <c r="H42" i="20"/>
  <c r="K42" i="20"/>
  <c r="G71" i="20"/>
  <c r="J71" i="20"/>
  <c r="G93" i="20"/>
  <c r="J93" i="20"/>
  <c r="G115" i="20"/>
  <c r="J115" i="20"/>
  <c r="G137" i="20"/>
  <c r="J137" i="20"/>
  <c r="G159" i="20"/>
  <c r="J159" i="20"/>
  <c r="I161" i="20"/>
  <c r="I167" i="20"/>
  <c r="I169" i="20" s="1"/>
  <c r="I173" i="20" s="1"/>
  <c r="G162" i="20"/>
  <c r="H162" i="20"/>
  <c r="I162" i="20"/>
  <c r="H163" i="20"/>
  <c r="I164" i="20"/>
  <c r="H166" i="20"/>
  <c r="I166" i="20"/>
  <c r="J162" i="20"/>
  <c r="J163" i="20"/>
  <c r="G165" i="20"/>
  <c r="I165" i="20"/>
  <c r="J165" i="20"/>
  <c r="G166" i="20"/>
  <c r="J166" i="20"/>
  <c r="G168" i="20"/>
  <c r="G170" i="20"/>
  <c r="G172" i="20"/>
  <c r="H171" i="20"/>
  <c r="I171" i="20"/>
  <c r="K171" i="20"/>
  <c r="L171" i="20"/>
  <c r="H172" i="20"/>
  <c r="K172" i="20"/>
  <c r="G181" i="20"/>
  <c r="J181" i="20"/>
  <c r="G203" i="20"/>
  <c r="J203" i="20"/>
  <c r="G225" i="20"/>
  <c r="J225" i="20"/>
  <c r="G247" i="20"/>
  <c r="J247" i="20"/>
  <c r="G271" i="20"/>
  <c r="J271" i="20"/>
  <c r="I273" i="20"/>
  <c r="G274" i="20"/>
  <c r="H275" i="20"/>
  <c r="J275" i="20"/>
  <c r="I276" i="20"/>
  <c r="L276" i="20"/>
  <c r="M276" i="20" s="1"/>
  <c r="N276" i="20" s="1"/>
  <c r="G278" i="20"/>
  <c r="H278" i="20"/>
  <c r="I278" i="20"/>
  <c r="J278" i="20"/>
  <c r="G280" i="20"/>
  <c r="J280" i="20"/>
  <c r="G282" i="20"/>
  <c r="H283" i="20"/>
  <c r="K283" i="20"/>
  <c r="G292" i="20"/>
  <c r="J292" i="20"/>
  <c r="G313" i="20"/>
  <c r="J313" i="20"/>
  <c r="G334" i="20"/>
  <c r="J334" i="20"/>
  <c r="G355" i="20"/>
  <c r="J355" i="20"/>
  <c r="G376" i="20"/>
  <c r="J376" i="20"/>
  <c r="G397" i="20"/>
  <c r="J397" i="20"/>
  <c r="I399" i="20"/>
  <c r="G400" i="20"/>
  <c r="H401" i="20"/>
  <c r="J401" i="20"/>
  <c r="I402" i="20"/>
  <c r="L402" i="20"/>
  <c r="M402" i="20" s="1"/>
  <c r="N402" i="20" s="1"/>
  <c r="G404" i="20"/>
  <c r="H404" i="20"/>
  <c r="I404" i="20"/>
  <c r="J404" i="20"/>
  <c r="G406" i="20"/>
  <c r="J406" i="20"/>
  <c r="G408" i="20"/>
  <c r="H409" i="20"/>
  <c r="K409" i="20"/>
  <c r="G418" i="20"/>
  <c r="J418" i="20"/>
  <c r="G439" i="20"/>
  <c r="J439" i="20"/>
  <c r="G460" i="20"/>
  <c r="J460" i="20"/>
  <c r="G481" i="20"/>
  <c r="J481" i="20"/>
  <c r="G502" i="20"/>
  <c r="J502" i="20"/>
  <c r="G522" i="20"/>
  <c r="J522" i="20"/>
  <c r="I524" i="20"/>
  <c r="G525" i="20"/>
  <c r="H526" i="20"/>
  <c r="I526" i="20"/>
  <c r="J526" i="20"/>
  <c r="I527" i="20"/>
  <c r="G529" i="20"/>
  <c r="H529" i="20"/>
  <c r="I529" i="20"/>
  <c r="J529" i="20"/>
  <c r="G531" i="20"/>
  <c r="J531" i="20"/>
  <c r="G533" i="20"/>
  <c r="H534" i="20"/>
  <c r="K534" i="20"/>
  <c r="G543" i="20"/>
  <c r="J543" i="20"/>
  <c r="G564" i="20"/>
  <c r="J564" i="20"/>
  <c r="G585" i="20"/>
  <c r="J585" i="20"/>
  <c r="G606" i="20"/>
  <c r="J606" i="20"/>
  <c r="H608" i="20"/>
  <c r="H610" i="20"/>
  <c r="H612" i="20"/>
  <c r="H617" i="20"/>
  <c r="K617" i="20"/>
  <c r="G626" i="20"/>
  <c r="J626" i="20"/>
  <c r="G646" i="20"/>
  <c r="J646" i="20"/>
  <c r="G648" i="20"/>
  <c r="H648" i="20"/>
  <c r="I648" i="20"/>
  <c r="I653" i="20"/>
  <c r="G649" i="20"/>
  <c r="H650" i="20"/>
  <c r="I650" i="20"/>
  <c r="H652" i="20"/>
  <c r="G656" i="20"/>
  <c r="G657" i="20"/>
  <c r="H657" i="20"/>
  <c r="K657" i="20"/>
  <c r="G666" i="20"/>
  <c r="J666" i="20"/>
  <c r="G688" i="20"/>
  <c r="J688" i="20"/>
  <c r="G689" i="20"/>
  <c r="H689" i="20"/>
  <c r="I689" i="20"/>
  <c r="J689" i="20"/>
  <c r="G690" i="20"/>
  <c r="I690" i="20"/>
  <c r="J690" i="20"/>
  <c r="G691" i="20"/>
  <c r="H691" i="20"/>
  <c r="I691" i="20"/>
  <c r="J691" i="20"/>
  <c r="G693" i="20"/>
  <c r="G695" i="20"/>
  <c r="H696" i="20"/>
  <c r="K696" i="20"/>
  <c r="H146" i="20"/>
  <c r="H148" i="20"/>
  <c r="H256" i="20"/>
  <c r="H258" i="20"/>
  <c r="H387" i="20"/>
  <c r="H385" i="20"/>
  <c r="H492" i="20"/>
  <c r="H596" i="20"/>
  <c r="H676" i="20"/>
  <c r="H674" i="20"/>
  <c r="H636" i="20"/>
  <c r="H634" i="20"/>
  <c r="H712" i="20"/>
  <c r="H714" i="20"/>
  <c r="K148" i="20"/>
  <c r="K236" i="20"/>
  <c r="K366" i="20"/>
  <c r="K676" i="20"/>
  <c r="K656" i="20"/>
  <c r="K636" i="20"/>
  <c r="K714" i="20"/>
  <c r="K695" i="20"/>
  <c r="D19" i="14"/>
  <c r="F25" i="2"/>
  <c r="F26" i="2"/>
  <c r="F27" i="2"/>
  <c r="F29" i="2"/>
  <c r="F30" i="2"/>
  <c r="A10" i="7"/>
  <c r="H609" i="20"/>
  <c r="A11" i="16"/>
  <c r="A24" i="16"/>
  <c r="A12" i="16"/>
  <c r="A25" i="16" s="1"/>
  <c r="A13" i="16"/>
  <c r="A26" i="16" s="1"/>
  <c r="C14" i="16"/>
  <c r="C27" i="16"/>
  <c r="A1" i="27"/>
  <c r="A1" i="24"/>
  <c r="B1" i="20"/>
  <c r="A1" i="15"/>
  <c r="H525" i="20"/>
  <c r="I525" i="20"/>
  <c r="I530" i="20"/>
  <c r="H274" i="20"/>
  <c r="H33" i="20"/>
  <c r="I33" i="20"/>
  <c r="H39" i="20"/>
  <c r="K41" i="20"/>
  <c r="K21" i="20"/>
  <c r="H531" i="20"/>
  <c r="H533" i="20"/>
  <c r="H406" i="20"/>
  <c r="H408" i="20"/>
  <c r="H280" i="20"/>
  <c r="H282" i="20"/>
  <c r="H170" i="20"/>
  <c r="A1" i="13"/>
  <c r="A1" i="12"/>
  <c r="A1" i="2"/>
  <c r="A1" i="14"/>
  <c r="H656" i="20"/>
  <c r="I656" i="20"/>
  <c r="H654" i="20"/>
  <c r="H616" i="20"/>
  <c r="H614" i="20"/>
  <c r="K533" i="20"/>
  <c r="K408" i="20"/>
  <c r="K282" i="20"/>
  <c r="K170" i="20"/>
  <c r="H168" i="20"/>
  <c r="A1" i="16"/>
  <c r="A1" i="10"/>
  <c r="A1" i="7"/>
  <c r="C11" i="29"/>
  <c r="C6" i="29"/>
  <c r="H695" i="20"/>
  <c r="H41" i="20"/>
  <c r="J648" i="20"/>
  <c r="C9" i="29"/>
  <c r="C12" i="29"/>
  <c r="H400" i="20"/>
  <c r="I400" i="20"/>
  <c r="I405" i="20"/>
  <c r="J575" i="20"/>
  <c r="J576" i="20"/>
  <c r="J366" i="20"/>
  <c r="J367" i="20"/>
  <c r="D10" i="27"/>
  <c r="C25" i="16"/>
  <c r="C24" i="16"/>
  <c r="B12" i="12"/>
  <c r="C10" i="27"/>
  <c r="H10" i="27" s="1"/>
  <c r="B12" i="27"/>
  <c r="E6" i="27"/>
  <c r="C26" i="16"/>
  <c r="D8" i="27"/>
  <c r="G361" i="20"/>
  <c r="G319" i="20"/>
  <c r="I380" i="20"/>
  <c r="G382" i="20"/>
  <c r="J382" i="20"/>
  <c r="K513" i="20"/>
  <c r="K471" i="20"/>
  <c r="H573" i="20"/>
  <c r="H594" i="20"/>
  <c r="H511" i="20"/>
  <c r="H490" i="20"/>
  <c r="H588" i="20"/>
  <c r="I588" i="20"/>
  <c r="H567" i="20"/>
  <c r="I567" i="20"/>
  <c r="H707" i="20"/>
  <c r="I707" i="20"/>
  <c r="K616" i="20"/>
  <c r="H59" i="20"/>
  <c r="K61" i="20"/>
  <c r="H80" i="20"/>
  <c r="H74" i="20"/>
  <c r="H82" i="20"/>
  <c r="K82" i="20"/>
  <c r="K104" i="20"/>
  <c r="H124" i="20"/>
  <c r="H118" i="20"/>
  <c r="H126" i="20"/>
  <c r="K126" i="20"/>
  <c r="H140" i="20"/>
  <c r="I140" i="20"/>
  <c r="H192" i="20"/>
  <c r="K214" i="20"/>
  <c r="H234" i="20"/>
  <c r="H236" i="20"/>
  <c r="K258" i="20"/>
  <c r="K303" i="20"/>
  <c r="I319" i="20"/>
  <c r="H322" i="20"/>
  <c r="H324" i="20"/>
  <c r="K345" i="20"/>
  <c r="H364" i="20"/>
  <c r="H366" i="20"/>
  <c r="J379" i="20"/>
  <c r="K387" i="20"/>
  <c r="H427" i="20"/>
  <c r="K429" i="20"/>
  <c r="H448" i="20"/>
  <c r="H450" i="20"/>
  <c r="K492" i="20"/>
  <c r="H546" i="20"/>
  <c r="I546" i="20"/>
  <c r="I551" i="20"/>
  <c r="H552" i="20"/>
  <c r="H554" i="20"/>
  <c r="H575" i="20"/>
  <c r="K596" i="20"/>
  <c r="K575" i="20"/>
  <c r="K554" i="20"/>
  <c r="H484" i="20"/>
  <c r="I484" i="20"/>
  <c r="I489" i="20"/>
  <c r="H629" i="20"/>
  <c r="I629" i="20"/>
  <c r="J628" i="20"/>
  <c r="H53" i="20"/>
  <c r="I53" i="20"/>
  <c r="H61" i="20"/>
  <c r="K192" i="20"/>
  <c r="H212" i="20"/>
  <c r="H214" i="20"/>
  <c r="H295" i="20"/>
  <c r="I295" i="20"/>
  <c r="H301" i="20"/>
  <c r="H303" i="20"/>
  <c r="K324" i="20"/>
  <c r="H343" i="20"/>
  <c r="H345" i="20"/>
  <c r="H379" i="20"/>
  <c r="I379" i="20"/>
  <c r="H421" i="20"/>
  <c r="I421" i="20"/>
  <c r="H429" i="20"/>
  <c r="K450" i="20"/>
  <c r="H469" i="20"/>
  <c r="H471" i="20"/>
  <c r="J484" i="20"/>
  <c r="H513" i="20"/>
  <c r="J588" i="20"/>
  <c r="J319" i="20"/>
  <c r="I382" i="20"/>
  <c r="I485" i="20"/>
  <c r="B28" i="16"/>
  <c r="I570" i="20"/>
  <c r="J570" i="20"/>
  <c r="I19" i="27"/>
  <c r="D9" i="27"/>
  <c r="I547" i="20"/>
  <c r="G591" i="20"/>
  <c r="H693" i="20"/>
  <c r="J591" i="20"/>
  <c r="I591" i="20"/>
  <c r="B10" i="32"/>
  <c r="J19" i="20"/>
  <c r="J80" i="20"/>
  <c r="J82" i="20"/>
  <c r="J83" i="20"/>
  <c r="J712" i="20"/>
  <c r="J714" i="20"/>
  <c r="J303" i="20"/>
  <c r="J387" i="20"/>
  <c r="J388" i="20"/>
  <c r="J656" i="20"/>
  <c r="J657" i="20"/>
  <c r="K511" i="20"/>
  <c r="K168" i="20"/>
  <c r="K594" i="20"/>
  <c r="K280" i="20"/>
  <c r="K322" i="20"/>
  <c r="K364" i="20"/>
  <c r="K343" i="20"/>
  <c r="K301" i="20"/>
  <c r="L301" i="20"/>
  <c r="K385" i="20"/>
  <c r="K212" i="20"/>
  <c r="K573" i="20"/>
  <c r="K552" i="20"/>
  <c r="K256" i="20"/>
  <c r="K190" i="20"/>
  <c r="K234" i="20"/>
  <c r="K448" i="20"/>
  <c r="K39" i="20"/>
  <c r="K19" i="20"/>
  <c r="F13" i="27"/>
  <c r="G13" i="27" s="1"/>
  <c r="K469" i="20"/>
  <c r="K634" i="20"/>
  <c r="K614" i="20"/>
  <c r="K693" i="20"/>
  <c r="K712" i="20"/>
  <c r="K59" i="20"/>
  <c r="K124" i="20"/>
  <c r="K427" i="20"/>
  <c r="K406" i="20"/>
  <c r="K490" i="20"/>
  <c r="K146" i="20"/>
  <c r="K531" i="20"/>
  <c r="E10" i="27"/>
  <c r="G10" i="27" s="1"/>
  <c r="B11" i="27"/>
  <c r="K17" i="20"/>
  <c r="L17" i="20" s="1"/>
  <c r="M17" i="20" s="1"/>
  <c r="N17" i="20" s="1"/>
  <c r="K144" i="20"/>
  <c r="L144" i="20"/>
  <c r="M144" i="20" s="1"/>
  <c r="N144" i="20" s="1"/>
  <c r="K100" i="20"/>
  <c r="L100" i="20" s="1"/>
  <c r="M100" i="20" s="1"/>
  <c r="N100" i="20" s="1"/>
  <c r="K37" i="20"/>
  <c r="L37" i="20" s="1"/>
  <c r="M37" i="20" s="1"/>
  <c r="N37" i="20" s="1"/>
  <c r="K78" i="20"/>
  <c r="L78" i="20" s="1"/>
  <c r="M78" i="20" s="1"/>
  <c r="N78" i="20" s="1"/>
  <c r="K57" i="20"/>
  <c r="L57" i="20"/>
  <c r="M57" i="20" s="1"/>
  <c r="N57" i="20" s="1"/>
  <c r="K122" i="20"/>
  <c r="L122" i="20" s="1"/>
  <c r="M122" i="20" s="1"/>
  <c r="N122" i="20" s="1"/>
  <c r="K550" i="20"/>
  <c r="L550" i="20" s="1"/>
  <c r="M550" i="20" s="1"/>
  <c r="N550" i="20" s="1"/>
  <c r="K278" i="20"/>
  <c r="L278" i="20" s="1"/>
  <c r="M278" i="20" s="1"/>
  <c r="N278" i="20" s="1"/>
  <c r="K529" i="20"/>
  <c r="L529" i="20" s="1"/>
  <c r="M529" i="20"/>
  <c r="N529" i="20" s="1"/>
  <c r="K299" i="20"/>
  <c r="L299" i="20" s="1"/>
  <c r="M299" i="20" s="1"/>
  <c r="N299" i="20" s="1"/>
  <c r="K592" i="20"/>
  <c r="L592" i="20" s="1"/>
  <c r="M592" i="20" s="1"/>
  <c r="N592" i="20" s="1"/>
  <c r="K383" i="20"/>
  <c r="L383" i="20" s="1"/>
  <c r="K571" i="20"/>
  <c r="L571" i="20" s="1"/>
  <c r="M571" i="20" s="1"/>
  <c r="N571" i="20" s="1"/>
  <c r="K320" i="20"/>
  <c r="L320" i="20" s="1"/>
  <c r="K341" i="20"/>
  <c r="L341" i="20"/>
  <c r="M341" i="20" s="1"/>
  <c r="N341" i="20" s="1"/>
  <c r="K362" i="20"/>
  <c r="L362" i="20" s="1"/>
  <c r="M362" i="20" s="1"/>
  <c r="N362" i="20" s="1"/>
  <c r="K652" i="20"/>
  <c r="L652" i="20" s="1"/>
  <c r="M652" i="20" s="1"/>
  <c r="N652" i="20" s="1"/>
  <c r="K254" i="20"/>
  <c r="L254" i="20"/>
  <c r="M254" i="20" s="1"/>
  <c r="N254" i="20" s="1"/>
  <c r="K691" i="20"/>
  <c r="L691" i="20" s="1"/>
  <c r="M691" i="20" s="1"/>
  <c r="N691" i="20" s="1"/>
  <c r="K102" i="20"/>
  <c r="G674" i="20"/>
  <c r="J513" i="20"/>
  <c r="J514" i="20"/>
  <c r="J450" i="20"/>
  <c r="J451" i="20"/>
  <c r="L451" i="20"/>
  <c r="J408" i="20"/>
  <c r="J471" i="20"/>
  <c r="J168" i="20"/>
  <c r="J170" i="20"/>
  <c r="J234" i="20"/>
  <c r="J282" i="20"/>
  <c r="J283" i="20"/>
  <c r="L283" i="20"/>
  <c r="J596" i="20"/>
  <c r="J597" i="20"/>
  <c r="J324" i="20"/>
  <c r="J345" i="20"/>
  <c r="J554" i="20"/>
  <c r="J555" i="20"/>
  <c r="J533" i="20"/>
  <c r="J534" i="20"/>
  <c r="J212" i="20"/>
  <c r="J214" i="20"/>
  <c r="J216" i="20"/>
  <c r="J190" i="20"/>
  <c r="J192" i="20"/>
  <c r="J194" i="20"/>
  <c r="D9" i="29"/>
  <c r="B11" i="12"/>
  <c r="B10" i="27"/>
  <c r="K80" i="20"/>
  <c r="K654" i="20"/>
  <c r="K674" i="20"/>
  <c r="J102" i="20"/>
  <c r="J146" i="20"/>
  <c r="J59" i="20"/>
  <c r="J61" i="20"/>
  <c r="J124" i="20"/>
  <c r="J429" i="20"/>
  <c r="J430" i="20"/>
  <c r="J492" i="20"/>
  <c r="J493" i="20"/>
  <c r="L252" i="20"/>
  <c r="M252" i="20" s="1"/>
  <c r="N252" i="20" s="1"/>
  <c r="L548" i="20"/>
  <c r="M548" i="20"/>
  <c r="N548" i="20" s="1"/>
  <c r="L590" i="20"/>
  <c r="M590" i="20" s="1"/>
  <c r="N590" i="20" s="1"/>
  <c r="L527" i="20"/>
  <c r="M527" i="20" s="1"/>
  <c r="N527" i="20" s="1"/>
  <c r="L55" i="20"/>
  <c r="M55" i="20" s="1"/>
  <c r="N55" i="20" s="1"/>
  <c r="J549" i="20"/>
  <c r="J649" i="20"/>
  <c r="G650" i="20"/>
  <c r="J274" i="20"/>
  <c r="I274" i="20"/>
  <c r="G275" i="20"/>
  <c r="G424" i="20"/>
  <c r="I422" i="20"/>
  <c r="J400" i="20"/>
  <c r="G401" i="20"/>
  <c r="J141" i="20"/>
  <c r="J185" i="20"/>
  <c r="L142" i="20"/>
  <c r="M142" i="20" s="1"/>
  <c r="N142" i="20" s="1"/>
  <c r="L76" i="20"/>
  <c r="L120" i="20"/>
  <c r="M120" i="20" s="1"/>
  <c r="N120" i="20" s="1"/>
  <c r="L15" i="20"/>
  <c r="M15" i="20" s="1"/>
  <c r="N15" i="20" s="1"/>
  <c r="L35" i="20"/>
  <c r="M35" i="20" s="1"/>
  <c r="N35" i="20" s="1"/>
  <c r="L98" i="20"/>
  <c r="J361" i="20"/>
  <c r="I361" i="20"/>
  <c r="G119" i="20"/>
  <c r="I118" i="20"/>
  <c r="G508" i="20"/>
  <c r="I506" i="20"/>
  <c r="J525" i="20"/>
  <c r="G526" i="20"/>
  <c r="G163" i="20"/>
  <c r="I163" i="20"/>
  <c r="G632" i="20"/>
  <c r="J631" i="20"/>
  <c r="I14" i="20"/>
  <c r="C10" i="29"/>
  <c r="C5" i="29"/>
  <c r="C7" i="29"/>
  <c r="C8" i="29"/>
  <c r="I74" i="20"/>
  <c r="I79" i="20"/>
  <c r="I81" i="20" s="1"/>
  <c r="I84" i="20" s="1"/>
  <c r="I85" i="20" s="1"/>
  <c r="I86" i="20" s="1"/>
  <c r="J340" i="20"/>
  <c r="I340" i="20"/>
  <c r="I487" i="20"/>
  <c r="J487" i="20"/>
  <c r="G296" i="20"/>
  <c r="G443" i="20"/>
  <c r="C13" i="14"/>
  <c r="B10" i="15" s="1"/>
  <c r="I10" i="15" s="1"/>
  <c r="L566" i="20"/>
  <c r="L572" i="20" s="1"/>
  <c r="L574" i="20" s="1"/>
  <c r="L577" i="20" s="1"/>
  <c r="M577" i="20" s="1"/>
  <c r="N577" i="20" s="1"/>
  <c r="F10" i="2"/>
  <c r="I443" i="20"/>
  <c r="G445" i="20"/>
  <c r="G634" i="20"/>
  <c r="J634" i="20"/>
  <c r="G403" i="20"/>
  <c r="I401" i="20"/>
  <c r="I275" i="20"/>
  <c r="G277" i="20"/>
  <c r="J650" i="20"/>
  <c r="G651" i="20"/>
  <c r="G298" i="20"/>
  <c r="C13" i="29"/>
  <c r="J632" i="20"/>
  <c r="G528" i="20"/>
  <c r="I508" i="20"/>
  <c r="J508" i="20"/>
  <c r="J424" i="20"/>
  <c r="I424" i="20"/>
  <c r="J298" i="20"/>
  <c r="I298" i="20"/>
  <c r="J445" i="20"/>
  <c r="I445" i="20"/>
  <c r="J528" i="20"/>
  <c r="I528" i="20"/>
  <c r="I277" i="20"/>
  <c r="J277" i="20"/>
  <c r="I403" i="20"/>
  <c r="J403" i="20"/>
  <c r="I651" i="20"/>
  <c r="G652" i="20"/>
  <c r="J651" i="20"/>
  <c r="G654" i="20"/>
  <c r="J654" i="20"/>
  <c r="I652" i="20"/>
  <c r="J652" i="20"/>
  <c r="H669" i="20"/>
  <c r="I669" i="20"/>
  <c r="H649" i="20"/>
  <c r="I649" i="20"/>
  <c r="H688" i="20"/>
  <c r="I688" i="20"/>
  <c r="H505" i="20"/>
  <c r="I505" i="20"/>
  <c r="H442" i="20"/>
  <c r="I442" i="20"/>
  <c r="H337" i="20"/>
  <c r="I337" i="20"/>
  <c r="H358" i="20"/>
  <c r="I358" i="20"/>
  <c r="I363" i="20"/>
  <c r="H316" i="20"/>
  <c r="I316" i="20"/>
  <c r="I321" i="20"/>
  <c r="I510" i="20"/>
  <c r="I279" i="20"/>
  <c r="C15" i="16"/>
  <c r="B10" i="17"/>
  <c r="I17" i="27"/>
  <c r="D9" i="15"/>
  <c r="H9" i="2"/>
  <c r="I18" i="27"/>
  <c r="D8" i="15"/>
  <c r="D14" i="15"/>
  <c r="I9" i="12"/>
  <c r="I15" i="12" s="1"/>
  <c r="C28" i="16"/>
  <c r="C11" i="27"/>
  <c r="H11" i="27" s="1"/>
  <c r="C10" i="12"/>
  <c r="F11" i="27"/>
  <c r="G11" i="27" s="1"/>
  <c r="B11" i="32"/>
  <c r="B9" i="32"/>
  <c r="I300" i="20"/>
  <c r="I342" i="20"/>
  <c r="M486" i="20"/>
  <c r="N486" i="20" s="1"/>
  <c r="L425" i="20"/>
  <c r="M425" i="20" s="1"/>
  <c r="N425" i="20" s="1"/>
  <c r="M569" i="20"/>
  <c r="N569" i="20" s="1"/>
  <c r="M383" i="20"/>
  <c r="N383" i="20" s="1"/>
  <c r="M507" i="20"/>
  <c r="N507" i="20" s="1"/>
  <c r="M98" i="20"/>
  <c r="N98" i="20" s="1"/>
  <c r="M76" i="20"/>
  <c r="N76" i="20" s="1"/>
  <c r="M320" i="20"/>
  <c r="N320" i="20" s="1"/>
  <c r="I82" i="20"/>
  <c r="L194" i="20"/>
  <c r="I234" i="20"/>
  <c r="L256" i="20"/>
  <c r="I429" i="20"/>
  <c r="L555" i="20"/>
  <c r="L511" i="20"/>
  <c r="L493" i="20"/>
  <c r="L430" i="20"/>
  <c r="L367" i="20"/>
  <c r="L677" i="20"/>
  <c r="I472" i="20"/>
  <c r="L216" i="20"/>
  <c r="L554" i="20"/>
  <c r="I366" i="20"/>
  <c r="L634" i="20"/>
  <c r="L450" i="20"/>
  <c r="L533" i="20"/>
  <c r="I258" i="20"/>
  <c r="L576" i="20"/>
  <c r="M237" i="20"/>
  <c r="N237" i="20"/>
  <c r="L59" i="20"/>
  <c r="L168" i="20"/>
  <c r="I674" i="20"/>
  <c r="I675" i="20"/>
  <c r="I678" i="20"/>
  <c r="I679" i="20"/>
  <c r="L594" i="20"/>
  <c r="I554" i="20"/>
  <c r="I654" i="20"/>
  <c r="I655" i="20"/>
  <c r="I658" i="20"/>
  <c r="I659" i="20"/>
  <c r="I660" i="20"/>
  <c r="I61" i="20"/>
  <c r="I102" i="20"/>
  <c r="I576" i="20"/>
  <c r="I677" i="20"/>
  <c r="M677" i="20"/>
  <c r="N677" i="20"/>
  <c r="L492" i="20"/>
  <c r="L654" i="20"/>
  <c r="L429" i="20"/>
  <c r="L656" i="20"/>
  <c r="I634" i="20"/>
  <c r="I635" i="20"/>
  <c r="I638" i="20"/>
  <c r="I640" i="20"/>
  <c r="L490" i="20"/>
  <c r="I406" i="20"/>
  <c r="I407" i="20"/>
  <c r="I410" i="20"/>
  <c r="I411" i="20"/>
  <c r="I412" i="20"/>
  <c r="I192" i="20"/>
  <c r="I597" i="20"/>
  <c r="I388" i="20"/>
  <c r="I238" i="20"/>
  <c r="I260" i="20"/>
  <c r="L514" i="20"/>
  <c r="L190" i="20"/>
  <c r="L303" i="20"/>
  <c r="M171" i="20"/>
  <c r="N171" i="20"/>
  <c r="I62" i="20"/>
  <c r="I104" i="20"/>
  <c r="M215" i="20"/>
  <c r="N215" i="20"/>
  <c r="M301" i="20"/>
  <c r="N301" i="20"/>
  <c r="L387" i="20"/>
  <c r="L693" i="20"/>
  <c r="L575" i="20"/>
  <c r="M656" i="20"/>
  <c r="N656" i="20"/>
  <c r="L366" i="20"/>
  <c r="I676" i="20"/>
  <c r="I168" i="20"/>
  <c r="I21" i="20"/>
  <c r="I170" i="20"/>
  <c r="G194" i="20"/>
  <c r="I194" i="20"/>
  <c r="I236" i="20"/>
  <c r="L343" i="20"/>
  <c r="I471" i="20"/>
  <c r="I367" i="20"/>
  <c r="I693" i="20"/>
  <c r="I694" i="20"/>
  <c r="I697" i="20"/>
  <c r="I511" i="20"/>
  <c r="I512" i="20"/>
  <c r="I515" i="20"/>
  <c r="I516" i="20"/>
  <c r="I517" i="20"/>
  <c r="I39" i="20"/>
  <c r="L695" i="20"/>
  <c r="L406" i="20"/>
  <c r="I280" i="20"/>
  <c r="I281" i="20"/>
  <c r="I284" i="20"/>
  <c r="I285" i="20"/>
  <c r="I286" i="20"/>
  <c r="I190" i="20"/>
  <c r="M259" i="20"/>
  <c r="N259" i="20"/>
  <c r="L322" i="20"/>
  <c r="I430" i="20"/>
  <c r="I451" i="20"/>
  <c r="M451" i="20"/>
  <c r="N451" i="20"/>
  <c r="I364" i="20"/>
  <c r="I365" i="20"/>
  <c r="I368" i="20"/>
  <c r="I369" i="20"/>
  <c r="I427" i="20"/>
  <c r="I428" i="20"/>
  <c r="I431" i="20"/>
  <c r="I432" i="20"/>
  <c r="I573" i="20"/>
  <c r="I574" i="20"/>
  <c r="I577" i="20"/>
  <c r="L531" i="20"/>
  <c r="L212" i="20"/>
  <c r="L657" i="20"/>
  <c r="I343" i="20"/>
  <c r="I344" i="20"/>
  <c r="I347" i="20"/>
  <c r="I348" i="20"/>
  <c r="I349" i="20"/>
  <c r="L596" i="20"/>
  <c r="L214" i="20"/>
  <c r="I636" i="20"/>
  <c r="I256" i="20"/>
  <c r="I105" i="20"/>
  <c r="I301" i="20"/>
  <c r="L364" i="20"/>
  <c r="L385" i="20"/>
  <c r="J637" i="20"/>
  <c r="L637" i="20"/>
  <c r="L636" i="20"/>
  <c r="M636" i="20"/>
  <c r="N636" i="20"/>
  <c r="I513" i="20"/>
  <c r="I59" i="20"/>
  <c r="I127" i="20"/>
  <c r="I493" i="20"/>
  <c r="M493" i="20"/>
  <c r="N493" i="20"/>
  <c r="G514" i="20"/>
  <c r="I514" i="20"/>
  <c r="M514" i="20"/>
  <c r="N514" i="20"/>
  <c r="I322" i="20"/>
  <c r="I323" i="20"/>
  <c r="I326" i="20"/>
  <c r="I492" i="20"/>
  <c r="I531" i="20"/>
  <c r="I532" i="20"/>
  <c r="I535" i="20"/>
  <c r="I536" i="20"/>
  <c r="I41" i="20"/>
  <c r="I22" i="20"/>
  <c r="L676" i="20"/>
  <c r="I555" i="20"/>
  <c r="M555" i="20"/>
  <c r="N555" i="20"/>
  <c r="L192" i="20"/>
  <c r="J472" i="20"/>
  <c r="L472" i="20"/>
  <c r="M472" i="20"/>
  <c r="N472" i="20"/>
  <c r="L471" i="20"/>
  <c r="L427" i="20"/>
  <c r="I212" i="20"/>
  <c r="I552" i="20"/>
  <c r="I553" i="20"/>
  <c r="I556" i="20"/>
  <c r="I148" i="20"/>
  <c r="G696" i="20"/>
  <c r="I696" i="20"/>
  <c r="M696" i="20"/>
  <c r="N696" i="20"/>
  <c r="I695" i="20"/>
  <c r="L388" i="20"/>
  <c r="M388" i="20"/>
  <c r="N388" i="20"/>
  <c r="I448" i="20"/>
  <c r="I449" i="20"/>
  <c r="I452" i="20"/>
  <c r="I453" i="20"/>
  <c r="I454" i="20"/>
  <c r="L534" i="20"/>
  <c r="L83" i="20"/>
  <c r="J304" i="20"/>
  <c r="L304" i="20"/>
  <c r="I575" i="20"/>
  <c r="I450" i="20"/>
  <c r="M450" i="20"/>
  <c r="N450" i="20"/>
  <c r="L82" i="20"/>
  <c r="M82" i="20"/>
  <c r="N82" i="20"/>
  <c r="L513" i="20"/>
  <c r="I19" i="20"/>
  <c r="M193" i="20"/>
  <c r="N193" i="20"/>
  <c r="I387" i="20"/>
  <c r="L573" i="20"/>
  <c r="L469" i="20"/>
  <c r="L552" i="20"/>
  <c r="I469" i="20"/>
  <c r="I490" i="20"/>
  <c r="I491" i="20"/>
  <c r="I494" i="20"/>
  <c r="I495" i="20"/>
  <c r="I496" i="20"/>
  <c r="L282" i="20"/>
  <c r="I83" i="20"/>
  <c r="I146" i="20"/>
  <c r="L714" i="20"/>
  <c r="J715" i="20"/>
  <c r="L715" i="20"/>
  <c r="J346" i="20"/>
  <c r="L346" i="20"/>
  <c r="L345" i="20"/>
  <c r="L597" i="20"/>
  <c r="L124" i="20"/>
  <c r="J126" i="20"/>
  <c r="L408" i="20"/>
  <c r="J409" i="20"/>
  <c r="L409" i="20"/>
  <c r="I149" i="20"/>
  <c r="I345" i="20"/>
  <c r="G346" i="20"/>
  <c r="I346" i="20"/>
  <c r="G714" i="20"/>
  <c r="I712" i="20"/>
  <c r="I713" i="20"/>
  <c r="I716" i="20"/>
  <c r="J104" i="20"/>
  <c r="L102" i="20"/>
  <c r="J21" i="20"/>
  <c r="L19" i="20"/>
  <c r="G534" i="20"/>
  <c r="I534" i="20"/>
  <c r="I533" i="20"/>
  <c r="M533" i="20"/>
  <c r="N533" i="20"/>
  <c r="I214" i="20"/>
  <c r="G216" i="20"/>
  <c r="I216" i="20"/>
  <c r="G325" i="20"/>
  <c r="I325" i="20"/>
  <c r="I324" i="20"/>
  <c r="L170" i="20"/>
  <c r="J172" i="20"/>
  <c r="L172" i="20"/>
  <c r="L258" i="20"/>
  <c r="J260" i="20"/>
  <c r="L260" i="20"/>
  <c r="J62" i="20"/>
  <c r="L62" i="20"/>
  <c r="L61" i="20"/>
  <c r="J41" i="20"/>
  <c r="L39" i="20"/>
  <c r="I385" i="20"/>
  <c r="I386" i="20"/>
  <c r="I389" i="20"/>
  <c r="L146" i="20"/>
  <c r="J148" i="20"/>
  <c r="J674" i="20"/>
  <c r="L674" i="20"/>
  <c r="M674" i="20"/>
  <c r="N674" i="20"/>
  <c r="L234" i="20"/>
  <c r="M234" i="20"/>
  <c r="N234" i="20"/>
  <c r="J236" i="20"/>
  <c r="L80" i="20"/>
  <c r="I657" i="20"/>
  <c r="G409" i="20"/>
  <c r="I409" i="20"/>
  <c r="I408" i="20"/>
  <c r="L280" i="20"/>
  <c r="I42" i="20"/>
  <c r="I80" i="20"/>
  <c r="G304" i="20"/>
  <c r="I304" i="20"/>
  <c r="I303" i="20"/>
  <c r="I637" i="20"/>
  <c r="J325" i="20"/>
  <c r="L325" i="20"/>
  <c r="L324" i="20"/>
  <c r="L712" i="20"/>
  <c r="G283" i="20"/>
  <c r="I283" i="20"/>
  <c r="M283" i="20"/>
  <c r="N283" i="20"/>
  <c r="I282" i="20"/>
  <c r="I172" i="20"/>
  <c r="I126" i="20"/>
  <c r="L448" i="20"/>
  <c r="I594" i="20"/>
  <c r="I124" i="20"/>
  <c r="I596" i="20"/>
  <c r="L587" i="20"/>
  <c r="K612" i="20"/>
  <c r="K488" i="20"/>
  <c r="L488" i="20" s="1"/>
  <c r="M488" i="20" s="1"/>
  <c r="N488" i="20" s="1"/>
  <c r="K166" i="20"/>
  <c r="L166" i="20" s="1"/>
  <c r="M166" i="20" s="1"/>
  <c r="N166" i="20" s="1"/>
  <c r="K188" i="20"/>
  <c r="L188" i="20" s="1"/>
  <c r="M188" i="20" s="1"/>
  <c r="N188" i="20" s="1"/>
  <c r="K232" i="20"/>
  <c r="L232" i="20" s="1"/>
  <c r="M232" i="20" s="1"/>
  <c r="N232" i="20" s="1"/>
  <c r="K404" i="20"/>
  <c r="L404" i="20" s="1"/>
  <c r="M404" i="20" s="1"/>
  <c r="N404" i="20" s="1"/>
  <c r="K210" i="20"/>
  <c r="L210" i="20" s="1"/>
  <c r="M210" i="20" s="1"/>
  <c r="N210" i="20" s="1"/>
  <c r="K467" i="20"/>
  <c r="L467" i="20" s="1"/>
  <c r="M467" i="20" s="1"/>
  <c r="N467" i="20" s="1"/>
  <c r="L524" i="20"/>
  <c r="M524" i="20" s="1"/>
  <c r="N524" i="20" s="1"/>
  <c r="L545" i="20"/>
  <c r="M545" i="20" s="1"/>
  <c r="N545" i="20" s="1"/>
  <c r="K672" i="20"/>
  <c r="L672" i="20" s="1"/>
  <c r="M672" i="20" s="1"/>
  <c r="N672" i="20" s="1"/>
  <c r="L208" i="20"/>
  <c r="M208" i="20" s="1"/>
  <c r="N208" i="20" s="1"/>
  <c r="L230" i="20"/>
  <c r="M230" i="20"/>
  <c r="N230" i="20" s="1"/>
  <c r="L186" i="20"/>
  <c r="M186" i="20" s="1"/>
  <c r="N186" i="20" s="1"/>
  <c r="L164" i="20"/>
  <c r="M164" i="20" s="1"/>
  <c r="N164" i="20" s="1"/>
  <c r="K509" i="20"/>
  <c r="L509" i="20" s="1"/>
  <c r="M509" i="20" s="1"/>
  <c r="N509" i="20" s="1"/>
  <c r="K446" i="20"/>
  <c r="L446" i="20" s="1"/>
  <c r="M446" i="20" s="1"/>
  <c r="N446" i="20" s="1"/>
  <c r="K710" i="20"/>
  <c r="L710" i="20" s="1"/>
  <c r="M710" i="20" s="1"/>
  <c r="N710" i="20" s="1"/>
  <c r="C12" i="27"/>
  <c r="H12" i="27" s="1"/>
  <c r="B9" i="12"/>
  <c r="C13" i="12"/>
  <c r="G13" i="12" s="1"/>
  <c r="O13" i="12" s="1"/>
  <c r="B8" i="12"/>
  <c r="G8" i="12" s="1"/>
  <c r="O8" i="12" s="1"/>
  <c r="B13" i="12"/>
  <c r="E7" i="27"/>
  <c r="G7" i="27" s="1"/>
  <c r="D10" i="12"/>
  <c r="F10" i="12" s="1"/>
  <c r="N10" i="12" s="1"/>
  <c r="B7" i="12"/>
  <c r="G7" i="12" s="1"/>
  <c r="O7" i="12" s="1"/>
  <c r="C28" i="13"/>
  <c r="B6" i="27"/>
  <c r="H6" i="27" s="1"/>
  <c r="C27" i="13"/>
  <c r="C8" i="27"/>
  <c r="C9" i="12"/>
  <c r="G9" i="12" s="1"/>
  <c r="E13" i="12"/>
  <c r="F13" i="12" s="1"/>
  <c r="C609" i="20"/>
  <c r="G608" i="20" s="1"/>
  <c r="F12" i="27"/>
  <c r="G12" i="27" s="1"/>
  <c r="C26" i="13"/>
  <c r="B10" i="12"/>
  <c r="B9" i="27"/>
  <c r="I370" i="20"/>
  <c r="I302" i="20"/>
  <c r="I305" i="20"/>
  <c r="M83" i="20"/>
  <c r="N83" i="20"/>
  <c r="M258" i="20"/>
  <c r="N258" i="20"/>
  <c r="I433" i="20"/>
  <c r="M367" i="20"/>
  <c r="N367" i="20"/>
  <c r="M194" i="20"/>
  <c r="N194" i="20"/>
  <c r="M429" i="20"/>
  <c r="N429" i="20"/>
  <c r="M597" i="20"/>
  <c r="N597" i="20"/>
  <c r="M654" i="20"/>
  <c r="N654" i="20"/>
  <c r="M102" i="20"/>
  <c r="N102" i="20"/>
  <c r="M573" i="20"/>
  <c r="N573" i="20"/>
  <c r="M513" i="20"/>
  <c r="N513" i="20"/>
  <c r="M216" i="20"/>
  <c r="N216" i="20"/>
  <c r="M427" i="20"/>
  <c r="N427" i="20"/>
  <c r="I680" i="20"/>
  <c r="M554" i="20"/>
  <c r="N554" i="20"/>
  <c r="M531" i="20"/>
  <c r="N531" i="20"/>
  <c r="M576" i="20"/>
  <c r="N576" i="20"/>
  <c r="M366" i="20"/>
  <c r="N366" i="20"/>
  <c r="M303" i="20"/>
  <c r="N303" i="20"/>
  <c r="M260" i="20"/>
  <c r="N260" i="20"/>
  <c r="I537" i="20"/>
  <c r="M430" i="20"/>
  <c r="N430" i="20"/>
  <c r="M61" i="20"/>
  <c r="N61" i="20"/>
  <c r="M387" i="20"/>
  <c r="N387" i="20"/>
  <c r="M471" i="20"/>
  <c r="N471" i="20"/>
  <c r="I639" i="20"/>
  <c r="M634" i="20"/>
  <c r="N634" i="20"/>
  <c r="M62" i="20"/>
  <c r="N62" i="20"/>
  <c r="M490" i="20"/>
  <c r="N490" i="20"/>
  <c r="M322" i="20"/>
  <c r="N322" i="20"/>
  <c r="M406" i="20"/>
  <c r="N406" i="20"/>
  <c r="M448" i="20"/>
  <c r="N448" i="20"/>
  <c r="M596" i="20"/>
  <c r="N596" i="20"/>
  <c r="M693" i="20"/>
  <c r="N693" i="20"/>
  <c r="M192" i="20"/>
  <c r="N192" i="20"/>
  <c r="M364" i="20"/>
  <c r="N364" i="20"/>
  <c r="M343" i="20"/>
  <c r="N343" i="20"/>
  <c r="M511" i="20"/>
  <c r="N511" i="20"/>
  <c r="M280" i="20"/>
  <c r="N280" i="20"/>
  <c r="M170" i="20"/>
  <c r="N170" i="20"/>
  <c r="M575" i="20"/>
  <c r="N575" i="20"/>
  <c r="M695" i="20"/>
  <c r="N695" i="20"/>
  <c r="M492" i="20"/>
  <c r="N492" i="20"/>
  <c r="M168" i="20"/>
  <c r="N168" i="20"/>
  <c r="M282" i="20"/>
  <c r="N282" i="20"/>
  <c r="M534" i="20"/>
  <c r="N534" i="20"/>
  <c r="M19" i="20"/>
  <c r="N19" i="20"/>
  <c r="M59" i="20"/>
  <c r="N59" i="20"/>
  <c r="M676" i="20"/>
  <c r="N676" i="20"/>
  <c r="M190" i="20"/>
  <c r="N190" i="20"/>
  <c r="I578" i="20"/>
  <c r="I579" i="20"/>
  <c r="M712" i="20"/>
  <c r="N712" i="20"/>
  <c r="M657" i="20"/>
  <c r="N657" i="20"/>
  <c r="M39" i="20"/>
  <c r="N39" i="20"/>
  <c r="M214" i="20"/>
  <c r="N214" i="20"/>
  <c r="M552" i="20"/>
  <c r="N552" i="20"/>
  <c r="M256" i="20"/>
  <c r="N256" i="20"/>
  <c r="M469" i="20"/>
  <c r="N469" i="20"/>
  <c r="I470" i="20"/>
  <c r="I473" i="20"/>
  <c r="M304" i="20"/>
  <c r="N304" i="20"/>
  <c r="M146" i="20"/>
  <c r="N146" i="20"/>
  <c r="M637" i="20"/>
  <c r="N637" i="20"/>
  <c r="M172" i="20"/>
  <c r="N172" i="20"/>
  <c r="M409" i="20"/>
  <c r="N409" i="20"/>
  <c r="M212" i="20"/>
  <c r="N212" i="20"/>
  <c r="I327" i="20"/>
  <c r="I328" i="20"/>
  <c r="M345" i="20"/>
  <c r="N345" i="20"/>
  <c r="I390" i="20"/>
  <c r="I391" i="20"/>
  <c r="J22" i="20"/>
  <c r="L22" i="20"/>
  <c r="M22" i="20"/>
  <c r="N22" i="20"/>
  <c r="L21" i="20"/>
  <c r="M21" i="20"/>
  <c r="N21" i="20"/>
  <c r="I595" i="20"/>
  <c r="I598" i="20"/>
  <c r="M594" i="20"/>
  <c r="N594" i="20"/>
  <c r="L236" i="20"/>
  <c r="M236" i="20"/>
  <c r="N236" i="20"/>
  <c r="J238" i="20"/>
  <c r="L238" i="20"/>
  <c r="M238" i="20"/>
  <c r="N238" i="20"/>
  <c r="M408" i="20"/>
  <c r="N408" i="20"/>
  <c r="J42" i="20"/>
  <c r="L42" i="20"/>
  <c r="M42" i="20"/>
  <c r="N42" i="20"/>
  <c r="L41" i="20"/>
  <c r="M41" i="20"/>
  <c r="N41" i="20"/>
  <c r="I717" i="20"/>
  <c r="I718" i="20"/>
  <c r="L126" i="20"/>
  <c r="M126" i="20"/>
  <c r="N126" i="20"/>
  <c r="J127" i="20"/>
  <c r="L127" i="20"/>
  <c r="M127" i="20"/>
  <c r="N127" i="20"/>
  <c r="L104" i="20"/>
  <c r="M104" i="20"/>
  <c r="N104" i="20"/>
  <c r="J105" i="20"/>
  <c r="L105" i="20"/>
  <c r="M105" i="20"/>
  <c r="N105" i="20"/>
  <c r="M385" i="20"/>
  <c r="N385" i="20"/>
  <c r="I698" i="20"/>
  <c r="I699" i="20"/>
  <c r="M346" i="20"/>
  <c r="N346" i="20"/>
  <c r="M324" i="20"/>
  <c r="N324" i="20"/>
  <c r="J149" i="20"/>
  <c r="L149" i="20"/>
  <c r="M149" i="20"/>
  <c r="N149" i="20"/>
  <c r="L148" i="20"/>
  <c r="M148" i="20"/>
  <c r="N148" i="20"/>
  <c r="M325" i="20"/>
  <c r="N325" i="20"/>
  <c r="M80" i="20"/>
  <c r="N80" i="20"/>
  <c r="I714" i="20"/>
  <c r="M714" i="20"/>
  <c r="N714" i="20"/>
  <c r="G715" i="20"/>
  <c r="I715" i="20"/>
  <c r="M715" i="20"/>
  <c r="N715" i="20"/>
  <c r="M124" i="20"/>
  <c r="N124" i="20"/>
  <c r="I557" i="20"/>
  <c r="I558" i="20"/>
  <c r="K549" i="20"/>
  <c r="L549" i="20" s="1"/>
  <c r="M549" i="20"/>
  <c r="K528" i="20"/>
  <c r="L528" i="20" s="1"/>
  <c r="M528" i="20" s="1"/>
  <c r="K570" i="20"/>
  <c r="L570" i="20"/>
  <c r="M570" i="20" s="1"/>
  <c r="K591" i="20"/>
  <c r="L591" i="20" s="1"/>
  <c r="M591" i="20" s="1"/>
  <c r="K567" i="20"/>
  <c r="L567" i="20" s="1"/>
  <c r="K546" i="20"/>
  <c r="L546" i="20"/>
  <c r="M546" i="20" s="1"/>
  <c r="N546" i="20" s="1"/>
  <c r="K588" i="20"/>
  <c r="L588" i="20" s="1"/>
  <c r="M588" i="20" s="1"/>
  <c r="N588" i="20" s="1"/>
  <c r="K525" i="20"/>
  <c r="L525" i="20" s="1"/>
  <c r="M525" i="20" s="1"/>
  <c r="N525" i="20" s="1"/>
  <c r="I306" i="20"/>
  <c r="I307" i="20"/>
  <c r="I474" i="20"/>
  <c r="I475" i="20"/>
  <c r="I599" i="20"/>
  <c r="I600" i="20"/>
  <c r="M567" i="20"/>
  <c r="N567" i="20" s="1"/>
  <c r="K651" i="20"/>
  <c r="L651" i="20" s="1"/>
  <c r="M651" i="20" s="1"/>
  <c r="K671" i="20"/>
  <c r="L671" i="20" s="1"/>
  <c r="M671" i="20" s="1"/>
  <c r="K690" i="20"/>
  <c r="L690" i="20" s="1"/>
  <c r="M690" i="20" s="1"/>
  <c r="K709" i="20"/>
  <c r="L709" i="20" s="1"/>
  <c r="M709" i="20" s="1"/>
  <c r="K631" i="20"/>
  <c r="L631" i="20" s="1"/>
  <c r="M631" i="20" s="1"/>
  <c r="K611" i="20"/>
  <c r="K380" i="20"/>
  <c r="L380" i="20" s="1"/>
  <c r="M380" i="20" s="1"/>
  <c r="N380" i="20" s="1"/>
  <c r="K338" i="20"/>
  <c r="L338" i="20" s="1"/>
  <c r="M338" i="20" s="1"/>
  <c r="N338" i="20" s="1"/>
  <c r="K317" i="20"/>
  <c r="L317" i="20" s="1"/>
  <c r="M317" i="20" s="1"/>
  <c r="N317" i="20" s="1"/>
  <c r="K359" i="20"/>
  <c r="L359" i="20"/>
  <c r="M359" i="20" s="1"/>
  <c r="N359" i="20" s="1"/>
  <c r="K296" i="20"/>
  <c r="L296" i="20" s="1"/>
  <c r="M296" i="20" s="1"/>
  <c r="N296" i="20" s="1"/>
  <c r="K275" i="20"/>
  <c r="L275" i="20"/>
  <c r="M275" i="20" s="1"/>
  <c r="N275" i="20" s="1"/>
  <c r="K403" i="20"/>
  <c r="L403" i="20" s="1"/>
  <c r="M403" i="20" s="1"/>
  <c r="K424" i="20"/>
  <c r="L424" i="20" s="1"/>
  <c r="M424" i="20" s="1"/>
  <c r="K445" i="20"/>
  <c r="L445" i="20" s="1"/>
  <c r="M445" i="20" s="1"/>
  <c r="K508" i="20"/>
  <c r="L508" i="20" s="1"/>
  <c r="M508" i="20" s="1"/>
  <c r="K466" i="20"/>
  <c r="L466" i="20" s="1"/>
  <c r="M466" i="20" s="1"/>
  <c r="K487" i="20"/>
  <c r="L487" i="20" s="1"/>
  <c r="M487" i="20" s="1"/>
  <c r="M574" i="20"/>
  <c r="N574" i="20" s="1"/>
  <c r="K209" i="20"/>
  <c r="L209" i="20" s="1"/>
  <c r="M209" i="20" s="1"/>
  <c r="K253" i="20"/>
  <c r="L253" i="20" s="1"/>
  <c r="M253" i="20" s="1"/>
  <c r="K165" i="20"/>
  <c r="L165" i="20" s="1"/>
  <c r="M165" i="20" s="1"/>
  <c r="K231" i="20"/>
  <c r="L231" i="20" s="1"/>
  <c r="M231" i="20" s="1"/>
  <c r="K187" i="20"/>
  <c r="L187" i="20" s="1"/>
  <c r="M187" i="20" s="1"/>
  <c r="K670" i="20"/>
  <c r="L670" i="20" s="1"/>
  <c r="M670" i="20" s="1"/>
  <c r="N670" i="20" s="1"/>
  <c r="K650" i="20"/>
  <c r="L650" i="20" s="1"/>
  <c r="M650" i="20" s="1"/>
  <c r="N650" i="20" s="1"/>
  <c r="K568" i="20"/>
  <c r="L568" i="20" s="1"/>
  <c r="K547" i="20"/>
  <c r="L547" i="20" s="1"/>
  <c r="M547" i="20" s="1"/>
  <c r="N547" i="20" s="1"/>
  <c r="K589" i="20"/>
  <c r="L589" i="20"/>
  <c r="M589" i="20" s="1"/>
  <c r="N589" i="20" s="1"/>
  <c r="K526" i="20"/>
  <c r="L526" i="20" s="1"/>
  <c r="M526" i="20" s="1"/>
  <c r="N526" i="20" s="1"/>
  <c r="K422" i="20"/>
  <c r="L422" i="20" s="1"/>
  <c r="M422" i="20" s="1"/>
  <c r="N422" i="20" s="1"/>
  <c r="K485" i="20"/>
  <c r="L485" i="20"/>
  <c r="M485" i="20" s="1"/>
  <c r="N485" i="20" s="1"/>
  <c r="K506" i="20"/>
  <c r="L506" i="20" s="1"/>
  <c r="M506" i="20" s="1"/>
  <c r="N506" i="20" s="1"/>
  <c r="K443" i="20"/>
  <c r="L443" i="20" s="1"/>
  <c r="M443" i="20" s="1"/>
  <c r="N443" i="20" s="1"/>
  <c r="K401" i="20"/>
  <c r="L401" i="20" s="1"/>
  <c r="M401" i="20" s="1"/>
  <c r="N401" i="20" s="1"/>
  <c r="K464" i="20"/>
  <c r="L464" i="20"/>
  <c r="M464" i="20" s="1"/>
  <c r="N464" i="20" s="1"/>
  <c r="K689" i="20"/>
  <c r="L689" i="20" s="1"/>
  <c r="M689" i="20" s="1"/>
  <c r="N689" i="20" s="1"/>
  <c r="K708" i="20"/>
  <c r="L708" i="20" s="1"/>
  <c r="M708" i="20" s="1"/>
  <c r="N708" i="20" s="1"/>
  <c r="K630" i="20"/>
  <c r="L630" i="20" s="1"/>
  <c r="M630" i="20" s="1"/>
  <c r="N630" i="20" s="1"/>
  <c r="K610" i="20"/>
  <c r="K251" i="20"/>
  <c r="L251" i="20" s="1"/>
  <c r="M251" i="20" s="1"/>
  <c r="N251" i="20" s="1"/>
  <c r="K163" i="20"/>
  <c r="L163" i="20" s="1"/>
  <c r="M163" i="20" s="1"/>
  <c r="N163" i="20" s="1"/>
  <c r="K229" i="20"/>
  <c r="L229" i="20" s="1"/>
  <c r="M229" i="20" s="1"/>
  <c r="N229" i="20" s="1"/>
  <c r="K185" i="20"/>
  <c r="L185" i="20" s="1"/>
  <c r="M185" i="20" s="1"/>
  <c r="N185" i="20" s="1"/>
  <c r="K207" i="20"/>
  <c r="L207" i="20"/>
  <c r="M207" i="20" s="1"/>
  <c r="N207" i="20" s="1"/>
  <c r="L578" i="20"/>
  <c r="L579" i="20" s="1"/>
  <c r="K16" i="20"/>
  <c r="L16" i="20" s="1"/>
  <c r="M16" i="20" s="1"/>
  <c r="K56" i="20"/>
  <c r="L56" i="20" s="1"/>
  <c r="M56" i="20" s="1"/>
  <c r="K99" i="20"/>
  <c r="L99" i="20" s="1"/>
  <c r="M99" i="20" s="1"/>
  <c r="K121" i="20"/>
  <c r="L121" i="20" s="1"/>
  <c r="M121" i="20" s="1"/>
  <c r="K77" i="20"/>
  <c r="L77" i="20" s="1"/>
  <c r="M77" i="20" s="1"/>
  <c r="K143" i="20"/>
  <c r="L143" i="20" s="1"/>
  <c r="M143" i="20" s="1"/>
  <c r="K36" i="20"/>
  <c r="L36" i="20" s="1"/>
  <c r="M36" i="20" s="1"/>
  <c r="K382" i="20"/>
  <c r="L382" i="20" s="1"/>
  <c r="M382" i="20" s="1"/>
  <c r="K298" i="20"/>
  <c r="L298" i="20" s="1"/>
  <c r="M298" i="20" s="1"/>
  <c r="K361" i="20"/>
  <c r="L361" i="20" s="1"/>
  <c r="M361" i="20" s="1"/>
  <c r="K277" i="20"/>
  <c r="L277" i="20" s="1"/>
  <c r="M277" i="20" s="1"/>
  <c r="K340" i="20"/>
  <c r="L340" i="20"/>
  <c r="M340" i="20" s="1"/>
  <c r="K319" i="20"/>
  <c r="L319" i="20" s="1"/>
  <c r="M319" i="20" s="1"/>
  <c r="K97" i="20"/>
  <c r="L97" i="20" s="1"/>
  <c r="M97" i="20" s="1"/>
  <c r="N97" i="20" s="1"/>
  <c r="K34" i="20"/>
  <c r="L34" i="20"/>
  <c r="M34" i="20" s="1"/>
  <c r="N34" i="20" s="1"/>
  <c r="K75" i="20"/>
  <c r="L75" i="20" s="1"/>
  <c r="M75" i="20" s="1"/>
  <c r="N75" i="20" s="1"/>
  <c r="K141" i="20"/>
  <c r="L141" i="20" s="1"/>
  <c r="M141" i="20" s="1"/>
  <c r="N141" i="20" s="1"/>
  <c r="K54" i="20"/>
  <c r="L54" i="20"/>
  <c r="M54" i="20" s="1"/>
  <c r="N54" i="20" s="1"/>
  <c r="K14" i="20"/>
  <c r="L14" i="20" s="1"/>
  <c r="M14" i="20" s="1"/>
  <c r="N14" i="20" s="1"/>
  <c r="K119" i="20"/>
  <c r="L119" i="20" s="1"/>
  <c r="M119" i="20" s="1"/>
  <c r="N119" i="20" s="1"/>
  <c r="I261" i="20"/>
  <c r="A9" i="12" l="1"/>
  <c r="A10" i="14"/>
  <c r="A8" i="12"/>
  <c r="A7" i="2"/>
  <c r="A24" i="2" s="1"/>
  <c r="H14" i="2"/>
  <c r="A13" i="14"/>
  <c r="A10" i="15" s="1"/>
  <c r="A10" i="27" s="1"/>
  <c r="A19" i="27" s="1"/>
  <c r="A10" i="2"/>
  <c r="A27" i="2" s="1"/>
  <c r="A11" i="12"/>
  <c r="A9" i="14"/>
  <c r="A7" i="12"/>
  <c r="A6" i="2"/>
  <c r="A23" i="2" s="1"/>
  <c r="A16" i="14"/>
  <c r="A13" i="2"/>
  <c r="A30" i="2" s="1"/>
  <c r="A14" i="12"/>
  <c r="B14" i="24"/>
  <c r="A7" i="15"/>
  <c r="A7" i="27" s="1"/>
  <c r="A12" i="2"/>
  <c r="A29" i="2" s="1"/>
  <c r="A10" i="12"/>
  <c r="A12" i="12"/>
  <c r="D14" i="27"/>
  <c r="J616" i="20"/>
  <c r="J617" i="20" s="1"/>
  <c r="L617" i="20" s="1"/>
  <c r="A11" i="2"/>
  <c r="A28" i="2" s="1"/>
  <c r="A12" i="14"/>
  <c r="A13" i="12"/>
  <c r="A8" i="2"/>
  <c r="A25" i="2" s="1"/>
  <c r="A9" i="2"/>
  <c r="A26" i="2" s="1"/>
  <c r="A14" i="14"/>
  <c r="A15" i="14"/>
  <c r="A11" i="14"/>
  <c r="N13" i="12"/>
  <c r="P13" i="12" s="1"/>
  <c r="N14" i="12"/>
  <c r="P14" i="12" s="1"/>
  <c r="B32" i="12" s="1"/>
  <c r="I13" i="27"/>
  <c r="F8" i="12"/>
  <c r="N8" i="12" s="1"/>
  <c r="P8" i="12" s="1"/>
  <c r="K9" i="7"/>
  <c r="B10" i="2" s="1"/>
  <c r="G10" i="2" s="1"/>
  <c r="I10" i="2" s="1"/>
  <c r="F10" i="15" s="1"/>
  <c r="C29" i="12" s="1"/>
  <c r="F14" i="27"/>
  <c r="I196" i="20"/>
  <c r="I197" i="20"/>
  <c r="I218" i="20"/>
  <c r="I219" i="20"/>
  <c r="I240" i="20"/>
  <c r="I241" i="20"/>
  <c r="I263" i="20"/>
  <c r="I174" i="20"/>
  <c r="I175" i="20" s="1"/>
  <c r="I262" i="20"/>
  <c r="I44" i="20"/>
  <c r="I45" i="20" s="1"/>
  <c r="I151" i="20"/>
  <c r="I152" i="20" s="1"/>
  <c r="I64" i="20"/>
  <c r="I65" i="20" s="1"/>
  <c r="I24" i="20"/>
  <c r="I25" i="20" s="1"/>
  <c r="I107" i="20"/>
  <c r="I108" i="20" s="1"/>
  <c r="I129" i="20"/>
  <c r="I130" i="20" s="1"/>
  <c r="G610" i="20"/>
  <c r="J609" i="20"/>
  <c r="I609" i="20"/>
  <c r="J608" i="20"/>
  <c r="I608" i="20"/>
  <c r="I616" i="20"/>
  <c r="G617" i="20"/>
  <c r="I617" i="20" s="1"/>
  <c r="C14" i="27"/>
  <c r="I11" i="27"/>
  <c r="O9" i="12"/>
  <c r="O11" i="12"/>
  <c r="P11" i="12" s="1"/>
  <c r="B29" i="12" s="1"/>
  <c r="H9" i="12"/>
  <c r="J9" i="12" s="1"/>
  <c r="B8" i="30" s="1"/>
  <c r="N9" i="12"/>
  <c r="M572" i="20"/>
  <c r="N572" i="20" s="1"/>
  <c r="L551" i="20"/>
  <c r="M566" i="20"/>
  <c r="N566" i="20" s="1"/>
  <c r="O566" i="20"/>
  <c r="O572" i="20" s="1"/>
  <c r="O575" i="20"/>
  <c r="O577" i="20"/>
  <c r="O569" i="20"/>
  <c r="O567" i="20"/>
  <c r="O573" i="20"/>
  <c r="M579" i="20"/>
  <c r="N579" i="20" s="1"/>
  <c r="O576" i="20"/>
  <c r="O574" i="20"/>
  <c r="M568" i="20"/>
  <c r="N568" i="20" s="1"/>
  <c r="O568" i="20"/>
  <c r="O571" i="20"/>
  <c r="O570" i="20"/>
  <c r="O578" i="20"/>
  <c r="M587" i="20"/>
  <c r="N587" i="20" s="1"/>
  <c r="L593" i="20"/>
  <c r="M578" i="20"/>
  <c r="N578" i="20" s="1"/>
  <c r="L530" i="20"/>
  <c r="I7" i="27"/>
  <c r="B14" i="27"/>
  <c r="E14" i="27"/>
  <c r="I12" i="27"/>
  <c r="G6" i="27"/>
  <c r="I10" i="27"/>
  <c r="I9" i="27"/>
  <c r="H8" i="27"/>
  <c r="I8" i="27" s="1"/>
  <c r="H13" i="12"/>
  <c r="J13" i="12" s="1"/>
  <c r="H11" i="12"/>
  <c r="J11" i="12" s="1"/>
  <c r="G10" i="12"/>
  <c r="O10" i="12" s="1"/>
  <c r="C15" i="12"/>
  <c r="H14" i="12"/>
  <c r="M15" i="12"/>
  <c r="D15" i="12"/>
  <c r="F7" i="12"/>
  <c r="N7" i="12" s="1"/>
  <c r="B15" i="12"/>
  <c r="F12" i="12"/>
  <c r="E15" i="12"/>
  <c r="M617" i="20" l="1"/>
  <c r="N617" i="20" s="1"/>
  <c r="L616" i="20"/>
  <c r="B30" i="24"/>
  <c r="A12" i="15"/>
  <c r="A12" i="27" s="1"/>
  <c r="B34" i="24"/>
  <c r="A13" i="15"/>
  <c r="A13" i="27" s="1"/>
  <c r="A9" i="15"/>
  <c r="A9" i="27" s="1"/>
  <c r="A18" i="27" s="1"/>
  <c r="B22" i="24"/>
  <c r="B26" i="24"/>
  <c r="A11" i="15"/>
  <c r="A11" i="27" s="1"/>
  <c r="A8" i="15"/>
  <c r="A8" i="27" s="1"/>
  <c r="A17" i="27" s="1"/>
  <c r="B18" i="24"/>
  <c r="A6" i="15"/>
  <c r="A6" i="27" s="1"/>
  <c r="B10" i="24"/>
  <c r="B31" i="12"/>
  <c r="P10" i="12"/>
  <c r="B28" i="12" s="1"/>
  <c r="M616" i="20"/>
  <c r="N616" i="20" s="1"/>
  <c r="B29" i="2"/>
  <c r="E10" i="2"/>
  <c r="D13" i="14" s="1"/>
  <c r="D10" i="30"/>
  <c r="D10" i="31" s="1"/>
  <c r="H8" i="12"/>
  <c r="J8" i="12" s="1"/>
  <c r="B7" i="30" s="1"/>
  <c r="B30" i="2"/>
  <c r="C29" i="2"/>
  <c r="I613" i="20"/>
  <c r="B26" i="12"/>
  <c r="B24" i="2"/>
  <c r="C24" i="2" s="1"/>
  <c r="G611" i="20"/>
  <c r="I610" i="20"/>
  <c r="J610" i="20"/>
  <c r="L610" i="20" s="1"/>
  <c r="I6" i="27"/>
  <c r="I14" i="27" s="1"/>
  <c r="I21" i="27" s="1"/>
  <c r="I24" i="27" s="1"/>
  <c r="G14" i="27"/>
  <c r="H12" i="12"/>
  <c r="J12" i="12" s="1"/>
  <c r="B12" i="30" s="1"/>
  <c r="N12" i="12"/>
  <c r="P12" i="12" s="1"/>
  <c r="P9" i="12"/>
  <c r="B27" i="12" s="1"/>
  <c r="O15" i="12"/>
  <c r="P7" i="12"/>
  <c r="O579" i="20"/>
  <c r="M551" i="20"/>
  <c r="N551" i="20" s="1"/>
  <c r="L553" i="20"/>
  <c r="L532" i="20"/>
  <c r="M530" i="20"/>
  <c r="N530" i="20" s="1"/>
  <c r="L595" i="20"/>
  <c r="M593" i="20"/>
  <c r="N593" i="20" s="1"/>
  <c r="H14" i="27"/>
  <c r="H10" i="12"/>
  <c r="J10" i="12" s="1"/>
  <c r="G15" i="12"/>
  <c r="B11" i="30"/>
  <c r="F15" i="12"/>
  <c r="H7" i="12"/>
  <c r="J14" i="12"/>
  <c r="C30" i="2"/>
  <c r="B10" i="30"/>
  <c r="B27" i="2"/>
  <c r="B26" i="2" l="1"/>
  <c r="C26" i="2" s="1"/>
  <c r="D29" i="2"/>
  <c r="N15" i="12"/>
  <c r="B25" i="2"/>
  <c r="C25" i="2" s="1"/>
  <c r="D25" i="2" s="1"/>
  <c r="M610" i="20"/>
  <c r="N610" i="20" s="1"/>
  <c r="I611" i="20"/>
  <c r="J611" i="20"/>
  <c r="G612" i="20"/>
  <c r="B25" i="12"/>
  <c r="P15" i="12"/>
  <c r="P17" i="12" s="1"/>
  <c r="B23" i="2"/>
  <c r="B30" i="12"/>
  <c r="B28" i="2"/>
  <c r="C28" i="2" s="1"/>
  <c r="M553" i="20"/>
  <c r="N553" i="20" s="1"/>
  <c r="L556" i="20"/>
  <c r="L535" i="20"/>
  <c r="M532" i="20"/>
  <c r="N532" i="20" s="1"/>
  <c r="L598" i="20"/>
  <c r="M595" i="20"/>
  <c r="N595" i="20" s="1"/>
  <c r="D27" i="2"/>
  <c r="C27" i="2"/>
  <c r="E27" i="2" s="1"/>
  <c r="B13" i="30"/>
  <c r="D30" i="2"/>
  <c r="B9" i="30"/>
  <c r="D24" i="2"/>
  <c r="H15" i="12"/>
  <c r="J7" i="12"/>
  <c r="D28" i="2" l="1"/>
  <c r="G614" i="20"/>
  <c r="I612" i="20"/>
  <c r="J612" i="20"/>
  <c r="L612" i="20" s="1"/>
  <c r="L611" i="20"/>
  <c r="M611" i="20" s="1"/>
  <c r="B33" i="12"/>
  <c r="L557" i="20"/>
  <c r="L558" i="20" s="1"/>
  <c r="M556" i="20"/>
  <c r="N556" i="20" s="1"/>
  <c r="L536" i="20"/>
  <c r="M535" i="20"/>
  <c r="N535" i="20" s="1"/>
  <c r="M598" i="20"/>
  <c r="N598" i="20" s="1"/>
  <c r="L599" i="20"/>
  <c r="L600" i="20" s="1"/>
  <c r="O598" i="20" s="1"/>
  <c r="D26" i="2"/>
  <c r="J15" i="12"/>
  <c r="B6" i="30"/>
  <c r="B14" i="30" s="1"/>
  <c r="M612" i="20" l="1"/>
  <c r="N612" i="20" s="1"/>
  <c r="K7" i="12"/>
  <c r="I614" i="20"/>
  <c r="I615" i="20" s="1"/>
  <c r="I618" i="20" s="1"/>
  <c r="J614" i="20"/>
  <c r="L614" i="20" s="1"/>
  <c r="P19" i="12"/>
  <c r="O547" i="20"/>
  <c r="O546" i="20"/>
  <c r="O550" i="20"/>
  <c r="O553" i="20"/>
  <c r="O549" i="20"/>
  <c r="O545" i="20"/>
  <c r="O551" i="20" s="1"/>
  <c r="O548" i="20"/>
  <c r="M558" i="20"/>
  <c r="N558" i="20" s="1"/>
  <c r="O554" i="20"/>
  <c r="O552" i="20"/>
  <c r="O555" i="20"/>
  <c r="O556" i="20"/>
  <c r="M557" i="20"/>
  <c r="N557" i="20" s="1"/>
  <c r="O557" i="20"/>
  <c r="O596" i="20"/>
  <c r="M600" i="20"/>
  <c r="N600" i="20" s="1"/>
  <c r="O594" i="20"/>
  <c r="O597" i="20"/>
  <c r="O591" i="20"/>
  <c r="O587" i="20"/>
  <c r="O593" i="20" s="1"/>
  <c r="O589" i="20"/>
  <c r="O590" i="20"/>
  <c r="O592" i="20"/>
  <c r="O588" i="20"/>
  <c r="O595" i="20"/>
  <c r="M536" i="20"/>
  <c r="N536" i="20" s="1"/>
  <c r="O536" i="20"/>
  <c r="M599" i="20"/>
  <c r="N599" i="20" s="1"/>
  <c r="O599" i="20"/>
  <c r="O600" i="20" s="1"/>
  <c r="L537" i="20"/>
  <c r="K9" i="12"/>
  <c r="K13" i="12"/>
  <c r="K8" i="12"/>
  <c r="K12" i="12"/>
  <c r="K11" i="12"/>
  <c r="K10" i="12"/>
  <c r="K14" i="12"/>
  <c r="C23" i="2"/>
  <c r="D23" i="2" s="1"/>
  <c r="M614" i="20" l="1"/>
  <c r="N614" i="20" s="1"/>
  <c r="K15" i="12"/>
  <c r="I620" i="20"/>
  <c r="I619" i="20"/>
  <c r="O558" i="20"/>
  <c r="O534" i="20"/>
  <c r="O531" i="20"/>
  <c r="M537" i="20"/>
  <c r="N537" i="20" s="1"/>
  <c r="O529" i="20"/>
  <c r="O528" i="20"/>
  <c r="O525" i="20"/>
  <c r="O533" i="20"/>
  <c r="O527" i="20"/>
  <c r="O524" i="20"/>
  <c r="O530" i="20" s="1"/>
  <c r="O526" i="20"/>
  <c r="O532" i="20"/>
  <c r="O535" i="20"/>
  <c r="O537" i="20" s="1"/>
  <c r="C10" i="14" l="1"/>
  <c r="F7" i="2"/>
  <c r="E15" i="24" l="1"/>
  <c r="B7" i="15"/>
  <c r="F9" i="2"/>
  <c r="C12" i="14"/>
  <c r="B9" i="15" l="1"/>
  <c r="E23" i="24"/>
  <c r="L227" i="20"/>
  <c r="L183" i="20"/>
  <c r="L249" i="20"/>
  <c r="L161" i="20"/>
  <c r="L205" i="20"/>
  <c r="M227" i="20" l="1"/>
  <c r="M249" i="20"/>
  <c r="M183" i="20"/>
  <c r="L504" i="20"/>
  <c r="L399" i="20"/>
  <c r="L483" i="20"/>
  <c r="L420" i="20"/>
  <c r="L441" i="20"/>
  <c r="L462" i="20"/>
  <c r="M205" i="20"/>
  <c r="C9" i="14"/>
  <c r="M161" i="20"/>
  <c r="N205" i="20" l="1"/>
  <c r="M483" i="20"/>
  <c r="N227" i="20"/>
  <c r="N161" i="20"/>
  <c r="E11" i="24"/>
  <c r="B6" i="15"/>
  <c r="M462" i="20"/>
  <c r="M399" i="20"/>
  <c r="N249" i="20"/>
  <c r="M441" i="20"/>
  <c r="M504" i="20"/>
  <c r="N183" i="20"/>
  <c r="M420" i="20"/>
  <c r="N504" i="20" l="1"/>
  <c r="N462" i="20"/>
  <c r="N399" i="20"/>
  <c r="N420" i="20"/>
  <c r="L12" i="20"/>
  <c r="L32" i="20"/>
  <c r="L52" i="20"/>
  <c r="L73" i="20"/>
  <c r="L117" i="20"/>
  <c r="L95" i="20"/>
  <c r="L139" i="20"/>
  <c r="N441" i="20"/>
  <c r="N483" i="20"/>
  <c r="M139" i="20" l="1"/>
  <c r="N139" i="20" s="1"/>
  <c r="M52" i="20"/>
  <c r="N52" i="20" s="1"/>
  <c r="M95" i="20"/>
  <c r="N95" i="20" s="1"/>
  <c r="M32" i="20"/>
  <c r="N32" i="20" s="1"/>
  <c r="M117" i="20"/>
  <c r="N117" i="20" s="1"/>
  <c r="M12" i="20"/>
  <c r="M73" i="20"/>
  <c r="N73" i="20" s="1"/>
  <c r="N12" i="20" l="1"/>
  <c r="J5" i="7" l="1"/>
  <c r="D13" i="7" l="1"/>
  <c r="J7" i="7"/>
  <c r="E8" i="30" s="1"/>
  <c r="J10" i="7"/>
  <c r="E12" i="30" s="1"/>
  <c r="J11" i="7"/>
  <c r="E11" i="30" s="1"/>
  <c r="J12" i="7"/>
  <c r="E13" i="30" s="1"/>
  <c r="J6" i="7"/>
  <c r="E7" i="30" s="1"/>
  <c r="J8" i="7"/>
  <c r="E9" i="30" s="1"/>
  <c r="E6" i="30"/>
  <c r="J13" i="7" l="1"/>
  <c r="E14" i="30"/>
  <c r="I12" i="7" l="1"/>
  <c r="K12" i="7" s="1"/>
  <c r="B13" i="2" s="1"/>
  <c r="D12" i="29"/>
  <c r="D10" i="29"/>
  <c r="I11" i="7"/>
  <c r="K11" i="7" s="1"/>
  <c r="D8" i="29"/>
  <c r="I8" i="7"/>
  <c r="K8" i="7" s="1"/>
  <c r="D7" i="29"/>
  <c r="D6" i="29"/>
  <c r="D11" i="29"/>
  <c r="E30" i="2" l="1"/>
  <c r="D13" i="2" s="1"/>
  <c r="D8" i="2"/>
  <c r="B9" i="2"/>
  <c r="B12" i="2"/>
  <c r="B13" i="7"/>
  <c r="D5" i="29"/>
  <c r="D13" i="29" s="1"/>
  <c r="E7" i="29"/>
  <c r="E5" i="29" l="1"/>
  <c r="E9" i="29"/>
  <c r="E10" i="29"/>
  <c r="F8" i="2"/>
  <c r="C11" i="14"/>
  <c r="E6" i="29"/>
  <c r="E8" i="29"/>
  <c r="E26" i="2"/>
  <c r="G9" i="2"/>
  <c r="F13" i="2"/>
  <c r="B16" i="14"/>
  <c r="E11" i="29"/>
  <c r="E12" i="29"/>
  <c r="E29" i="2"/>
  <c r="D12" i="2" s="1"/>
  <c r="F12" i="2" l="1"/>
  <c r="B15" i="14"/>
  <c r="G13" i="2"/>
  <c r="E13" i="2" s="1"/>
  <c r="E16" i="14" s="1"/>
  <c r="B13" i="15"/>
  <c r="E35" i="24"/>
  <c r="E13" i="29"/>
  <c r="D9" i="30"/>
  <c r="D9" i="31" s="1"/>
  <c r="I9" i="2"/>
  <c r="F9" i="15" s="1"/>
  <c r="C28" i="12" s="1"/>
  <c r="E9" i="2"/>
  <c r="D12" i="14" s="1"/>
  <c r="E19" i="24"/>
  <c r="B8" i="15"/>
  <c r="H10" i="7"/>
  <c r="H6" i="7"/>
  <c r="D13" i="30" l="1"/>
  <c r="D13" i="31" s="1"/>
  <c r="B12" i="32"/>
  <c r="I10" i="7"/>
  <c r="K10" i="7" s="1"/>
  <c r="L706" i="20"/>
  <c r="K687" i="20"/>
  <c r="L687" i="20" s="1"/>
  <c r="B7" i="32"/>
  <c r="I6" i="7"/>
  <c r="K6" i="7" s="1"/>
  <c r="L273" i="20"/>
  <c r="L315" i="20"/>
  <c r="L357" i="20"/>
  <c r="L336" i="20"/>
  <c r="L294" i="20"/>
  <c r="L378" i="20"/>
  <c r="E36" i="24"/>
  <c r="C13" i="15"/>
  <c r="H13" i="15" s="1"/>
  <c r="I13" i="15" s="1"/>
  <c r="E31" i="24"/>
  <c r="B12" i="15"/>
  <c r="E24" i="24"/>
  <c r="C9" i="15"/>
  <c r="I13" i="2"/>
  <c r="F13" i="15" s="1"/>
  <c r="C32" i="12" s="1"/>
  <c r="G12" i="2"/>
  <c r="H5" i="7"/>
  <c r="H9" i="15" l="1"/>
  <c r="I9" i="15" s="1"/>
  <c r="E9" i="15"/>
  <c r="M336" i="20"/>
  <c r="K707" i="20"/>
  <c r="L707" i="20" s="1"/>
  <c r="L711" i="20" s="1"/>
  <c r="K688" i="20"/>
  <c r="L688" i="20" s="1"/>
  <c r="K608" i="20"/>
  <c r="L608" i="20" s="1"/>
  <c r="K628" i="20"/>
  <c r="L628" i="20" s="1"/>
  <c r="M294" i="20"/>
  <c r="M273" i="20"/>
  <c r="E13" i="15"/>
  <c r="M687" i="20"/>
  <c r="L692" i="20"/>
  <c r="D11" i="30"/>
  <c r="D11" i="31" s="1"/>
  <c r="E12" i="2"/>
  <c r="D15" i="14" s="1"/>
  <c r="M357" i="20"/>
  <c r="M706" i="20"/>
  <c r="B6" i="32"/>
  <c r="I5" i="7"/>
  <c r="K400" i="20"/>
  <c r="L400" i="20" s="1"/>
  <c r="K505" i="20"/>
  <c r="L505" i="20" s="1"/>
  <c r="K442" i="20"/>
  <c r="L442" i="20" s="1"/>
  <c r="K484" i="20"/>
  <c r="L484" i="20" s="1"/>
  <c r="K463" i="20"/>
  <c r="L463" i="20" s="1"/>
  <c r="K421" i="20"/>
  <c r="L421" i="20" s="1"/>
  <c r="I12" i="2"/>
  <c r="F12" i="15" s="1"/>
  <c r="C31" i="12" s="1"/>
  <c r="M378" i="20"/>
  <c r="M315" i="20"/>
  <c r="B7" i="2"/>
  <c r="B11" i="2"/>
  <c r="N315" i="20" l="1"/>
  <c r="E32" i="24"/>
  <c r="C12" i="15"/>
  <c r="N687" i="20"/>
  <c r="N273" i="20"/>
  <c r="M628" i="20"/>
  <c r="N628" i="20" s="1"/>
  <c r="M688" i="20"/>
  <c r="N688" i="20" s="1"/>
  <c r="N336" i="20"/>
  <c r="M484" i="20"/>
  <c r="L489" i="20"/>
  <c r="L491" i="20" s="1"/>
  <c r="L694" i="20"/>
  <c r="N294" i="20"/>
  <c r="G7" i="2"/>
  <c r="E24" i="2"/>
  <c r="L447" i="20"/>
  <c r="L449" i="20" s="1"/>
  <c r="M442" i="20"/>
  <c r="L426" i="20"/>
  <c r="L428" i="20" s="1"/>
  <c r="M421" i="20"/>
  <c r="L510" i="20"/>
  <c r="L512" i="20" s="1"/>
  <c r="M505" i="20"/>
  <c r="M608" i="20"/>
  <c r="N608" i="20" s="1"/>
  <c r="M707" i="20"/>
  <c r="N707" i="20" s="1"/>
  <c r="K5" i="7"/>
  <c r="N706" i="20"/>
  <c r="E28" i="2"/>
  <c r="D11" i="2" s="1"/>
  <c r="N378" i="20"/>
  <c r="M463" i="20"/>
  <c r="L468" i="20"/>
  <c r="L470" i="20" s="1"/>
  <c r="M400" i="20"/>
  <c r="L405" i="20"/>
  <c r="L407" i="20" s="1"/>
  <c r="L713" i="20"/>
  <c r="N357" i="20"/>
  <c r="M711" i="20" l="1"/>
  <c r="N711" i="20" s="1"/>
  <c r="L473" i="20"/>
  <c r="M470" i="20"/>
  <c r="N470" i="20" s="1"/>
  <c r="L515" i="20"/>
  <c r="M512" i="20"/>
  <c r="N512" i="20" s="1"/>
  <c r="N463" i="20"/>
  <c r="M468" i="20"/>
  <c r="N468" i="20" s="1"/>
  <c r="M447" i="20"/>
  <c r="N447" i="20" s="1"/>
  <c r="N442" i="20"/>
  <c r="I7" i="2"/>
  <c r="F7" i="15" s="1"/>
  <c r="C26" i="12" s="1"/>
  <c r="E7" i="2"/>
  <c r="E10" i="14" s="1"/>
  <c r="D7" i="30"/>
  <c r="D7" i="31" s="1"/>
  <c r="L697" i="20"/>
  <c r="M694" i="20"/>
  <c r="N694" i="20" s="1"/>
  <c r="K629" i="20"/>
  <c r="L629" i="20" s="1"/>
  <c r="K609" i="20"/>
  <c r="L609" i="20" s="1"/>
  <c r="H12" i="15"/>
  <c r="I12" i="15" s="1"/>
  <c r="E12" i="15"/>
  <c r="M405" i="20"/>
  <c r="N405" i="20" s="1"/>
  <c r="N400" i="20"/>
  <c r="F11" i="2"/>
  <c r="B14" i="14"/>
  <c r="B6" i="2"/>
  <c r="N421" i="20"/>
  <c r="M426" i="20"/>
  <c r="N426" i="20" s="1"/>
  <c r="M449" i="20"/>
  <c r="N449" i="20" s="1"/>
  <c r="L452" i="20"/>
  <c r="M692" i="20"/>
  <c r="N692" i="20" s="1"/>
  <c r="M489" i="20"/>
  <c r="N489" i="20" s="1"/>
  <c r="N484" i="20"/>
  <c r="L410" i="20"/>
  <c r="M407" i="20"/>
  <c r="N407" i="20" s="1"/>
  <c r="M713" i="20"/>
  <c r="N713" i="20" s="1"/>
  <c r="L716" i="20"/>
  <c r="M510" i="20"/>
  <c r="N510" i="20" s="1"/>
  <c r="N505" i="20"/>
  <c r="L431" i="20"/>
  <c r="M428" i="20"/>
  <c r="N428" i="20" s="1"/>
  <c r="M491" i="20"/>
  <c r="N491" i="20" s="1"/>
  <c r="L494" i="20"/>
  <c r="L516" i="20" l="1"/>
  <c r="L517" i="20" s="1"/>
  <c r="O515" i="20" s="1"/>
  <c r="M515" i="20"/>
  <c r="N515" i="20" s="1"/>
  <c r="M494" i="20"/>
  <c r="N494" i="20" s="1"/>
  <c r="L495" i="20"/>
  <c r="L432" i="20"/>
  <c r="M431" i="20"/>
  <c r="N431" i="20" s="1"/>
  <c r="M716" i="20"/>
  <c r="N716" i="20" s="1"/>
  <c r="L717" i="20"/>
  <c r="M717" i="20" s="1"/>
  <c r="N717" i="20" s="1"/>
  <c r="L411" i="20"/>
  <c r="M410" i="20"/>
  <c r="N410" i="20" s="1"/>
  <c r="E27" i="24"/>
  <c r="B11" i="15"/>
  <c r="M609" i="20"/>
  <c r="N609" i="20" s="1"/>
  <c r="L613" i="20"/>
  <c r="L698" i="20"/>
  <c r="L699" i="20" s="1"/>
  <c r="M697" i="20"/>
  <c r="N697" i="20" s="1"/>
  <c r="L453" i="20"/>
  <c r="M452" i="20"/>
  <c r="N452" i="20" s="1"/>
  <c r="F14" i="2"/>
  <c r="G11" i="2"/>
  <c r="D12" i="30" s="1"/>
  <c r="D12" i="31" s="1"/>
  <c r="M629" i="20"/>
  <c r="N629" i="20" s="1"/>
  <c r="L633" i="20"/>
  <c r="G6" i="2"/>
  <c r="E23" i="2"/>
  <c r="C7" i="15"/>
  <c r="E16" i="24"/>
  <c r="M473" i="20"/>
  <c r="N473" i="20" s="1"/>
  <c r="L474" i="20"/>
  <c r="O693" i="20" l="1"/>
  <c r="O696" i="20"/>
  <c r="O689" i="20"/>
  <c r="O691" i="20"/>
  <c r="O695" i="20"/>
  <c r="M699" i="20"/>
  <c r="N699" i="20" s="1"/>
  <c r="O690" i="20"/>
  <c r="O687" i="20"/>
  <c r="O688" i="20"/>
  <c r="O692" i="20"/>
  <c r="O694" i="20"/>
  <c r="O697" i="20"/>
  <c r="L454" i="20"/>
  <c r="O453" i="20" s="1"/>
  <c r="M453" i="20"/>
  <c r="N453" i="20" s="1"/>
  <c r="L615" i="20"/>
  <c r="M613" i="20"/>
  <c r="N613" i="20" s="1"/>
  <c r="K668" i="20"/>
  <c r="L668" i="20" s="1"/>
  <c r="K648" i="20"/>
  <c r="L648" i="20" s="1"/>
  <c r="M411" i="20"/>
  <c r="N411" i="20" s="1"/>
  <c r="M432" i="20"/>
  <c r="N432" i="20" s="1"/>
  <c r="O513" i="20"/>
  <c r="M517" i="20"/>
  <c r="N517" i="20" s="1"/>
  <c r="O506" i="20"/>
  <c r="O514" i="20"/>
  <c r="O508" i="20"/>
  <c r="O511" i="20"/>
  <c r="O509" i="20"/>
  <c r="O504" i="20"/>
  <c r="O510" i="20" s="1"/>
  <c r="O507" i="20"/>
  <c r="O505" i="20"/>
  <c r="O512" i="20"/>
  <c r="I6" i="2"/>
  <c r="D6" i="30"/>
  <c r="E6" i="2"/>
  <c r="E9" i="14" s="1"/>
  <c r="B14" i="15"/>
  <c r="E7" i="15"/>
  <c r="H7" i="15"/>
  <c r="I7" i="15" s="1"/>
  <c r="L496" i="20"/>
  <c r="M495" i="20"/>
  <c r="N495" i="20" s="1"/>
  <c r="L635" i="20"/>
  <c r="M633" i="20"/>
  <c r="N633" i="20" s="1"/>
  <c r="M698" i="20"/>
  <c r="N698" i="20" s="1"/>
  <c r="O698" i="20"/>
  <c r="K162" i="20"/>
  <c r="L162" i="20" s="1"/>
  <c r="K228" i="20"/>
  <c r="L228" i="20" s="1"/>
  <c r="K206" i="20"/>
  <c r="L206" i="20" s="1"/>
  <c r="K184" i="20"/>
  <c r="L184" i="20" s="1"/>
  <c r="K250" i="20"/>
  <c r="L250" i="20" s="1"/>
  <c r="L475" i="20"/>
  <c r="M474" i="20"/>
  <c r="N474" i="20" s="1"/>
  <c r="I11" i="2"/>
  <c r="F11" i="15" s="1"/>
  <c r="C30" i="12" s="1"/>
  <c r="E11" i="2"/>
  <c r="D14" i="14" s="1"/>
  <c r="L412" i="20"/>
  <c r="L718" i="20"/>
  <c r="L433" i="20"/>
  <c r="M516" i="20"/>
  <c r="N516" i="20" s="1"/>
  <c r="O516" i="20"/>
  <c r="O517" i="20" s="1"/>
  <c r="O699" i="20" l="1"/>
  <c r="O429" i="20"/>
  <c r="O422" i="20"/>
  <c r="O420" i="20"/>
  <c r="O426" i="20" s="1"/>
  <c r="O427" i="20"/>
  <c r="O430" i="20"/>
  <c r="O423" i="20"/>
  <c r="M433" i="20"/>
  <c r="N433" i="20" s="1"/>
  <c r="O425" i="20"/>
  <c r="O424" i="20"/>
  <c r="O421" i="20"/>
  <c r="O428" i="20"/>
  <c r="O431" i="20"/>
  <c r="O717" i="20"/>
  <c r="O714" i="20"/>
  <c r="O710" i="20"/>
  <c r="O708" i="20"/>
  <c r="M718" i="20"/>
  <c r="N718" i="20" s="1"/>
  <c r="O709" i="20"/>
  <c r="O712" i="20"/>
  <c r="O715" i="20"/>
  <c r="O706" i="20"/>
  <c r="O711" i="20"/>
  <c r="O707" i="20"/>
  <c r="O713" i="20"/>
  <c r="O716" i="20"/>
  <c r="O718" i="20" s="1"/>
  <c r="M250" i="20"/>
  <c r="L255" i="20"/>
  <c r="L167" i="20"/>
  <c r="M162" i="20"/>
  <c r="O432" i="20"/>
  <c r="M648" i="20"/>
  <c r="C11" i="15"/>
  <c r="E28" i="24"/>
  <c r="O473" i="20"/>
  <c r="O465" i="20"/>
  <c r="O472" i="20"/>
  <c r="O462" i="20"/>
  <c r="O468" i="20" s="1"/>
  <c r="O467" i="20"/>
  <c r="O466" i="20"/>
  <c r="O469" i="20"/>
  <c r="O471" i="20"/>
  <c r="O464" i="20"/>
  <c r="M475" i="20"/>
  <c r="N475" i="20" s="1"/>
  <c r="O463" i="20"/>
  <c r="O470" i="20"/>
  <c r="O494" i="20"/>
  <c r="O490" i="20"/>
  <c r="O487" i="20"/>
  <c r="O492" i="20"/>
  <c r="O485" i="20"/>
  <c r="M496" i="20"/>
  <c r="N496" i="20" s="1"/>
  <c r="O488" i="20"/>
  <c r="O493" i="20"/>
  <c r="O483" i="20"/>
  <c r="O489" i="20" s="1"/>
  <c r="O486" i="20"/>
  <c r="O484" i="20"/>
  <c r="O491" i="20"/>
  <c r="F6" i="15"/>
  <c r="L618" i="20"/>
  <c r="M615" i="20"/>
  <c r="N615" i="20" s="1"/>
  <c r="O401" i="20"/>
  <c r="O409" i="20"/>
  <c r="O406" i="20"/>
  <c r="O402" i="20"/>
  <c r="O399" i="20"/>
  <c r="O405" i="20" s="1"/>
  <c r="M412" i="20"/>
  <c r="N412" i="20" s="1"/>
  <c r="O408" i="20"/>
  <c r="O404" i="20"/>
  <c r="O403" i="20"/>
  <c r="O400" i="20"/>
  <c r="O407" i="20"/>
  <c r="O410" i="20"/>
  <c r="O474" i="20"/>
  <c r="M184" i="20"/>
  <c r="L189" i="20"/>
  <c r="L638" i="20"/>
  <c r="M635" i="20"/>
  <c r="N635" i="20" s="1"/>
  <c r="E12" i="24"/>
  <c r="C6" i="15"/>
  <c r="M668" i="20"/>
  <c r="L233" i="20"/>
  <c r="M228" i="20"/>
  <c r="L211" i="20"/>
  <c r="M206" i="20"/>
  <c r="O495" i="20"/>
  <c r="D6" i="31"/>
  <c r="O411" i="20"/>
  <c r="O445" i="20"/>
  <c r="O450" i="20"/>
  <c r="O443" i="20"/>
  <c r="O444" i="20"/>
  <c r="O448" i="20"/>
  <c r="M454" i="20"/>
  <c r="N454" i="20" s="1"/>
  <c r="O441" i="20"/>
  <c r="O447" i="20" s="1"/>
  <c r="O446" i="20"/>
  <c r="O451" i="20"/>
  <c r="O442" i="20"/>
  <c r="O449" i="20"/>
  <c r="O452" i="20"/>
  <c r="O454" i="20" s="1"/>
  <c r="O475" i="20" l="1"/>
  <c r="L191" i="20"/>
  <c r="O412" i="20"/>
  <c r="C25" i="12"/>
  <c r="O496" i="20"/>
  <c r="O433" i="20"/>
  <c r="N668" i="20"/>
  <c r="N206" i="20"/>
  <c r="M211" i="20"/>
  <c r="N211" i="20" s="1"/>
  <c r="L235" i="20"/>
  <c r="E6" i="15"/>
  <c r="H6" i="15"/>
  <c r="N184" i="20"/>
  <c r="M189" i="20"/>
  <c r="N189" i="20" s="1"/>
  <c r="L619" i="20"/>
  <c r="L620" i="20" s="1"/>
  <c r="M618" i="20"/>
  <c r="N618" i="20" s="1"/>
  <c r="H11" i="15"/>
  <c r="I11" i="15" s="1"/>
  <c r="E11" i="15"/>
  <c r="N648" i="20"/>
  <c r="M167" i="20"/>
  <c r="N167" i="20" s="1"/>
  <c r="N162" i="20"/>
  <c r="N250" i="20"/>
  <c r="M255" i="20"/>
  <c r="N255" i="20" s="1"/>
  <c r="N228" i="20"/>
  <c r="M233" i="20"/>
  <c r="N233" i="20" s="1"/>
  <c r="K669" i="20"/>
  <c r="L669" i="20" s="1"/>
  <c r="K649" i="20"/>
  <c r="L649" i="20" s="1"/>
  <c r="L257" i="20"/>
  <c r="L213" i="20"/>
  <c r="K140" i="20"/>
  <c r="L140" i="20" s="1"/>
  <c r="K53" i="20"/>
  <c r="L53" i="20" s="1"/>
  <c r="K13" i="20"/>
  <c r="L13" i="20" s="1"/>
  <c r="K74" i="20"/>
  <c r="L74" i="20" s="1"/>
  <c r="K96" i="20"/>
  <c r="L96" i="20" s="1"/>
  <c r="K118" i="20"/>
  <c r="L118" i="20" s="1"/>
  <c r="K33" i="20"/>
  <c r="L33" i="20" s="1"/>
  <c r="M638" i="20"/>
  <c r="N638" i="20" s="1"/>
  <c r="L639" i="20"/>
  <c r="L169" i="20"/>
  <c r="O614" i="20" l="1"/>
  <c r="O611" i="20"/>
  <c r="O617" i="20"/>
  <c r="O616" i="20"/>
  <c r="O612" i="20"/>
  <c r="O610" i="20"/>
  <c r="M620" i="20"/>
  <c r="N620" i="20" s="1"/>
  <c r="O608" i="20"/>
  <c r="O613" i="20" s="1"/>
  <c r="O609" i="20"/>
  <c r="O615" i="20"/>
  <c r="O618" i="20"/>
  <c r="M235" i="20"/>
  <c r="N235" i="20" s="1"/>
  <c r="L239" i="20"/>
  <c r="M169" i="20"/>
  <c r="N169" i="20" s="1"/>
  <c r="L173" i="20"/>
  <c r="M639" i="20"/>
  <c r="N639" i="20" s="1"/>
  <c r="L101" i="20"/>
  <c r="M96" i="20"/>
  <c r="N96" i="20" s="1"/>
  <c r="L145" i="20"/>
  <c r="M140" i="20"/>
  <c r="N140" i="20" s="1"/>
  <c r="L261" i="20"/>
  <c r="M257" i="20"/>
  <c r="N257" i="20" s="1"/>
  <c r="M74" i="20"/>
  <c r="N74" i="20" s="1"/>
  <c r="L79" i="20"/>
  <c r="M649" i="20"/>
  <c r="L653" i="20"/>
  <c r="L655" i="20" s="1"/>
  <c r="M13" i="20"/>
  <c r="L18" i="20"/>
  <c r="L217" i="20"/>
  <c r="M213" i="20"/>
  <c r="N213" i="20" s="1"/>
  <c r="M669" i="20"/>
  <c r="L673" i="20"/>
  <c r="L675" i="20" s="1"/>
  <c r="M619" i="20"/>
  <c r="N619" i="20" s="1"/>
  <c r="O619" i="20"/>
  <c r="I6" i="15"/>
  <c r="L38" i="20"/>
  <c r="M33" i="20"/>
  <c r="N33" i="20" s="1"/>
  <c r="L640" i="20"/>
  <c r="L123" i="20"/>
  <c r="M118" i="20"/>
  <c r="N118" i="20" s="1"/>
  <c r="L58" i="20"/>
  <c r="M53" i="20"/>
  <c r="N53" i="20" s="1"/>
  <c r="L195" i="20"/>
  <c r="M191" i="20"/>
  <c r="N191" i="20" s="1"/>
  <c r="L218" i="20" l="1"/>
  <c r="L219" i="20" s="1"/>
  <c r="O217" i="20" s="1"/>
  <c r="O219" i="20" s="1"/>
  <c r="M217" i="20"/>
  <c r="M79" i="20"/>
  <c r="N79" i="20" s="1"/>
  <c r="L81" i="20"/>
  <c r="L262" i="20"/>
  <c r="L263" i="20" s="1"/>
  <c r="O261" i="20" s="1"/>
  <c r="O263" i="20" s="1"/>
  <c r="M261" i="20"/>
  <c r="N669" i="20"/>
  <c r="M673" i="20"/>
  <c r="N673" i="20" s="1"/>
  <c r="L240" i="20"/>
  <c r="L241" i="20" s="1"/>
  <c r="M239" i="20"/>
  <c r="O620" i="20"/>
  <c r="M123" i="20"/>
  <c r="N123" i="20" s="1"/>
  <c r="L125" i="20"/>
  <c r="M38" i="20"/>
  <c r="N38" i="20" s="1"/>
  <c r="L40" i="20"/>
  <c r="L20" i="20"/>
  <c r="N649" i="20"/>
  <c r="M653" i="20"/>
  <c r="N653" i="20" s="1"/>
  <c r="L103" i="20"/>
  <c r="M101" i="20"/>
  <c r="N101" i="20" s="1"/>
  <c r="L174" i="20"/>
  <c r="M173" i="20"/>
  <c r="M655" i="20"/>
  <c r="N655" i="20" s="1"/>
  <c r="L658" i="20"/>
  <c r="L196" i="20"/>
  <c r="M195" i="20"/>
  <c r="M58" i="20"/>
  <c r="N58" i="20" s="1"/>
  <c r="L60" i="20"/>
  <c r="O637" i="20"/>
  <c r="O634" i="20"/>
  <c r="O630" i="20"/>
  <c r="O632" i="20"/>
  <c r="M640" i="20"/>
  <c r="N640" i="20" s="1"/>
  <c r="O631" i="20"/>
  <c r="O636" i="20"/>
  <c r="O628" i="20"/>
  <c r="O633" i="20" s="1"/>
  <c r="O629" i="20"/>
  <c r="O635" i="20"/>
  <c r="O638" i="20"/>
  <c r="M675" i="20"/>
  <c r="N675" i="20" s="1"/>
  <c r="L678" i="20"/>
  <c r="M18" i="20"/>
  <c r="N13" i="20"/>
  <c r="L147" i="20"/>
  <c r="M145" i="20"/>
  <c r="N145" i="20" s="1"/>
  <c r="O639" i="20"/>
  <c r="N195" i="20" l="1"/>
  <c r="M196" i="20"/>
  <c r="N196" i="20" s="1"/>
  <c r="N239" i="20"/>
  <c r="O212" i="20"/>
  <c r="O215" i="20"/>
  <c r="O205" i="20"/>
  <c r="O207" i="20"/>
  <c r="O216" i="20"/>
  <c r="O209" i="20"/>
  <c r="O208" i="20"/>
  <c r="O214" i="20"/>
  <c r="O210" i="20"/>
  <c r="O206" i="20"/>
  <c r="O211" i="20"/>
  <c r="O213" i="20"/>
  <c r="L63" i="20"/>
  <c r="M60" i="20"/>
  <c r="N60" i="20" s="1"/>
  <c r="L23" i="20"/>
  <c r="O231" i="20"/>
  <c r="O232" i="20"/>
  <c r="O238" i="20"/>
  <c r="O237" i="20"/>
  <c r="O227" i="20"/>
  <c r="O234" i="20"/>
  <c r="O230" i="20"/>
  <c r="O236" i="20"/>
  <c r="O229" i="20"/>
  <c r="O228" i="20"/>
  <c r="O233" i="20"/>
  <c r="O235" i="20"/>
  <c r="O258" i="20"/>
  <c r="O251" i="20"/>
  <c r="O256" i="20"/>
  <c r="O259" i="20"/>
  <c r="O254" i="20"/>
  <c r="O252" i="20"/>
  <c r="O260" i="20"/>
  <c r="O249" i="20"/>
  <c r="O253" i="20"/>
  <c r="O250" i="20"/>
  <c r="O255" i="20"/>
  <c r="O257" i="20"/>
  <c r="N173" i="20"/>
  <c r="L106" i="20"/>
  <c r="M103" i="20"/>
  <c r="N103" i="20" s="1"/>
  <c r="M240" i="20"/>
  <c r="N240" i="20" s="1"/>
  <c r="O240" i="20"/>
  <c r="N261" i="20"/>
  <c r="L84" i="20"/>
  <c r="M81" i="20"/>
  <c r="N81" i="20" s="1"/>
  <c r="N217" i="20"/>
  <c r="O640" i="20"/>
  <c r="L43" i="20"/>
  <c r="M40" i="20"/>
  <c r="N40" i="20" s="1"/>
  <c r="M678" i="20"/>
  <c r="N678" i="20" s="1"/>
  <c r="L679" i="20"/>
  <c r="L680" i="20" s="1"/>
  <c r="O678" i="20" s="1"/>
  <c r="L150" i="20"/>
  <c r="M147" i="20"/>
  <c r="N147" i="20" s="1"/>
  <c r="M20" i="20"/>
  <c r="N18" i="20"/>
  <c r="L197" i="20"/>
  <c r="O196" i="20" s="1"/>
  <c r="L659" i="20"/>
  <c r="L660" i="20" s="1"/>
  <c r="O658" i="20" s="1"/>
  <c r="M658" i="20"/>
  <c r="N658" i="20" s="1"/>
  <c r="L175" i="20"/>
  <c r="O174" i="20" s="1"/>
  <c r="M174" i="20"/>
  <c r="N174" i="20" s="1"/>
  <c r="L128" i="20"/>
  <c r="M125" i="20"/>
  <c r="N125" i="20" s="1"/>
  <c r="O239" i="20"/>
  <c r="O241" i="20" s="1"/>
  <c r="M262" i="20"/>
  <c r="N262" i="20" s="1"/>
  <c r="O262" i="20"/>
  <c r="M218" i="20"/>
  <c r="N218" i="20" s="1"/>
  <c r="O218" i="20"/>
  <c r="M263" i="20" l="1"/>
  <c r="N263" i="20" s="1"/>
  <c r="M241" i="20"/>
  <c r="N241" i="20" s="1"/>
  <c r="L24" i="20"/>
  <c r="L129" i="20"/>
  <c r="M128" i="20"/>
  <c r="O187" i="20"/>
  <c r="O192" i="20"/>
  <c r="O185" i="20"/>
  <c r="O193" i="20"/>
  <c r="O183" i="20"/>
  <c r="O190" i="20"/>
  <c r="O186" i="20"/>
  <c r="O188" i="20"/>
  <c r="O194" i="20"/>
  <c r="O184" i="20"/>
  <c r="O189" i="20"/>
  <c r="O191" i="20"/>
  <c r="O195" i="20"/>
  <c r="O197" i="20" s="1"/>
  <c r="M219" i="20"/>
  <c r="N219" i="20" s="1"/>
  <c r="L85" i="20"/>
  <c r="M84" i="20"/>
  <c r="M63" i="20"/>
  <c r="L64" i="20"/>
  <c r="O651" i="20"/>
  <c r="O654" i="20"/>
  <c r="O657" i="20"/>
  <c r="O652" i="20"/>
  <c r="O650" i="20"/>
  <c r="M660" i="20"/>
  <c r="N660" i="20" s="1"/>
  <c r="O656" i="20"/>
  <c r="O648" i="20"/>
  <c r="O653" i="20" s="1"/>
  <c r="O649" i="20"/>
  <c r="O655" i="20"/>
  <c r="M680" i="20"/>
  <c r="N680" i="20" s="1"/>
  <c r="O676" i="20"/>
  <c r="O674" i="20"/>
  <c r="O672" i="20"/>
  <c r="O670" i="20"/>
  <c r="O677" i="20"/>
  <c r="O671" i="20"/>
  <c r="O668" i="20"/>
  <c r="O673" i="20" s="1"/>
  <c r="O669" i="20"/>
  <c r="O675" i="20"/>
  <c r="N20" i="20"/>
  <c r="M23" i="20"/>
  <c r="M679" i="20"/>
  <c r="N679" i="20" s="1"/>
  <c r="O679" i="20"/>
  <c r="O680" i="20" s="1"/>
  <c r="L44" i="20"/>
  <c r="M44" i="20" s="1"/>
  <c r="N44" i="20" s="1"/>
  <c r="M43" i="20"/>
  <c r="M106" i="20"/>
  <c r="L107" i="20"/>
  <c r="M197" i="20"/>
  <c r="N197" i="20" s="1"/>
  <c r="M150" i="20"/>
  <c r="L151" i="20"/>
  <c r="M151" i="20" s="1"/>
  <c r="N151" i="20" s="1"/>
  <c r="O163" i="20"/>
  <c r="O171" i="20"/>
  <c r="O172" i="20"/>
  <c r="O161" i="20"/>
  <c r="O170" i="20"/>
  <c r="O168" i="20"/>
  <c r="O164" i="20"/>
  <c r="O166" i="20"/>
  <c r="O165" i="20"/>
  <c r="O162" i="20"/>
  <c r="O167" i="20"/>
  <c r="O169" i="20"/>
  <c r="O173" i="20"/>
  <c r="O175" i="20" s="1"/>
  <c r="M659" i="20"/>
  <c r="N659" i="20" s="1"/>
  <c r="O659" i="20"/>
  <c r="O660" i="20" s="1"/>
  <c r="M175" i="20"/>
  <c r="N175" i="20" s="1"/>
  <c r="L45" i="20" l="1"/>
  <c r="O42" i="20" s="1"/>
  <c r="L152" i="20"/>
  <c r="O36" i="20"/>
  <c r="M64" i="20"/>
  <c r="N64" i="20" s="1"/>
  <c r="N84" i="20"/>
  <c r="N43" i="20"/>
  <c r="M45" i="20"/>
  <c r="N45" i="20" s="1"/>
  <c r="N23" i="20"/>
  <c r="N63" i="20"/>
  <c r="L25" i="20"/>
  <c r="M24" i="20"/>
  <c r="N24" i="20" s="1"/>
  <c r="O24" i="20"/>
  <c r="N150" i="20"/>
  <c r="M152" i="20"/>
  <c r="N152" i="20" s="1"/>
  <c r="N106" i="20"/>
  <c r="L130" i="20"/>
  <c r="O129" i="20" s="1"/>
  <c r="M129" i="20"/>
  <c r="N129" i="20" s="1"/>
  <c r="L108" i="20"/>
  <c r="M107" i="20"/>
  <c r="N107" i="20" s="1"/>
  <c r="M85" i="20"/>
  <c r="N85" i="20" s="1"/>
  <c r="N128" i="20"/>
  <c r="L65" i="20"/>
  <c r="L86" i="20"/>
  <c r="M130" i="20" l="1"/>
  <c r="N130" i="20" s="1"/>
  <c r="O39" i="20"/>
  <c r="O43" i="20"/>
  <c r="O45" i="20" s="1"/>
  <c r="O40" i="20"/>
  <c r="O35" i="20"/>
  <c r="O34" i="20"/>
  <c r="O38" i="20"/>
  <c r="O32" i="20"/>
  <c r="O44" i="20"/>
  <c r="O33" i="20"/>
  <c r="O37" i="20"/>
  <c r="O41" i="20"/>
  <c r="M65" i="20"/>
  <c r="N65" i="20" s="1"/>
  <c r="O80" i="20"/>
  <c r="O83" i="20"/>
  <c r="O78" i="20"/>
  <c r="O73" i="20"/>
  <c r="O82" i="20"/>
  <c r="O75" i="20"/>
  <c r="O77" i="20"/>
  <c r="O76" i="20"/>
  <c r="O74" i="20"/>
  <c r="O79" i="20"/>
  <c r="O81" i="20"/>
  <c r="O84" i="20"/>
  <c r="O52" i="20"/>
  <c r="O57" i="20"/>
  <c r="O54" i="20"/>
  <c r="O56" i="20"/>
  <c r="O62" i="20"/>
  <c r="O61" i="20"/>
  <c r="O55" i="20"/>
  <c r="O59" i="20"/>
  <c r="O53" i="20"/>
  <c r="O58" i="20"/>
  <c r="O60" i="20"/>
  <c r="O63" i="20"/>
  <c r="O85" i="20"/>
  <c r="O97" i="20"/>
  <c r="O98" i="20"/>
  <c r="O104" i="20"/>
  <c r="O95" i="20"/>
  <c r="O102" i="20"/>
  <c r="O99" i="20"/>
  <c r="O100" i="20"/>
  <c r="O105" i="20"/>
  <c r="O96" i="20"/>
  <c r="O101" i="20"/>
  <c r="O103" i="20"/>
  <c r="O106" i="20"/>
  <c r="M108" i="20"/>
  <c r="N108" i="20" s="1"/>
  <c r="O151" i="20"/>
  <c r="O143" i="20"/>
  <c r="O149" i="20"/>
  <c r="O148" i="20"/>
  <c r="O141" i="20"/>
  <c r="O144" i="20"/>
  <c r="O139" i="20"/>
  <c r="O142" i="20"/>
  <c r="O146" i="20"/>
  <c r="O140" i="20"/>
  <c r="O145" i="20"/>
  <c r="O147" i="20"/>
  <c r="O150" i="20"/>
  <c r="O152" i="20" s="1"/>
  <c r="M25" i="20"/>
  <c r="N25" i="20" s="1"/>
  <c r="M86" i="20"/>
  <c r="N86" i="20" s="1"/>
  <c r="O107" i="20"/>
  <c r="O21" i="20"/>
  <c r="O22" i="20"/>
  <c r="O16" i="20"/>
  <c r="O12" i="20"/>
  <c r="O14" i="20"/>
  <c r="O19" i="20"/>
  <c r="O15" i="20"/>
  <c r="O17" i="20"/>
  <c r="O13" i="20"/>
  <c r="O18" i="20"/>
  <c r="O20" i="20"/>
  <c r="O23" i="20"/>
  <c r="O25" i="20" s="1"/>
  <c r="O127" i="20"/>
  <c r="O124" i="20"/>
  <c r="O126" i="20"/>
  <c r="O117" i="20"/>
  <c r="O122" i="20"/>
  <c r="O120" i="20"/>
  <c r="O121" i="20"/>
  <c r="O119" i="20"/>
  <c r="O118" i="20"/>
  <c r="O123" i="20"/>
  <c r="O125" i="20"/>
  <c r="O128" i="20"/>
  <c r="O130" i="20" s="1"/>
  <c r="O64" i="20"/>
  <c r="O108" i="20" l="1"/>
  <c r="O65" i="20"/>
  <c r="O86" i="20"/>
  <c r="B15" i="7"/>
  <c r="B17" i="7" s="1"/>
  <c r="B7" i="17"/>
  <c r="K15" i="7" s="1"/>
  <c r="C13" i="7" l="1"/>
  <c r="B11" i="17"/>
  <c r="C6" i="7" l="1"/>
  <c r="E6" i="7" s="1"/>
  <c r="F6" i="7" s="1"/>
  <c r="C9" i="7"/>
  <c r="E9" i="7" s="1"/>
  <c r="F9" i="7" s="1"/>
  <c r="C11" i="7"/>
  <c r="E11" i="7" s="1"/>
  <c r="F11" i="7" s="1"/>
  <c r="C10" i="7"/>
  <c r="E10" i="7" s="1"/>
  <c r="F10" i="7" s="1"/>
  <c r="C8" i="7"/>
  <c r="E8" i="7" s="1"/>
  <c r="F8" i="7" s="1"/>
  <c r="C7" i="7"/>
  <c r="E7" i="7" s="1"/>
  <c r="F7" i="7" s="1"/>
  <c r="C5" i="7"/>
  <c r="E5" i="7" s="1"/>
  <c r="C12" i="7"/>
  <c r="E12" i="7" s="1"/>
  <c r="F12" i="7" s="1"/>
  <c r="F5" i="7" l="1"/>
  <c r="E13" i="7"/>
  <c r="H7" i="7" s="1"/>
  <c r="B8" i="32" l="1"/>
  <c r="I7" i="7"/>
  <c r="K7" i="7" l="1"/>
  <c r="I13" i="7"/>
  <c r="B8" i="2" l="1"/>
  <c r="K13" i="7"/>
  <c r="K17" i="7" s="1"/>
  <c r="G8" i="2" l="1"/>
  <c r="B14" i="2"/>
  <c r="E25" i="2"/>
  <c r="C9" i="2" l="1"/>
  <c r="C13" i="2"/>
  <c r="C7" i="2"/>
  <c r="C11" i="2"/>
  <c r="C12" i="2"/>
  <c r="C6" i="2"/>
  <c r="C10" i="2"/>
  <c r="D8" i="30"/>
  <c r="E8" i="2"/>
  <c r="D11" i="14" s="1"/>
  <c r="I8" i="2"/>
  <c r="G14" i="2"/>
  <c r="C8" i="2"/>
  <c r="D8" i="31" l="1"/>
  <c r="D14" i="30"/>
  <c r="C16" i="30" s="1"/>
  <c r="I14" i="2"/>
  <c r="G15" i="2" s="1"/>
  <c r="F8" i="15"/>
  <c r="C8" i="15"/>
  <c r="E20" i="24"/>
  <c r="C14" i="2"/>
  <c r="F14" i="15" l="1"/>
  <c r="C27" i="12"/>
  <c r="C33" i="12" s="1"/>
  <c r="K274" i="20"/>
  <c r="L274" i="20" s="1"/>
  <c r="K358" i="20"/>
  <c r="L358" i="20" s="1"/>
  <c r="K316" i="20"/>
  <c r="L316" i="20" s="1"/>
  <c r="K295" i="20"/>
  <c r="L295" i="20" s="1"/>
  <c r="K337" i="20"/>
  <c r="L337" i="20" s="1"/>
  <c r="K379" i="20"/>
  <c r="L379" i="20" s="1"/>
  <c r="H15" i="2"/>
  <c r="F15" i="2"/>
  <c r="E8" i="15"/>
  <c r="E14" i="15" s="1"/>
  <c r="I26" i="27" s="1"/>
  <c r="H8" i="15"/>
  <c r="C14" i="15"/>
  <c r="I8" i="15" l="1"/>
  <c r="H14" i="15"/>
  <c r="I14" i="15" s="1"/>
  <c r="M274" i="20"/>
  <c r="L279" i="20"/>
  <c r="L281" i="20" s="1"/>
  <c r="M316" i="20"/>
  <c r="L321" i="20"/>
  <c r="L323" i="20" s="1"/>
  <c r="E18" i="15"/>
  <c r="I27" i="27" s="1"/>
  <c r="I28" i="27" s="1"/>
  <c r="I30" i="27" s="1"/>
  <c r="L384" i="20"/>
  <c r="L386" i="20" s="1"/>
  <c r="M379" i="20"/>
  <c r="M358" i="20"/>
  <c r="L363" i="20"/>
  <c r="L365" i="20" s="1"/>
  <c r="L342" i="20"/>
  <c r="L344" i="20" s="1"/>
  <c r="M337" i="20"/>
  <c r="I15" i="2"/>
  <c r="L300" i="20"/>
  <c r="L302" i="20" s="1"/>
  <c r="M295" i="20"/>
  <c r="M344" i="20" l="1"/>
  <c r="N344" i="20" s="1"/>
  <c r="L347" i="20"/>
  <c r="L326" i="20"/>
  <c r="M323" i="20"/>
  <c r="N323" i="20" s="1"/>
  <c r="L284" i="20"/>
  <c r="M281" i="20"/>
  <c r="N281" i="20" s="1"/>
  <c r="I34" i="27"/>
  <c r="D18" i="30"/>
  <c r="D19" i="30" s="1"/>
  <c r="L368" i="20"/>
  <c r="M365" i="20"/>
  <c r="N365" i="20" s="1"/>
  <c r="N379" i="20"/>
  <c r="M384" i="20"/>
  <c r="N384" i="20" s="1"/>
  <c r="M279" i="20"/>
  <c r="N279" i="20" s="1"/>
  <c r="N274" i="20"/>
  <c r="N295" i="20"/>
  <c r="M300" i="20"/>
  <c r="N300" i="20" s="1"/>
  <c r="N337" i="20"/>
  <c r="M342" i="20"/>
  <c r="N342" i="20" s="1"/>
  <c r="M363" i="20"/>
  <c r="N363" i="20" s="1"/>
  <c r="N358" i="20"/>
  <c r="M386" i="20"/>
  <c r="N386" i="20" s="1"/>
  <c r="L389" i="20"/>
  <c r="M321" i="20"/>
  <c r="N321" i="20" s="1"/>
  <c r="N316" i="20"/>
  <c r="M302" i="20"/>
  <c r="N302" i="20" s="1"/>
  <c r="L305" i="20"/>
  <c r="M305" i="20" l="1"/>
  <c r="L306" i="20"/>
  <c r="L307" i="20" s="1"/>
  <c r="L369" i="20"/>
  <c r="M368" i="20"/>
  <c r="L327" i="20"/>
  <c r="M326" i="20"/>
  <c r="M389" i="20"/>
  <c r="L391" i="20"/>
  <c r="O389" i="20" s="1"/>
  <c r="L390" i="20"/>
  <c r="C7" i="30"/>
  <c r="C7" i="31" s="1"/>
  <c r="C10" i="30"/>
  <c r="C10" i="31" s="1"/>
  <c r="C12" i="30"/>
  <c r="C12" i="31" s="1"/>
  <c r="C6" i="30"/>
  <c r="C13" i="30"/>
  <c r="C13" i="31" s="1"/>
  <c r="C8" i="30"/>
  <c r="C8" i="31" s="1"/>
  <c r="C9" i="30"/>
  <c r="C9" i="31" s="1"/>
  <c r="C11" i="30"/>
  <c r="C11" i="31" s="1"/>
  <c r="L285" i="20"/>
  <c r="M284" i="20"/>
  <c r="M347" i="20"/>
  <c r="L349" i="20"/>
  <c r="L348" i="20"/>
  <c r="O294" i="20" l="1"/>
  <c r="O300" i="20" s="1"/>
  <c r="O298" i="20"/>
  <c r="O304" i="20"/>
  <c r="O296" i="20"/>
  <c r="O301" i="20"/>
  <c r="O297" i="20"/>
  <c r="O299" i="20"/>
  <c r="O303" i="20"/>
  <c r="O295" i="20"/>
  <c r="O302" i="20"/>
  <c r="O305" i="20"/>
  <c r="O338" i="20"/>
  <c r="O343" i="20"/>
  <c r="O336" i="20"/>
  <c r="O342" i="20" s="1"/>
  <c r="O340" i="20"/>
  <c r="O346" i="20"/>
  <c r="O339" i="20"/>
  <c r="O341" i="20"/>
  <c r="O345" i="20"/>
  <c r="O337" i="20"/>
  <c r="O344" i="20"/>
  <c r="N347" i="20"/>
  <c r="M285" i="20"/>
  <c r="N285" i="20" s="1"/>
  <c r="M327" i="20"/>
  <c r="N327" i="20" s="1"/>
  <c r="M369" i="20"/>
  <c r="N369" i="20" s="1"/>
  <c r="M348" i="20"/>
  <c r="N348" i="20" s="1"/>
  <c r="O348" i="20"/>
  <c r="N284" i="20"/>
  <c r="C14" i="30"/>
  <c r="C6" i="31"/>
  <c r="O390" i="20"/>
  <c r="O391" i="20" s="1"/>
  <c r="M390" i="20"/>
  <c r="N390" i="20" s="1"/>
  <c r="O378" i="20"/>
  <c r="O384" i="20" s="1"/>
  <c r="O382" i="20"/>
  <c r="O388" i="20"/>
  <c r="O380" i="20"/>
  <c r="O385" i="20"/>
  <c r="O387" i="20"/>
  <c r="O381" i="20"/>
  <c r="O383" i="20"/>
  <c r="O379" i="20"/>
  <c r="O386" i="20"/>
  <c r="N326" i="20"/>
  <c r="N368" i="20"/>
  <c r="M370" i="20"/>
  <c r="N370" i="20" s="1"/>
  <c r="O306" i="20"/>
  <c r="M306" i="20"/>
  <c r="N306" i="20" s="1"/>
  <c r="O347" i="20"/>
  <c r="O349" i="20" s="1"/>
  <c r="L286" i="20"/>
  <c r="N389" i="20"/>
  <c r="L328" i="20"/>
  <c r="O327" i="20" s="1"/>
  <c r="L370" i="20"/>
  <c r="O369" i="20" s="1"/>
  <c r="N305" i="20"/>
  <c r="M307" i="20" l="1"/>
  <c r="N307" i="20" s="1"/>
  <c r="M391" i="20"/>
  <c r="N391" i="20" s="1"/>
  <c r="O362" i="20"/>
  <c r="O360" i="20"/>
  <c r="O366" i="20"/>
  <c r="O367" i="20"/>
  <c r="O359" i="20"/>
  <c r="O364" i="20"/>
  <c r="O357" i="20"/>
  <c r="O363" i="20" s="1"/>
  <c r="O361" i="20"/>
  <c r="O358" i="20"/>
  <c r="O365" i="20"/>
  <c r="O368" i="20"/>
  <c r="O370" i="20" s="1"/>
  <c r="O278" i="20"/>
  <c r="O276" i="20"/>
  <c r="O282" i="20"/>
  <c r="O273" i="20"/>
  <c r="O279" i="20" s="1"/>
  <c r="O277" i="20"/>
  <c r="O283" i="20"/>
  <c r="O275" i="20"/>
  <c r="O280" i="20"/>
  <c r="O274" i="20"/>
  <c r="O281" i="20"/>
  <c r="O284" i="20"/>
  <c r="O318" i="20"/>
  <c r="O324" i="20"/>
  <c r="O320" i="20"/>
  <c r="O317" i="20"/>
  <c r="O322" i="20"/>
  <c r="O315" i="20"/>
  <c r="O321" i="20" s="1"/>
  <c r="O319" i="20"/>
  <c r="O325" i="20"/>
  <c r="O316" i="20"/>
  <c r="O323" i="20"/>
  <c r="O326" i="20"/>
  <c r="O328" i="20" s="1"/>
  <c r="M349" i="20"/>
  <c r="N349" i="20" s="1"/>
  <c r="O307" i="20"/>
  <c r="M328" i="20"/>
  <c r="N328" i="20" s="1"/>
  <c r="M286" i="20"/>
  <c r="N286" i="20" s="1"/>
  <c r="O285" i="20"/>
  <c r="O286" i="20" l="1"/>
</calcChain>
</file>

<file path=xl/comments1.xml><?xml version="1.0" encoding="utf-8"?>
<comments xmlns="http://schemas.openxmlformats.org/spreadsheetml/2006/main">
  <authors>
    <author>bbacon</author>
  </authors>
  <commentList>
    <comment ref="J15" authorId="0">
      <text>
        <r>
          <rPr>
            <sz val="8"/>
            <color indexed="81"/>
            <rFont val="Tahoma"/>
            <family val="2"/>
          </rPr>
          <t xml:space="preserve">This amount is to be linked back to the revenue requirement model
</t>
        </r>
      </text>
    </comment>
  </commentList>
</comments>
</file>

<file path=xl/sharedStrings.xml><?xml version="1.0" encoding="utf-8"?>
<sst xmlns="http://schemas.openxmlformats.org/spreadsheetml/2006/main" count="1321" uniqueCount="248">
  <si>
    <t>Customer Class</t>
  </si>
  <si>
    <t>TOTAL</t>
  </si>
  <si>
    <t>Proposed Fixed Rate</t>
  </si>
  <si>
    <t>Total Fixed Revenue</t>
  </si>
  <si>
    <t>Total Variable Revenue</t>
  </si>
  <si>
    <t>Transformer Allowance</t>
  </si>
  <si>
    <t>Annual kWh</t>
  </si>
  <si>
    <t>Annual kW For Dx</t>
  </si>
  <si>
    <t>Annual kW For Tx</t>
  </si>
  <si>
    <t>Annualized Customers</t>
  </si>
  <si>
    <t>Fixed Distribution Revenue</t>
  </si>
  <si>
    <t>Variable Distribution Revenue</t>
  </si>
  <si>
    <t>kWh</t>
  </si>
  <si>
    <t>kW</t>
  </si>
  <si>
    <t>per kW</t>
  </si>
  <si>
    <t>Class</t>
  </si>
  <si>
    <t>Connection</t>
  </si>
  <si>
    <t>Customer</t>
  </si>
  <si>
    <t>Annualized Connections</t>
  </si>
  <si>
    <t>Revenue At Existing Rates</t>
  </si>
  <si>
    <t>Total Distribution Revenue</t>
  </si>
  <si>
    <t>Sum of Quantity</t>
  </si>
  <si>
    <t>Transformer Allowance Credit</t>
  </si>
  <si>
    <t xml:space="preserve">   Total</t>
  </si>
  <si>
    <t>Expected</t>
  </si>
  <si>
    <t xml:space="preserve">     kW</t>
  </si>
  <si>
    <t>General Service:</t>
  </si>
  <si>
    <t xml:space="preserve">    Total</t>
  </si>
  <si>
    <r>
      <t xml:space="preserve">     </t>
    </r>
    <r>
      <rPr>
        <b/>
        <sz val="12"/>
        <rFont val="Arial"/>
        <family val="2"/>
      </rPr>
      <t>$</t>
    </r>
  </si>
  <si>
    <t>Transformer Ownership Allowance</t>
  </si>
  <si>
    <t>Service Revenue Requirement</t>
  </si>
  <si>
    <t>Total</t>
  </si>
  <si>
    <t>Less: Revenue Offsets</t>
  </si>
  <si>
    <t>Addback Transformer Allowances</t>
  </si>
  <si>
    <t xml:space="preserve">      Gross Revenues For Rates</t>
  </si>
  <si>
    <t>RESIDENTIAL</t>
  </si>
  <si>
    <t>per kWh</t>
  </si>
  <si>
    <t>Volume</t>
  </si>
  <si>
    <t>RATE                             $</t>
  </si>
  <si>
    <t>CHARGE
$</t>
  </si>
  <si>
    <t>Consumption</t>
  </si>
  <si>
    <t>Monthly Service Charge</t>
  </si>
  <si>
    <t>Distribution (kWh)</t>
  </si>
  <si>
    <t>IMPACT</t>
  </si>
  <si>
    <t>Change
$</t>
  </si>
  <si>
    <t>Change
%</t>
  </si>
  <si>
    <t>% of Total Bill</t>
  </si>
  <si>
    <t>Other Charges (kWh)</t>
  </si>
  <si>
    <t>Cost of Power Commodity (kWh)</t>
  </si>
  <si>
    <t>Total Bill</t>
  </si>
  <si>
    <t xml:space="preserve">
$</t>
  </si>
  <si>
    <t xml:space="preserve">
%</t>
  </si>
  <si>
    <t>Distribution (kW)</t>
  </si>
  <si>
    <t xml:space="preserve"> Sentinel Lighting</t>
  </si>
  <si>
    <t xml:space="preserve"> Street Lighting</t>
  </si>
  <si>
    <t>LARGE USER (&gt; 5000 kW)</t>
  </si>
  <si>
    <t>Item Description</t>
  </si>
  <si>
    <t>Unit</t>
  </si>
  <si>
    <t>per month</t>
  </si>
  <si>
    <t>Distribution Volumetric Rate</t>
  </si>
  <si>
    <t>Schedule of Distribution Rates and Charges</t>
  </si>
  <si>
    <t>RATES SCHEDULE (Part 1)</t>
  </si>
  <si>
    <t>Dist. Rev. Before TX Allow.</t>
  </si>
  <si>
    <t>Dist Rev At Existing Rates %</t>
  </si>
  <si>
    <t>Rev Requirement %</t>
  </si>
  <si>
    <t>GENERAL SERVICE &lt; 50 kW</t>
  </si>
  <si>
    <t>Connections</t>
  </si>
  <si>
    <t>Billing Determinants</t>
  </si>
  <si>
    <t>Forecast Fixed/Variable Ratios</t>
  </si>
  <si>
    <t>Budgeted Revenue Offsets</t>
  </si>
  <si>
    <t>Total Revenue</t>
  </si>
  <si>
    <t>Less Transformer Allowances:</t>
  </si>
  <si>
    <t>Net Revenue At Existing Rates</t>
  </si>
  <si>
    <t>Turn Rounding On</t>
  </si>
  <si>
    <t>Total Net Rev. Requirement</t>
  </si>
  <si>
    <t>Gross Distribution Revenue</t>
  </si>
  <si>
    <t>Minimum System with PLCC Adustment (Ceiling Fixed Charge From Cost Allocation Model)</t>
  </si>
  <si>
    <t>Transformer Ownership Credit</t>
  </si>
  <si>
    <t>LRAM &amp; SSM Rider (kWh)</t>
  </si>
  <si>
    <t>Smart Meter Rider (per month)</t>
  </si>
  <si>
    <t>Difference Due to Rate Rounding</t>
  </si>
  <si>
    <t>Unit of Measure</t>
  </si>
  <si>
    <t># of Customers</t>
  </si>
  <si>
    <t># of Connections</t>
  </si>
  <si>
    <t xml:space="preserve">Description </t>
  </si>
  <si>
    <t>Transformer Allowance rate</t>
  </si>
  <si>
    <r>
      <t>BILL IMPACTS</t>
    </r>
    <r>
      <rPr>
        <b/>
        <i/>
        <sz val="16"/>
        <rFont val="Arial"/>
        <family val="2"/>
      </rPr>
      <t xml:space="preserve">  (Monthly Consumptions)</t>
    </r>
  </si>
  <si>
    <t>Rate ($)</t>
  </si>
  <si>
    <t xml:space="preserve">      Total Base Revenue Requirement</t>
  </si>
  <si>
    <t>Cost Allocation Based Calculations</t>
  </si>
  <si>
    <t>Fixed Charge Analysis</t>
  </si>
  <si>
    <t>Current Volumetric Split</t>
  </si>
  <si>
    <t>Current Fixed Charge Spilt</t>
  </si>
  <si>
    <t>Fixed Rate Based on Current Fixed/Variable Revenue Proportions</t>
  </si>
  <si>
    <t xml:space="preserve">Dist. Rev. Including Transformer </t>
  </si>
  <si>
    <t>Dist. Rev. Excluding Transformer</t>
  </si>
  <si>
    <t xml:space="preserve"> Unmetered Scattered</t>
  </si>
  <si>
    <t>Total Bill Before Taxes</t>
  </si>
  <si>
    <t>2010 BILL</t>
  </si>
  <si>
    <t>Proposed Revenue to Cost Ratio</t>
  </si>
  <si>
    <t>Proposed Revenue</t>
  </si>
  <si>
    <t xml:space="preserve">Miscellaneous Revenue </t>
  </si>
  <si>
    <t>Proposed Base Revenue</t>
  </si>
  <si>
    <t>Residential</t>
  </si>
  <si>
    <t>GS &lt; 50 kW</t>
  </si>
  <si>
    <t>Large Use</t>
  </si>
  <si>
    <t>Sentinel Lights</t>
  </si>
  <si>
    <t>Street Lighting</t>
  </si>
  <si>
    <t>Total Check</t>
  </si>
  <si>
    <t># of Cust/Con</t>
  </si>
  <si>
    <t>Board Target Low</t>
  </si>
  <si>
    <t>Board Target High</t>
  </si>
  <si>
    <t>y</t>
  </si>
  <si>
    <t>2011 BILL</t>
  </si>
  <si>
    <t>Deferrral &amp; Variance Acct (kWh)</t>
  </si>
  <si>
    <t>Low Voltage Rider (kWh)</t>
  </si>
  <si>
    <t>Distribution Sub-Total</t>
  </si>
  <si>
    <t>Retail Transmisssion (kWh)</t>
  </si>
  <si>
    <t>Delivery Sub-Total</t>
  </si>
  <si>
    <t>Low Voltage Rider (kW)</t>
  </si>
  <si>
    <t>LRAM &amp; SSM Rider (kW)</t>
  </si>
  <si>
    <t>Deferrral &amp; Variance Acct (kW)</t>
  </si>
  <si>
    <t>Retail Transmisssion (kW)</t>
  </si>
  <si>
    <t>GS &gt;50 to 999 kW</t>
  </si>
  <si>
    <t>GS &gt;1000 to 4999 kW</t>
  </si>
  <si>
    <t>GENERAL SERVICE &gt; 50  to 999kW</t>
  </si>
  <si>
    <t>GENERAL SERVICE &gt; 1000  to 4999kW</t>
  </si>
  <si>
    <t>(for internal purposes only)</t>
  </si>
  <si>
    <t>ask if connections and Kwh are correct????</t>
  </si>
  <si>
    <t>Fixed Charges</t>
  </si>
  <si>
    <t>Volumetric Charges</t>
  </si>
  <si>
    <t>Unmetered and Scattered</t>
  </si>
  <si>
    <t>Cost Allocation</t>
  </si>
  <si>
    <t>Appendix 2-O</t>
  </si>
  <si>
    <t>Classes</t>
  </si>
  <si>
    <t>%</t>
  </si>
  <si>
    <t>Cost Allocated in Test Year Study (Column 7A)</t>
  </si>
  <si>
    <t>GS&lt; 50kW</t>
  </si>
  <si>
    <t>GS &gt; 50 - 999 kW</t>
  </si>
  <si>
    <t>GS &gt; 1000 - 4999 kW</t>
  </si>
  <si>
    <t>Large Users</t>
  </si>
  <si>
    <t>Streetlights</t>
  </si>
  <si>
    <t>Unmetered &amp; Scattered</t>
  </si>
  <si>
    <t>Table a)</t>
  </si>
  <si>
    <t>Table b)</t>
  </si>
  <si>
    <t>Calculated Class Revenues</t>
  </si>
  <si>
    <t>L.F x current approved rates</t>
  </si>
  <si>
    <t>Column 7B</t>
  </si>
  <si>
    <t>Column 7C</t>
  </si>
  <si>
    <t>Column 7D</t>
  </si>
  <si>
    <t>Column 7E</t>
  </si>
  <si>
    <t>L.F x existing rates x (1 + d)</t>
  </si>
  <si>
    <t>L.F. x proposed rates</t>
  </si>
  <si>
    <t>Miscellaneous Revenue</t>
  </si>
  <si>
    <t>Previously Approved Ratios</t>
  </si>
  <si>
    <t>Status Quo Ratios</t>
  </si>
  <si>
    <t>Proposed Ratios</t>
  </si>
  <si>
    <t>= (Column 7C + Column 7E) / (Column 7A)</t>
  </si>
  <si>
    <t>=(Column 7D + column 7E)/(Column 7A)</t>
  </si>
  <si>
    <t>Table c)</t>
  </si>
  <si>
    <t>Proposed Revenue to Cost Ratios</t>
  </si>
  <si>
    <t>Policy Range</t>
  </si>
  <si>
    <t>Table d)</t>
  </si>
  <si>
    <t>85-115</t>
  </si>
  <si>
    <t>80-120</t>
  </si>
  <si>
    <t>80-180</t>
  </si>
  <si>
    <t>70-120</t>
  </si>
  <si>
    <t>d = Revenue Deficiency / Base Revenue Requirement</t>
  </si>
  <si>
    <t>Most Recent Year: 2006</t>
  </si>
  <si>
    <t>Re-balancing Revenue-to-Cost Ratios</t>
  </si>
  <si>
    <t>GST/HST</t>
  </si>
  <si>
    <t>Proposed Variable Rate</t>
  </si>
  <si>
    <t>Cost Allocated in 2006 Informational Filing</t>
  </si>
  <si>
    <t>1 + d =</t>
  </si>
  <si>
    <t>LV Charges</t>
  </si>
  <si>
    <t>Existing 2012 Rate Year - Distribution Revenue Rates</t>
  </si>
  <si>
    <t>2013 Test Year Normalized</t>
  </si>
  <si>
    <t>Forecast Class Billing Determinants for 2013 Test Year Based on Existing Class Revenue Proportions</t>
  </si>
  <si>
    <t>2013 Base Revenue Allocated based on Proportion of Revenue at Existing Rates</t>
  </si>
  <si>
    <t>Miscellaneous Revenue Allocated from 2013 Cost Allocation Model - Line 19 from O1 in CA</t>
  </si>
  <si>
    <t xml:space="preserve">Total Revenue </t>
  </si>
  <si>
    <t>Revenue Cost Ratio</t>
  </si>
  <si>
    <t>Revenue Requirement - 2013 Cost Allocation Model - Line 40 from O1 in CA</t>
  </si>
  <si>
    <t>Check Revenue Cost Ratios from 2013 Cost Allocation Model - Line 75 from O1 in CA</t>
  </si>
  <si>
    <t>Distribution Rate Allocation Between Fixed &amp; Variable Rates For 2013 Test Year</t>
  </si>
  <si>
    <t>Proposed Rate Schedule - 2013 Test Year Filing</t>
  </si>
  <si>
    <t>2013 TEST YEAR - BASE REVENUE DISTRIBUTION RATES</t>
  </si>
  <si>
    <t>Forecast Revenue For 2013 Test Year Based on Existing Rates (Less Low Voltage Rate Component)</t>
  </si>
  <si>
    <t>2013 Test</t>
  </si>
  <si>
    <t>2012 Bridge</t>
  </si>
  <si>
    <t>Effective May 1, 2013</t>
  </si>
  <si>
    <t>2013 Test Year Distribution Revenue Reconciliation</t>
  </si>
  <si>
    <t>Forecast Data For 2013 Test Year Projection</t>
  </si>
  <si>
    <t>2012 SMIRR</t>
  </si>
  <si>
    <t>Fixed Distribution Revenue Minus SMIRR</t>
  </si>
  <si>
    <t>SMIRR Revenue</t>
  </si>
  <si>
    <t>Revenue Requirement  - Rate Design</t>
  </si>
  <si>
    <t>Rounding Error</t>
  </si>
  <si>
    <t xml:space="preserve">Revenue Requirement  </t>
  </si>
  <si>
    <t>Revenue Deficiency - Rate Design</t>
  </si>
  <si>
    <t>Revenue Deficiency - Revenue Requirement</t>
  </si>
  <si>
    <t>Check Zero</t>
  </si>
  <si>
    <t>Revenue for 2013 Test Year</t>
  </si>
  <si>
    <t>Existing Rates</t>
  </si>
  <si>
    <t>Proposed Rates</t>
  </si>
  <si>
    <t>Appendix A</t>
  </si>
  <si>
    <t>MicroFIT Generator</t>
  </si>
  <si>
    <t>Specifc Service Charges</t>
  </si>
  <si>
    <t>Calculation Basis</t>
  </si>
  <si>
    <t>$</t>
  </si>
  <si>
    <t xml:space="preserve">Rate </t>
  </si>
  <si>
    <t>Customer Administration</t>
  </si>
  <si>
    <t>Arrears Certificate</t>
  </si>
  <si>
    <t>Statement of account</t>
  </si>
  <si>
    <t>Easement letter</t>
  </si>
  <si>
    <t>Account history</t>
  </si>
  <si>
    <t>Returned cheque charge (plus bank charge)</t>
  </si>
  <si>
    <t>Legal letter charge</t>
  </si>
  <si>
    <t>Account set up charge/change of occupancy charge (plus credit agency cost if applicable)</t>
  </si>
  <si>
    <t>Special meter reads</t>
  </si>
  <si>
    <t>Meter dispute charge plus Measurment Canada fees (if meter found correct)</t>
  </si>
  <si>
    <t>Non-Payment of Account</t>
  </si>
  <si>
    <t>Late payment - per month</t>
  </si>
  <si>
    <t>Late payment - per annum</t>
  </si>
  <si>
    <t>Disconnect/Reconnect charge - At Meter - during regular hours</t>
  </si>
  <si>
    <t>Disconnect/Reconnect charge - At Meter - after regular hours</t>
  </si>
  <si>
    <t>Disconnect/Reconnect charge - At Pole - during regular hours</t>
  </si>
  <si>
    <t>Disconnect/Reconnect charge - At Pole - after regular hours</t>
  </si>
  <si>
    <t>Install/Remove load control device - during regular hours</t>
  </si>
  <si>
    <t>Install/Remove load control device - after regular hours</t>
  </si>
  <si>
    <t>Service call - customer owned equipment</t>
  </si>
  <si>
    <t>Service call - after regular hours</t>
  </si>
  <si>
    <t>Specific charge fo access to the power poles - per pole/year</t>
  </si>
  <si>
    <t>Allowances</t>
  </si>
  <si>
    <t>Transformer allowance for ownership - per kW of billing demand/month: &lt;1000 kW</t>
  </si>
  <si>
    <t>Transformer allowance for ownership - per kW of billing demand/month: &lt;50 kW to 999 kW</t>
  </si>
  <si>
    <t>$/kW</t>
  </si>
  <si>
    <t>Primary Metering Allowance for transformer losses - applied to measured demand and energy</t>
  </si>
  <si>
    <t>Loss Factors</t>
  </si>
  <si>
    <t>Secondary Metered Customers</t>
  </si>
  <si>
    <t>Customers &lt; 5,000 kW</t>
  </si>
  <si>
    <t>Customers &gt; 5,000 kW</t>
  </si>
  <si>
    <t>N/A</t>
  </si>
  <si>
    <t>Primary Metered Customers</t>
  </si>
  <si>
    <t>RATES SCHEDULE (Part 2)</t>
  </si>
  <si>
    <t>Table 3-3.2</t>
  </si>
  <si>
    <t>2012 Rates From OEB Approved Tariff Plus SMIRR</t>
  </si>
  <si>
    <t>Proposed Fixed Charges at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</si>
</sst>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-* #,##0_-;\-* #,##0_-;_-* &quot;-&quot;??_-;_-@_-"/>
    <numFmt numFmtId="169" formatCode="&quot;$&quot;#,##0.00"/>
    <numFmt numFmtId="170" formatCode="_-&quot;$&quot;* #,##0_-;\-&quot;$&quot;* #,##0_-;_-&quot;$&quot;* &quot;-&quot;??_-;_-@_-"/>
    <numFmt numFmtId="171" formatCode="&quot;$&quot;#,##0.0000"/>
    <numFmt numFmtId="172" formatCode="0.000%"/>
    <numFmt numFmtId="173" formatCode="_-&quot;$&quot;* #,##0.0000_-;\-&quot;$&quot;* #,##0.0000_-;_-&quot;$&quot;* &quot;-&quot;??_-;_-@_-"/>
    <numFmt numFmtId="174" formatCode="_-* #,##0.00000000_-;\-* #,##0.00000000_-;_-* &quot;-&quot;??_-;_-@_-"/>
    <numFmt numFmtId="175" formatCode="#,##0.0000_);\(#,##0.0000\)"/>
    <numFmt numFmtId="176" formatCode="#,##0.0000"/>
    <numFmt numFmtId="177" formatCode="0.0%"/>
    <numFmt numFmtId="178" formatCode="#,##0.00;[Red]\(#,##0.00\)"/>
    <numFmt numFmtId="179" formatCode="#,##0.00_ ;\-#,##0.00\ "/>
    <numFmt numFmtId="180" formatCode="&quot;$&quot;#,##0.0000_);[Red]\(#,##0.0000\)"/>
    <numFmt numFmtId="181" formatCode="#,##0.00%;[Red]\(#,##0.00%\)"/>
    <numFmt numFmtId="182" formatCode="&quot;$&quot;#,##0.00;\(&quot;$&quot;###0.00\)"/>
    <numFmt numFmtId="183" formatCode="&quot;$&quot;#,##0;\(&quot;$&quot;#,##0\)"/>
    <numFmt numFmtId="184" formatCode="&quot;$&quot;#,##0.00_);[Red]\(#,##0.00\)"/>
    <numFmt numFmtId="185" formatCode="0.0"/>
    <numFmt numFmtId="186" formatCode="#,##0.000;[Red]\(#,##0.000\)"/>
    <numFmt numFmtId="187" formatCode="_-* #,##0.00000000000_-;\-* #,##0.00000000000_-;_-* &quot;-&quot;??_-;_-@_-"/>
    <numFmt numFmtId="188" formatCode="0.00_);\(0.0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b/>
      <i/>
      <sz val="20"/>
      <color indexed="12"/>
      <name val="Arial"/>
      <family val="2"/>
    </font>
    <font>
      <b/>
      <u/>
      <sz val="18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u/>
      <sz val="12"/>
      <name val="Arial"/>
      <family val="2"/>
    </font>
    <font>
      <b/>
      <sz val="10"/>
      <color indexed="6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5"/>
      </patternFill>
    </fill>
  </fills>
  <borders count="7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9" fontId="2" fillId="0" borderId="0" applyFont="0" applyFill="0" applyBorder="0" applyAlignment="0" applyProtection="0"/>
    <xf numFmtId="0" fontId="2" fillId="0" borderId="1" applyNumberFormat="0" applyFont="0" applyBorder="0" applyAlignment="0" applyProtection="0"/>
    <xf numFmtId="0" fontId="1" fillId="8" borderId="0" applyNumberFormat="0" applyBorder="0" applyAlignment="0" applyProtection="0"/>
  </cellStyleXfs>
  <cellXfs count="474">
    <xf numFmtId="0" fontId="0" fillId="0" borderId="0" xfId="0"/>
    <xf numFmtId="168" fontId="0" fillId="0" borderId="0" xfId="1" applyNumberFormat="1" applyFont="1"/>
    <xf numFmtId="0" fontId="6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170" fontId="7" fillId="0" borderId="0" xfId="3" applyNumberFormat="1" applyFont="1" applyFill="1"/>
    <xf numFmtId="0" fontId="0" fillId="0" borderId="0" xfId="0" applyFill="1"/>
    <xf numFmtId="170" fontId="0" fillId="0" borderId="0" xfId="0" applyNumberFormat="1"/>
    <xf numFmtId="0" fontId="0" fillId="0" borderId="0" xfId="0" quotePrefix="1"/>
    <xf numFmtId="37" fontId="6" fillId="0" borderId="0" xfId="0" applyNumberFormat="1" applyFont="1" applyFill="1" applyBorder="1" applyAlignment="1">
      <alignment horizontal="left" vertical="center" wrapText="1"/>
    </xf>
    <xf numFmtId="170" fontId="5" fillId="0" borderId="0" xfId="3" applyNumberFormat="1" applyFont="1" applyFill="1" applyBorder="1"/>
    <xf numFmtId="173" fontId="5" fillId="0" borderId="0" xfId="3" applyNumberFormat="1" applyFont="1" applyFill="1" applyBorder="1"/>
    <xf numFmtId="168" fontId="5" fillId="0" borderId="0" xfId="1" applyNumberFormat="1" applyFont="1" applyFill="1" applyBorder="1"/>
    <xf numFmtId="170" fontId="6" fillId="0" borderId="0" xfId="3" applyNumberFormat="1" applyFont="1" applyFill="1" applyBorder="1" applyAlignment="1">
      <alignment horizontal="left" indent="1"/>
    </xf>
    <xf numFmtId="0" fontId="0" fillId="0" borderId="0" xfId="0" applyFill="1" applyBorder="1"/>
    <xf numFmtId="172" fontId="0" fillId="0" borderId="0" xfId="0" applyNumberFormat="1"/>
    <xf numFmtId="168" fontId="0" fillId="0" borderId="0" xfId="1" applyNumberFormat="1" applyFont="1" applyFill="1" applyBorder="1"/>
    <xf numFmtId="168" fontId="6" fillId="0" borderId="0" xfId="1" applyNumberFormat="1" applyFont="1" applyFill="1" applyBorder="1" applyAlignment="1">
      <alignment horizontal="center"/>
    </xf>
    <xf numFmtId="0" fontId="7" fillId="0" borderId="0" xfId="0" applyFont="1" applyFill="1" applyBorder="1"/>
    <xf numFmtId="170" fontId="7" fillId="0" borderId="0" xfId="3" applyNumberFormat="1" applyFont="1" applyFill="1" applyBorder="1"/>
    <xf numFmtId="37" fontId="0" fillId="0" borderId="0" xfId="0" applyNumberFormat="1"/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0" fillId="0" borderId="0" xfId="0" applyFill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11" fillId="0" borderId="0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71" fontId="9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wrapText="1"/>
    </xf>
    <xf numFmtId="169" fontId="9" fillId="0" borderId="0" xfId="0" applyNumberFormat="1" applyFont="1" applyFill="1" applyBorder="1"/>
    <xf numFmtId="175" fontId="1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/>
    <xf numFmtId="0" fontId="12" fillId="0" borderId="0" xfId="0" applyFont="1" applyFill="1" applyBorder="1" applyAlignment="1">
      <alignment horizontal="center"/>
    </xf>
    <xf numFmtId="170" fontId="7" fillId="0" borderId="5" xfId="3" applyNumberFormat="1" applyFont="1" applyFill="1" applyBorder="1"/>
    <xf numFmtId="170" fontId="7" fillId="0" borderId="6" xfId="3" applyNumberFormat="1" applyFont="1" applyFill="1" applyBorder="1"/>
    <xf numFmtId="0" fontId="19" fillId="0" borderId="0" xfId="0" applyFont="1" applyFill="1" applyBorder="1" applyAlignment="1">
      <alignment horizontal="left" vertical="center" indent="5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39" fontId="19" fillId="0" borderId="0" xfId="4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39" fontId="19" fillId="0" borderId="0" xfId="4" applyNumberFormat="1" applyFont="1" applyFill="1" applyBorder="1" applyAlignment="1">
      <alignment horizontal="center" vertical="center"/>
    </xf>
    <xf numFmtId="10" fontId="0" fillId="0" borderId="0" xfId="10" applyNumberFormat="1" applyFo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174" fontId="0" fillId="0" borderId="0" xfId="1" applyNumberFormat="1" applyFont="1" applyFill="1" applyBorder="1"/>
    <xf numFmtId="168" fontId="6" fillId="0" borderId="0" xfId="1" applyNumberFormat="1" applyFont="1"/>
    <xf numFmtId="43" fontId="0" fillId="0" borderId="0" xfId="0" applyNumberFormat="1"/>
    <xf numFmtId="3" fontId="1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/>
    <xf numFmtId="43" fontId="0" fillId="0" borderId="0" xfId="0" applyNumberFormat="1" applyFill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7" fillId="0" borderId="0" xfId="0" applyFont="1" applyFill="1"/>
    <xf numFmtId="0" fontId="0" fillId="0" borderId="12" xfId="0" applyFill="1" applyBorder="1"/>
    <xf numFmtId="0" fontId="0" fillId="0" borderId="13" xfId="0" applyFill="1" applyBorder="1"/>
    <xf numFmtId="0" fontId="9" fillId="0" borderId="14" xfId="0" applyFont="1" applyFill="1" applyBorder="1"/>
    <xf numFmtId="0" fontId="7" fillId="0" borderId="14" xfId="0" applyFont="1" applyFill="1" applyBorder="1" applyAlignment="1">
      <alignment horizontal="center"/>
    </xf>
    <xf numFmtId="0" fontId="6" fillId="0" borderId="15" xfId="0" applyFont="1" applyFill="1" applyBorder="1"/>
    <xf numFmtId="0" fontId="6" fillId="0" borderId="14" xfId="0" applyFont="1" applyFill="1" applyBorder="1"/>
    <xf numFmtId="0" fontId="6" fillId="0" borderId="16" xfId="0" applyFont="1" applyFill="1" applyBorder="1" applyAlignment="1">
      <alignment horizontal="center"/>
    </xf>
    <xf numFmtId="37" fontId="6" fillId="0" borderId="17" xfId="0" applyNumberFormat="1" applyFont="1" applyFill="1" applyBorder="1" applyAlignment="1">
      <alignment horizontal="center"/>
    </xf>
    <xf numFmtId="10" fontId="6" fillId="0" borderId="17" xfId="10" applyNumberFormat="1" applyFont="1" applyFill="1" applyBorder="1" applyAlignment="1">
      <alignment horizontal="center"/>
    </xf>
    <xf numFmtId="10" fontId="5" fillId="0" borderId="14" xfId="10" applyNumberFormat="1" applyFont="1" applyFill="1" applyBorder="1" applyAlignment="1">
      <alignment horizontal="center"/>
    </xf>
    <xf numFmtId="4" fontId="5" fillId="0" borderId="14" xfId="1" applyNumberFormat="1" applyFon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0" fillId="0" borderId="14" xfId="10" applyNumberFormat="1" applyFont="1" applyFill="1" applyBorder="1" applyAlignment="1">
      <alignment horizontal="center"/>
    </xf>
    <xf numFmtId="9" fontId="6" fillId="0" borderId="6" xfId="1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indent="1"/>
    </xf>
    <xf numFmtId="172" fontId="6" fillId="0" borderId="19" xfId="10" applyNumberFormat="1" applyFont="1" applyFill="1" applyBorder="1"/>
    <xf numFmtId="170" fontId="6" fillId="0" borderId="6" xfId="3" applyNumberFormat="1" applyFont="1" applyFill="1" applyBorder="1" applyAlignment="1">
      <alignment horizontal="center"/>
    </xf>
    <xf numFmtId="10" fontId="6" fillId="0" borderId="6" xfId="10" applyNumberFormat="1" applyFont="1" applyFill="1" applyBorder="1" applyAlignment="1">
      <alignment horizontal="center"/>
    </xf>
    <xf numFmtId="4" fontId="6" fillId="0" borderId="6" xfId="0" applyNumberFormat="1" applyFont="1" applyFill="1" applyBorder="1" applyAlignment="1">
      <alignment horizontal="center"/>
    </xf>
    <xf numFmtId="171" fontId="6" fillId="0" borderId="6" xfId="0" applyNumberFormat="1" applyFont="1" applyFill="1" applyBorder="1" applyAlignment="1">
      <alignment horizontal="center"/>
    </xf>
    <xf numFmtId="37" fontId="6" fillId="0" borderId="14" xfId="0" applyNumberFormat="1" applyFont="1" applyFill="1" applyBorder="1"/>
    <xf numFmtId="171" fontId="5" fillId="0" borderId="14" xfId="3" applyNumberFormat="1" applyFont="1" applyFill="1" applyBorder="1" applyAlignment="1">
      <alignment horizontal="center"/>
    </xf>
    <xf numFmtId="170" fontId="5" fillId="0" borderId="14" xfId="3" applyNumberFormat="1" applyFont="1" applyFill="1" applyBorder="1"/>
    <xf numFmtId="173" fontId="5" fillId="0" borderId="14" xfId="3" applyNumberFormat="1" applyFont="1" applyFill="1" applyBorder="1"/>
    <xf numFmtId="179" fontId="5" fillId="0" borderId="14" xfId="1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left" indent="1"/>
    </xf>
    <xf numFmtId="3" fontId="5" fillId="0" borderId="14" xfId="1" applyNumberFormat="1" applyFont="1" applyFill="1" applyBorder="1" applyAlignment="1">
      <alignment horizontal="center"/>
    </xf>
    <xf numFmtId="176" fontId="2" fillId="0" borderId="14" xfId="0" applyNumberFormat="1" applyFont="1" applyFill="1" applyBorder="1" applyAlignment="1">
      <alignment horizontal="center"/>
    </xf>
    <xf numFmtId="180" fontId="2" fillId="0" borderId="21" xfId="0" applyNumberFormat="1" applyFont="1" applyFill="1" applyBorder="1" applyAlignment="1">
      <alignment horizontal="center"/>
    </xf>
    <xf numFmtId="0" fontId="0" fillId="0" borderId="22" xfId="0" applyBorder="1"/>
    <xf numFmtId="0" fontId="0" fillId="0" borderId="2" xfId="0" applyBorder="1"/>
    <xf numFmtId="0" fontId="0" fillId="0" borderId="23" xfId="0" applyBorder="1"/>
    <xf numFmtId="0" fontId="0" fillId="0" borderId="3" xfId="0" applyBorder="1"/>
    <xf numFmtId="3" fontId="18" fillId="3" borderId="24" xfId="0" applyNumberFormat="1" applyFont="1" applyFill="1" applyBorder="1" applyAlignment="1">
      <alignment horizontal="right" vertical="center"/>
    </xf>
    <xf numFmtId="3" fontId="18" fillId="3" borderId="25" xfId="0" applyNumberFormat="1" applyFont="1" applyFill="1" applyBorder="1" applyAlignment="1">
      <alignment horizontal="left" vertical="center"/>
    </xf>
    <xf numFmtId="3" fontId="18" fillId="3" borderId="23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0" fontId="0" fillId="0" borderId="26" xfId="0" applyBorder="1"/>
    <xf numFmtId="0" fontId="17" fillId="0" borderId="0" xfId="0" applyFont="1" applyFill="1" applyBorder="1" applyAlignment="1">
      <alignment vertical="center"/>
    </xf>
    <xf numFmtId="0" fontId="0" fillId="0" borderId="27" xfId="0" applyBorder="1"/>
    <xf numFmtId="10" fontId="22" fillId="0" borderId="0" xfId="10" applyNumberFormat="1" applyFont="1" applyFill="1" applyBorder="1" applyAlignment="1">
      <alignment horizontal="center" vertical="center"/>
    </xf>
    <xf numFmtId="10" fontId="19" fillId="0" borderId="0" xfId="10" applyNumberFormat="1" applyFont="1" applyFill="1" applyBorder="1" applyAlignment="1">
      <alignment horizontal="center" vertical="center"/>
    </xf>
    <xf numFmtId="39" fontId="6" fillId="0" borderId="0" xfId="4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 indent="5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39" fontId="19" fillId="0" borderId="4" xfId="4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39" fontId="19" fillId="0" borderId="4" xfId="4" applyNumberFormat="1" applyFont="1" applyFill="1" applyBorder="1" applyAlignment="1">
      <alignment horizontal="center" vertical="center"/>
    </xf>
    <xf numFmtId="10" fontId="22" fillId="0" borderId="4" xfId="10" applyNumberFormat="1" applyFont="1" applyFill="1" applyBorder="1" applyAlignment="1">
      <alignment horizontal="center" vertical="center"/>
    </xf>
    <xf numFmtId="10" fontId="19" fillId="0" borderId="4" xfId="10" applyNumberFormat="1" applyFont="1" applyFill="1" applyBorder="1" applyAlignment="1">
      <alignment horizontal="center" vertical="center"/>
    </xf>
    <xf numFmtId="39" fontId="6" fillId="0" borderId="4" xfId="4" applyNumberFormat="1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2" fontId="6" fillId="3" borderId="30" xfId="0" applyNumberFormat="1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2" fontId="6" fillId="3" borderId="32" xfId="0" applyNumberFormat="1" applyFont="1" applyFill="1" applyBorder="1" applyAlignment="1">
      <alignment horizontal="center" vertical="center" wrapText="1"/>
    </xf>
    <xf numFmtId="2" fontId="6" fillId="3" borderId="25" xfId="0" applyNumberFormat="1" applyFont="1" applyFill="1" applyBorder="1" applyAlignment="1">
      <alignment horizontal="center" vertical="center" wrapText="1"/>
    </xf>
    <xf numFmtId="175" fontId="5" fillId="0" borderId="14" xfId="4" applyNumberFormat="1" applyFont="1" applyFill="1" applyBorder="1" applyAlignment="1">
      <alignment horizontal="center" vertical="center"/>
    </xf>
    <xf numFmtId="175" fontId="5" fillId="0" borderId="14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center" vertical="center"/>
    </xf>
    <xf numFmtId="176" fontId="5" fillId="0" borderId="15" xfId="0" applyNumberFormat="1" applyFont="1" applyFill="1" applyBorder="1" applyAlignment="1">
      <alignment horizontal="center" vertical="center"/>
    </xf>
    <xf numFmtId="39" fontId="5" fillId="0" borderId="40" xfId="4" applyNumberFormat="1" applyFont="1" applyFill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39" fontId="5" fillId="0" borderId="42" xfId="4" applyNumberFormat="1" applyFont="1" applyFill="1" applyBorder="1" applyAlignment="1">
      <alignment horizontal="center" vertical="center"/>
    </xf>
    <xf numFmtId="0" fontId="5" fillId="1" borderId="43" xfId="0" applyFont="1" applyFill="1" applyBorder="1" applyAlignment="1">
      <alignment horizontal="center" vertical="center"/>
    </xf>
    <xf numFmtId="0" fontId="5" fillId="1" borderId="44" xfId="0" applyFont="1" applyFill="1" applyBorder="1" applyAlignment="1">
      <alignment horizontal="center" vertical="center"/>
    </xf>
    <xf numFmtId="39" fontId="5" fillId="0" borderId="45" xfId="4" applyNumberFormat="1" applyFont="1" applyFill="1" applyBorder="1" applyAlignment="1">
      <alignment horizontal="center" vertical="center"/>
    </xf>
    <xf numFmtId="39" fontId="5" fillId="0" borderId="46" xfId="4" applyNumberFormat="1" applyFont="1" applyFill="1" applyBorder="1" applyAlignment="1">
      <alignment horizontal="center" vertical="center"/>
    </xf>
    <xf numFmtId="3" fontId="5" fillId="0" borderId="47" xfId="0" applyNumberFormat="1" applyFont="1" applyFill="1" applyBorder="1" applyAlignment="1">
      <alignment horizontal="center" vertical="center"/>
    </xf>
    <xf numFmtId="178" fontId="5" fillId="0" borderId="45" xfId="4" applyNumberFormat="1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178" fontId="5" fillId="0" borderId="46" xfId="4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2" fontId="6" fillId="3" borderId="49" xfId="0" applyNumberFormat="1" applyFont="1" applyFill="1" applyBorder="1" applyAlignment="1">
      <alignment horizontal="center" vertical="center" wrapText="1"/>
    </xf>
    <xf numFmtId="2" fontId="6" fillId="3" borderId="22" xfId="0" applyNumberFormat="1" applyFont="1" applyFill="1" applyBorder="1" applyAlignment="1">
      <alignment horizontal="center" vertical="center" wrapText="1"/>
    </xf>
    <xf numFmtId="181" fontId="5" fillId="0" borderId="14" xfId="10" applyNumberFormat="1" applyFont="1" applyFill="1" applyBorder="1" applyAlignment="1">
      <alignment horizontal="center" vertical="center"/>
    </xf>
    <xf numFmtId="0" fontId="5" fillId="1" borderId="14" xfId="0" applyFont="1" applyFill="1" applyBorder="1" applyAlignment="1">
      <alignment horizontal="center" vertical="center"/>
    </xf>
    <xf numFmtId="0" fontId="5" fillId="1" borderId="38" xfId="0" applyFont="1" applyFill="1" applyBorder="1" applyAlignment="1">
      <alignment horizontal="center" vertical="center"/>
    </xf>
    <xf numFmtId="178" fontId="5" fillId="0" borderId="43" xfId="4" applyNumberFormat="1" applyFont="1" applyFill="1" applyBorder="1" applyAlignment="1">
      <alignment horizontal="center" vertical="center"/>
    </xf>
    <xf numFmtId="181" fontId="5" fillId="0" borderId="44" xfId="10" applyNumberFormat="1" applyFont="1" applyFill="1" applyBorder="1" applyAlignment="1">
      <alignment horizontal="center" vertical="center"/>
    </xf>
    <xf numFmtId="181" fontId="5" fillId="0" borderId="45" xfId="10" applyNumberFormat="1" applyFont="1" applyFill="1" applyBorder="1" applyAlignment="1">
      <alignment horizontal="center" vertical="center"/>
    </xf>
    <xf numFmtId="178" fontId="5" fillId="0" borderId="38" xfId="4" applyNumberFormat="1" applyFont="1" applyFill="1" applyBorder="1" applyAlignment="1">
      <alignment horizontal="center" vertical="center"/>
    </xf>
    <xf numFmtId="181" fontId="5" fillId="0" borderId="46" xfId="10" applyNumberFormat="1" applyFont="1" applyFill="1" applyBorder="1" applyAlignment="1">
      <alignment horizontal="center" vertical="center"/>
    </xf>
    <xf numFmtId="3" fontId="5" fillId="0" borderId="47" xfId="0" applyNumberFormat="1" applyFont="1" applyFill="1" applyBorder="1" applyAlignment="1">
      <alignment horizontal="center" vertical="center" wrapText="1"/>
    </xf>
    <xf numFmtId="175" fontId="5" fillId="0" borderId="41" xfId="0" applyNumberFormat="1" applyFont="1" applyFill="1" applyBorder="1" applyAlignment="1">
      <alignment horizontal="center" vertical="center"/>
    </xf>
    <xf numFmtId="178" fontId="5" fillId="0" borderId="42" xfId="4" applyNumberFormat="1" applyFont="1" applyFill="1" applyBorder="1" applyAlignment="1">
      <alignment horizontal="center" vertical="center"/>
    </xf>
    <xf numFmtId="178" fontId="5" fillId="0" borderId="47" xfId="4" applyNumberFormat="1" applyFont="1" applyFill="1" applyBorder="1" applyAlignment="1">
      <alignment horizontal="center" vertical="center"/>
    </xf>
    <xf numFmtId="181" fontId="5" fillId="0" borderId="41" xfId="10" applyNumberFormat="1" applyFont="1" applyFill="1" applyBorder="1" applyAlignment="1">
      <alignment horizontal="center" vertical="center"/>
    </xf>
    <xf numFmtId="178" fontId="5" fillId="0" borderId="40" xfId="4" applyNumberFormat="1" applyFont="1" applyFill="1" applyBorder="1" applyAlignment="1">
      <alignment horizontal="center" vertical="center"/>
    </xf>
    <xf numFmtId="178" fontId="5" fillId="0" borderId="39" xfId="4" applyNumberFormat="1" applyFont="1" applyFill="1" applyBorder="1" applyAlignment="1">
      <alignment horizontal="center" vertical="center"/>
    </xf>
    <xf numFmtId="181" fontId="5" fillId="0" borderId="15" xfId="10" applyNumberFormat="1" applyFont="1" applyFill="1" applyBorder="1" applyAlignment="1">
      <alignment horizontal="center" vertical="center"/>
    </xf>
    <xf numFmtId="181" fontId="5" fillId="0" borderId="40" xfId="10" applyNumberFormat="1" applyFont="1" applyFill="1" applyBorder="1" applyAlignment="1">
      <alignment horizontal="center" vertical="center"/>
    </xf>
    <xf numFmtId="181" fontId="5" fillId="0" borderId="50" xfId="1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wrapText="1"/>
    </xf>
    <xf numFmtId="39" fontId="12" fillId="0" borderId="2" xfId="0" applyNumberFormat="1" applyFont="1" applyBorder="1" applyAlignment="1">
      <alignment horizontal="center"/>
    </xf>
    <xf numFmtId="0" fontId="21" fillId="0" borderId="23" xfId="0" applyFont="1" applyFill="1" applyBorder="1" applyAlignment="1">
      <alignment wrapText="1"/>
    </xf>
    <xf numFmtId="169" fontId="9" fillId="0" borderId="4" xfId="0" applyNumberFormat="1" applyFont="1" applyFill="1" applyBorder="1"/>
    <xf numFmtId="171" fontId="9" fillId="0" borderId="4" xfId="0" applyNumberFormat="1" applyFont="1" applyFill="1" applyBorder="1" applyAlignment="1">
      <alignment horizontal="center"/>
    </xf>
    <xf numFmtId="175" fontId="12" fillId="0" borderId="3" xfId="0" applyNumberFormat="1" applyFont="1" applyBorder="1" applyAlignment="1">
      <alignment horizontal="center"/>
    </xf>
    <xf numFmtId="170" fontId="6" fillId="0" borderId="6" xfId="3" applyNumberFormat="1" applyFont="1" applyFill="1" applyBorder="1"/>
    <xf numFmtId="38" fontId="0" fillId="0" borderId="14" xfId="0" applyNumberFormat="1" applyFill="1" applyBorder="1" applyAlignment="1">
      <alignment horizontal="center"/>
    </xf>
    <xf numFmtId="38" fontId="6" fillId="0" borderId="6" xfId="0" applyNumberFormat="1" applyFont="1" applyFill="1" applyBorder="1" applyAlignment="1">
      <alignment horizontal="center"/>
    </xf>
    <xf numFmtId="0" fontId="19" fillId="0" borderId="51" xfId="0" applyFont="1" applyFill="1" applyBorder="1" applyAlignment="1">
      <alignment horizontal="left" vertical="center" indent="5"/>
    </xf>
    <xf numFmtId="0" fontId="19" fillId="0" borderId="51" xfId="0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vertical="center"/>
    </xf>
    <xf numFmtId="39" fontId="19" fillId="0" borderId="51" xfId="4" applyNumberFormat="1" applyFont="1" applyFill="1" applyBorder="1" applyAlignment="1">
      <alignment vertical="center"/>
    </xf>
    <xf numFmtId="0" fontId="19" fillId="0" borderId="51" xfId="0" applyFont="1" applyFill="1" applyBorder="1" applyAlignment="1">
      <alignment horizontal="left" vertical="center"/>
    </xf>
    <xf numFmtId="10" fontId="22" fillId="0" borderId="51" xfId="10" applyNumberFormat="1" applyFont="1" applyFill="1" applyBorder="1" applyAlignment="1">
      <alignment horizontal="center" vertical="center"/>
    </xf>
    <xf numFmtId="10" fontId="19" fillId="0" borderId="51" xfId="10" applyNumberFormat="1" applyFont="1" applyFill="1" applyBorder="1" applyAlignment="1">
      <alignment horizontal="center" vertical="center"/>
    </xf>
    <xf numFmtId="168" fontId="6" fillId="4" borderId="21" xfId="1" applyNumberFormat="1" applyFont="1" applyFill="1" applyBorder="1" applyAlignment="1">
      <alignment horizontal="center"/>
    </xf>
    <xf numFmtId="0" fontId="27" fillId="0" borderId="0" xfId="0" applyFont="1"/>
    <xf numFmtId="4" fontId="18" fillId="3" borderId="23" xfId="0" applyNumberFormat="1" applyFont="1" applyFill="1" applyBorder="1" applyAlignment="1">
      <alignment horizontal="right" vertical="center"/>
    </xf>
    <xf numFmtId="37" fontId="5" fillId="0" borderId="14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5" fillId="0" borderId="26" xfId="0" applyFont="1" applyFill="1" applyBorder="1" applyAlignment="1">
      <alignment vertical="center" wrapText="1"/>
    </xf>
    <xf numFmtId="3" fontId="5" fillId="0" borderId="48" xfId="0" applyNumberFormat="1" applyFont="1" applyFill="1" applyBorder="1" applyAlignment="1">
      <alignment horizontal="center" vertical="center"/>
    </xf>
    <xf numFmtId="39" fontId="5" fillId="0" borderId="30" xfId="4" applyNumberFormat="1" applyFont="1" applyFill="1" applyBorder="1" applyAlignment="1">
      <alignment horizontal="center" vertical="center"/>
    </xf>
    <xf numFmtId="178" fontId="5" fillId="0" borderId="30" xfId="4" applyNumberFormat="1" applyFont="1" applyFill="1" applyBorder="1" applyAlignment="1">
      <alignment horizontal="center" vertical="center"/>
    </xf>
    <xf numFmtId="181" fontId="5" fillId="0" borderId="52" xfId="10" applyNumberFormat="1" applyFont="1" applyFill="1" applyBorder="1" applyAlignment="1">
      <alignment horizontal="center" vertical="center"/>
    </xf>
    <xf numFmtId="10" fontId="5" fillId="0" borderId="29" xfId="0" applyNumberFormat="1" applyFont="1" applyFill="1" applyBorder="1" applyAlignment="1">
      <alignment horizontal="center" vertical="center"/>
    </xf>
    <xf numFmtId="10" fontId="0" fillId="0" borderId="2" xfId="0" applyNumberFormat="1" applyBorder="1"/>
    <xf numFmtId="3" fontId="7" fillId="0" borderId="14" xfId="0" applyNumberFormat="1" applyFont="1" applyFill="1" applyBorder="1" applyAlignment="1"/>
    <xf numFmtId="37" fontId="5" fillId="0" borderId="14" xfId="0" applyNumberFormat="1" applyFont="1" applyFill="1" applyBorder="1"/>
    <xf numFmtId="37" fontId="0" fillId="0" borderId="14" xfId="0" applyNumberFormat="1" applyFill="1" applyBorder="1"/>
    <xf numFmtId="3" fontId="5" fillId="0" borderId="14" xfId="1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center"/>
    </xf>
    <xf numFmtId="165" fontId="0" fillId="0" borderId="14" xfId="3" applyNumberFormat="1" applyFont="1" applyFill="1" applyBorder="1" applyAlignment="1">
      <alignment horizontal="center"/>
    </xf>
    <xf numFmtId="165" fontId="7" fillId="0" borderId="14" xfId="0" applyNumberFormat="1" applyFont="1" applyFill="1" applyBorder="1" applyAlignment="1"/>
    <xf numFmtId="166" fontId="0" fillId="0" borderId="0" xfId="3" applyNumberFormat="1" applyFont="1" applyFill="1" applyBorder="1" applyAlignment="1"/>
    <xf numFmtId="170" fontId="6" fillId="0" borderId="53" xfId="3" applyNumberFormat="1" applyFont="1" applyFill="1" applyBorder="1" applyAlignment="1"/>
    <xf numFmtId="0" fontId="0" fillId="0" borderId="0" xfId="0" applyFill="1" applyAlignment="1"/>
    <xf numFmtId="170" fontId="0" fillId="0" borderId="0" xfId="3" applyNumberFormat="1" applyFont="1" applyFill="1" applyBorder="1" applyAlignment="1"/>
    <xf numFmtId="170" fontId="6" fillId="0" borderId="17" xfId="3" applyNumberFormat="1" applyFont="1" applyFill="1" applyBorder="1" applyAlignment="1"/>
    <xf numFmtId="170" fontId="0" fillId="0" borderId="0" xfId="3" applyNumberFormat="1" applyFont="1" applyFill="1" applyAlignment="1"/>
    <xf numFmtId="172" fontId="6" fillId="0" borderId="0" xfId="10" applyNumberFormat="1" applyFont="1" applyFill="1" applyBorder="1"/>
    <xf numFmtId="183" fontId="5" fillId="0" borderId="14" xfId="3" applyNumberFormat="1" applyFont="1" applyFill="1" applyBorder="1"/>
    <xf numFmtId="183" fontId="6" fillId="0" borderId="6" xfId="3" applyNumberFormat="1" applyFont="1" applyFill="1" applyBorder="1"/>
    <xf numFmtId="3" fontId="6" fillId="0" borderId="17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14" xfId="10" applyNumberFormat="1" applyFont="1" applyFill="1" applyBorder="1" applyAlignment="1">
      <alignment horizontal="center"/>
    </xf>
    <xf numFmtId="177" fontId="5" fillId="0" borderId="14" xfId="1" applyNumberFormat="1" applyFont="1" applyFill="1" applyBorder="1" applyAlignment="1">
      <alignment horizontal="center"/>
    </xf>
    <xf numFmtId="177" fontId="6" fillId="0" borderId="17" xfId="0" applyNumberFormat="1" applyFont="1" applyFill="1" applyBorder="1" applyAlignment="1">
      <alignment horizontal="center"/>
    </xf>
    <xf numFmtId="3" fontId="0" fillId="0" borderId="0" xfId="0" applyNumberFormat="1"/>
    <xf numFmtId="3" fontId="6" fillId="0" borderId="6" xfId="3" applyNumberFormat="1" applyFont="1" applyFill="1" applyBorder="1" applyAlignment="1">
      <alignment horizontal="center"/>
    </xf>
    <xf numFmtId="3" fontId="0" fillId="0" borderId="14" xfId="1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left" indent="1"/>
    </xf>
    <xf numFmtId="37" fontId="2" fillId="0" borderId="49" xfId="0" applyNumberFormat="1" applyFont="1" applyFill="1" applyBorder="1" applyAlignment="1">
      <alignment horizontal="center"/>
    </xf>
    <xf numFmtId="0" fontId="6" fillId="0" borderId="54" xfId="0" applyFont="1" applyFill="1" applyBorder="1"/>
    <xf numFmtId="0" fontId="6" fillId="0" borderId="55" xfId="0" applyFont="1" applyFill="1" applyBorder="1"/>
    <xf numFmtId="0" fontId="6" fillId="0" borderId="56" xfId="0" applyFont="1" applyFill="1" applyBorder="1"/>
    <xf numFmtId="0" fontId="6" fillId="0" borderId="27" xfId="0" applyFont="1" applyFill="1" applyBorder="1"/>
    <xf numFmtId="0" fontId="6" fillId="0" borderId="26" xfId="0" applyFont="1" applyFill="1" applyBorder="1"/>
    <xf numFmtId="37" fontId="2" fillId="0" borderId="29" xfId="0" applyNumberFormat="1" applyFont="1" applyFill="1" applyBorder="1" applyAlignment="1">
      <alignment horizontal="center"/>
    </xf>
    <xf numFmtId="37" fontId="2" fillId="0" borderId="31" xfId="0" applyNumberFormat="1" applyFont="1" applyFill="1" applyBorder="1" applyAlignment="1">
      <alignment horizontal="center"/>
    </xf>
    <xf numFmtId="9" fontId="5" fillId="0" borderId="14" xfId="10" applyNumberFormat="1" applyFont="1" applyFill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14" xfId="0" applyBorder="1"/>
    <xf numFmtId="3" fontId="18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 applyAlignment="1">
      <alignment horizontal="left" vertical="center"/>
    </xf>
    <xf numFmtId="3" fontId="5" fillId="0" borderId="4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78" fontId="5" fillId="0" borderId="57" xfId="4" applyNumberFormat="1" applyFont="1" applyFill="1" applyBorder="1" applyAlignment="1">
      <alignment horizontal="center" vertical="center"/>
    </xf>
    <xf numFmtId="0" fontId="28" fillId="0" borderId="26" xfId="0" applyFont="1" applyBorder="1"/>
    <xf numFmtId="0" fontId="28" fillId="0" borderId="0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2" xfId="0" applyFont="1" applyBorder="1"/>
    <xf numFmtId="0" fontId="28" fillId="0" borderId="0" xfId="0" applyFont="1"/>
    <xf numFmtId="0" fontId="0" fillId="0" borderId="58" xfId="0" applyBorder="1"/>
    <xf numFmtId="0" fontId="7" fillId="3" borderId="0" xfId="0" applyFont="1" applyFill="1" applyBorder="1" applyAlignment="1">
      <alignment vertical="center"/>
    </xf>
    <xf numFmtId="175" fontId="5" fillId="0" borderId="15" xfId="0" applyNumberFormat="1" applyFont="1" applyFill="1" applyBorder="1" applyAlignment="1">
      <alignment horizontal="center" vertical="center"/>
    </xf>
    <xf numFmtId="175" fontId="5" fillId="0" borderId="15" xfId="4" applyNumberFormat="1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2" fontId="6" fillId="3" borderId="59" xfId="0" applyNumberFormat="1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/>
    </xf>
    <xf numFmtId="3" fontId="5" fillId="0" borderId="60" xfId="0" applyNumberFormat="1" applyFont="1" applyFill="1" applyBorder="1" applyAlignment="1">
      <alignment horizontal="center" vertical="center"/>
    </xf>
    <xf numFmtId="3" fontId="5" fillId="0" borderId="61" xfId="0" applyNumberFormat="1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39" fontId="19" fillId="0" borderId="51" xfId="4" applyNumberFormat="1" applyFont="1" applyFill="1" applyBorder="1" applyAlignment="1">
      <alignment horizontal="center" vertical="center"/>
    </xf>
    <xf numFmtId="37" fontId="0" fillId="0" borderId="0" xfId="0" applyNumberFormat="1" applyFill="1"/>
    <xf numFmtId="3" fontId="6" fillId="0" borderId="0" xfId="0" applyNumberFormat="1" applyFont="1" applyFill="1" applyBorder="1" applyAlignment="1">
      <alignment horizontal="center"/>
    </xf>
    <xf numFmtId="10" fontId="0" fillId="0" borderId="0" xfId="0" applyNumberFormat="1"/>
    <xf numFmtId="0" fontId="5" fillId="0" borderId="0" xfId="0" applyFont="1"/>
    <xf numFmtId="0" fontId="6" fillId="5" borderId="1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wrapText="1"/>
    </xf>
    <xf numFmtId="0" fontId="5" fillId="0" borderId="14" xfId="0" applyFont="1" applyBorder="1"/>
    <xf numFmtId="0" fontId="6" fillId="5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 wrapText="1"/>
    </xf>
    <xf numFmtId="0" fontId="6" fillId="5" borderId="14" xfId="0" quotePrefix="1" applyFont="1" applyFill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0" fillId="0" borderId="14" xfId="0" applyNumberFormat="1" applyBorder="1"/>
    <xf numFmtId="10" fontId="0" fillId="0" borderId="14" xfId="10" applyNumberFormat="1" applyFont="1" applyBorder="1"/>
    <xf numFmtId="0" fontId="6" fillId="5" borderId="15" xfId="0" applyFont="1" applyFill="1" applyBorder="1" applyAlignment="1">
      <alignment wrapText="1"/>
    </xf>
    <xf numFmtId="168" fontId="0" fillId="0" borderId="14" xfId="1" applyNumberFormat="1" applyFont="1" applyBorder="1"/>
    <xf numFmtId="0" fontId="5" fillId="0" borderId="0" xfId="0" applyFont="1" applyBorder="1"/>
    <xf numFmtId="177" fontId="0" fillId="0" borderId="14" xfId="10" applyNumberFormat="1" applyFont="1" applyBorder="1"/>
    <xf numFmtId="186" fontId="5" fillId="0" borderId="39" xfId="4" applyNumberFormat="1" applyFont="1" applyFill="1" applyBorder="1" applyAlignment="1">
      <alignment horizontal="center" vertical="center"/>
    </xf>
    <xf numFmtId="186" fontId="5" fillId="0" borderId="47" xfId="4" applyNumberFormat="1" applyFont="1" applyFill="1" applyBorder="1" applyAlignment="1">
      <alignment horizontal="center" vertical="center"/>
    </xf>
    <xf numFmtId="168" fontId="0" fillId="0" borderId="0" xfId="0" applyNumberFormat="1"/>
    <xf numFmtId="174" fontId="0" fillId="0" borderId="0" xfId="0" applyNumberFormat="1"/>
    <xf numFmtId="187" fontId="0" fillId="0" borderId="0" xfId="0" applyNumberFormat="1"/>
    <xf numFmtId="185" fontId="0" fillId="0" borderId="14" xfId="10" applyNumberFormat="1" applyFont="1" applyBorder="1"/>
    <xf numFmtId="176" fontId="6" fillId="6" borderId="24" xfId="0" applyNumberFormat="1" applyFont="1" applyFill="1" applyBorder="1" applyAlignment="1">
      <alignment horizontal="center" vertical="center"/>
    </xf>
    <xf numFmtId="39" fontId="6" fillId="6" borderId="59" xfId="4" applyNumberFormat="1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39" fontId="29" fillId="6" borderId="59" xfId="4" applyNumberFormat="1" applyFont="1" applyFill="1" applyBorder="1" applyAlignment="1">
      <alignment horizontal="center" vertical="center"/>
    </xf>
    <xf numFmtId="178" fontId="6" fillId="6" borderId="57" xfId="4" applyNumberFormat="1" applyFont="1" applyFill="1" applyBorder="1" applyAlignment="1">
      <alignment horizontal="center" vertical="center"/>
    </xf>
    <xf numFmtId="181" fontId="6" fillId="6" borderId="32" xfId="10" applyNumberFormat="1" applyFont="1" applyFill="1" applyBorder="1" applyAlignment="1">
      <alignment horizontal="center" vertical="center"/>
    </xf>
    <xf numFmtId="181" fontId="6" fillId="6" borderId="59" xfId="10" applyNumberFormat="1" applyFont="1" applyFill="1" applyBorder="1" applyAlignment="1">
      <alignment horizontal="center" vertical="center"/>
    </xf>
    <xf numFmtId="181" fontId="6" fillId="6" borderId="45" xfId="10" applyNumberFormat="1" applyFont="1" applyFill="1" applyBorder="1" applyAlignment="1">
      <alignment horizontal="center" vertical="center"/>
    </xf>
    <xf numFmtId="181" fontId="29" fillId="6" borderId="32" xfId="10" applyNumberFormat="1" applyFont="1" applyFill="1" applyBorder="1" applyAlignment="1">
      <alignment horizontal="center" vertical="center"/>
    </xf>
    <xf numFmtId="181" fontId="29" fillId="6" borderId="59" xfId="10" applyNumberFormat="1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39" fontId="19" fillId="6" borderId="59" xfId="4" applyNumberFormat="1" applyFont="1" applyFill="1" applyBorder="1" applyAlignment="1">
      <alignment horizontal="center" vertical="center"/>
    </xf>
    <xf numFmtId="184" fontId="6" fillId="6" borderId="59" xfId="4" applyNumberFormat="1" applyFont="1" applyFill="1" applyBorder="1" applyAlignment="1">
      <alignment horizontal="center" vertical="center"/>
    </xf>
    <xf numFmtId="166" fontId="19" fillId="6" borderId="59" xfId="4" applyNumberFormat="1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63" xfId="0" applyFont="1" applyFill="1" applyBorder="1" applyAlignment="1">
      <alignment horizontal="center" vertical="center"/>
    </xf>
    <xf numFmtId="39" fontId="6" fillId="6" borderId="52" xfId="4" applyNumberFormat="1" applyFont="1" applyFill="1" applyBorder="1" applyAlignment="1">
      <alignment horizontal="center" vertical="center"/>
    </xf>
    <xf numFmtId="181" fontId="6" fillId="6" borderId="49" xfId="10" applyNumberFormat="1" applyFont="1" applyFill="1" applyBorder="1" applyAlignment="1">
      <alignment horizontal="center" vertical="center"/>
    </xf>
    <xf numFmtId="181" fontId="6" fillId="6" borderId="52" xfId="10" applyNumberFormat="1" applyFont="1" applyFill="1" applyBorder="1" applyAlignment="1">
      <alignment horizontal="center" vertical="center"/>
    </xf>
    <xf numFmtId="0" fontId="6" fillId="6" borderId="14" xfId="0" applyFont="1" applyFill="1" applyBorder="1"/>
    <xf numFmtId="168" fontId="6" fillId="6" borderId="14" xfId="1" applyNumberFormat="1" applyFont="1" applyFill="1" applyBorder="1"/>
    <xf numFmtId="9" fontId="6" fillId="6" borderId="14" xfId="10" applyFont="1" applyFill="1" applyBorder="1"/>
    <xf numFmtId="185" fontId="6" fillId="6" borderId="14" xfId="10" applyNumberFormat="1" applyFont="1" applyFill="1" applyBorder="1"/>
    <xf numFmtId="170" fontId="0" fillId="0" borderId="0" xfId="0" applyNumberFormat="1" applyFill="1"/>
    <xf numFmtId="170" fontId="0" fillId="0" borderId="17" xfId="0" applyNumberFormat="1" applyFill="1" applyBorder="1"/>
    <xf numFmtId="185" fontId="5" fillId="0" borderId="14" xfId="10" applyNumberFormat="1" applyFont="1" applyBorder="1"/>
    <xf numFmtId="0" fontId="4" fillId="0" borderId="0" xfId="0" applyFont="1"/>
    <xf numFmtId="3" fontId="5" fillId="0" borderId="43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/>
    </xf>
    <xf numFmtId="175" fontId="6" fillId="3" borderId="21" xfId="0" applyNumberFormat="1" applyFont="1" applyFill="1" applyBorder="1" applyAlignment="1">
      <alignment horizontal="center"/>
    </xf>
    <xf numFmtId="175" fontId="2" fillId="4" borderId="15" xfId="0" applyNumberFormat="1" applyFont="1" applyFill="1" applyBorder="1" applyAlignment="1">
      <alignment horizontal="right"/>
    </xf>
    <xf numFmtId="39" fontId="2" fillId="4" borderId="15" xfId="0" applyNumberFormat="1" applyFont="1" applyFill="1" applyBorder="1" applyAlignment="1">
      <alignment horizontal="right"/>
    </xf>
    <xf numFmtId="182" fontId="0" fillId="4" borderId="21" xfId="0" applyNumberForma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6" fillId="3" borderId="61" xfId="0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37" fontId="30" fillId="4" borderId="29" xfId="0" applyNumberFormat="1" applyFont="1" applyFill="1" applyBorder="1" applyAlignment="1">
      <alignment horizontal="center"/>
    </xf>
    <xf numFmtId="37" fontId="2" fillId="4" borderId="31" xfId="0" applyNumberFormat="1" applyFont="1" applyFill="1" applyBorder="1" applyAlignment="1">
      <alignment horizontal="center"/>
    </xf>
    <xf numFmtId="37" fontId="30" fillId="4" borderId="49" xfId="0" applyNumberFormat="1" applyFont="1" applyFill="1" applyBorder="1" applyAlignment="1">
      <alignment horizontal="center"/>
    </xf>
    <xf numFmtId="37" fontId="2" fillId="4" borderId="29" xfId="0" applyNumberFormat="1" applyFont="1" applyFill="1" applyBorder="1" applyAlignment="1">
      <alignment horizontal="center"/>
    </xf>
    <xf numFmtId="37" fontId="30" fillId="4" borderId="66" xfId="0" applyNumberFormat="1" applyFont="1" applyFill="1" applyBorder="1" applyAlignment="1">
      <alignment horizontal="center"/>
    </xf>
    <xf numFmtId="37" fontId="2" fillId="4" borderId="13" xfId="0" applyNumberFormat="1" applyFont="1" applyFill="1" applyBorder="1" applyAlignment="1">
      <alignment horizontal="center"/>
    </xf>
    <xf numFmtId="37" fontId="2" fillId="4" borderId="67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170" fontId="7" fillId="4" borderId="0" xfId="3" applyNumberFormat="1" applyFont="1" applyFill="1"/>
    <xf numFmtId="170" fontId="7" fillId="4" borderId="53" xfId="3" applyNumberFormat="1" applyFont="1" applyFill="1" applyBorder="1"/>
    <xf numFmtId="3" fontId="9" fillId="4" borderId="14" xfId="0" applyNumberFormat="1" applyFont="1" applyFill="1" applyBorder="1" applyAlignment="1"/>
    <xf numFmtId="0" fontId="6" fillId="3" borderId="14" xfId="0" applyFont="1" applyFill="1" applyBorder="1" applyAlignment="1">
      <alignment horizontal="center"/>
    </xf>
    <xf numFmtId="3" fontId="6" fillId="3" borderId="14" xfId="0" applyNumberFormat="1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37" fontId="6" fillId="3" borderId="14" xfId="10" applyNumberFormat="1" applyFont="1" applyFill="1" applyBorder="1" applyAlignment="1">
      <alignment horizontal="center" wrapText="1"/>
    </xf>
    <xf numFmtId="37" fontId="6" fillId="3" borderId="61" xfId="10" applyNumberFormat="1" applyFont="1" applyFill="1" applyBorder="1" applyAlignment="1">
      <alignment horizontal="center" wrapText="1"/>
    </xf>
    <xf numFmtId="3" fontId="5" fillId="4" borderId="14" xfId="3" applyNumberFormat="1" applyFont="1" applyFill="1" applyBorder="1" applyAlignment="1">
      <alignment horizontal="center"/>
    </xf>
    <xf numFmtId="177" fontId="5" fillId="4" borderId="14" xfId="3" applyNumberFormat="1" applyFont="1" applyFill="1" applyBorder="1" applyAlignment="1">
      <alignment horizontal="center"/>
    </xf>
    <xf numFmtId="177" fontId="5" fillId="4" borderId="14" xfId="10" applyNumberFormat="1" applyFon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4" fontId="5" fillId="4" borderId="14" xfId="1" applyNumberFormat="1" applyFont="1" applyFill="1" applyBorder="1" applyAlignment="1">
      <alignment horizontal="center"/>
    </xf>
    <xf numFmtId="175" fontId="6" fillId="3" borderId="14" xfId="0" applyNumberFormat="1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170" fontId="6" fillId="0" borderId="6" xfId="3" applyNumberFormat="1" applyFont="1" applyFill="1" applyBorder="1" applyAlignment="1"/>
    <xf numFmtId="165" fontId="0" fillId="0" borderId="0" xfId="3" applyNumberFormat="1" applyFont="1" applyFill="1" applyBorder="1" applyAlignment="1"/>
    <xf numFmtId="38" fontId="0" fillId="0" borderId="0" xfId="0" applyNumberFormat="1" applyFill="1" applyBorder="1"/>
    <xf numFmtId="0" fontId="0" fillId="0" borderId="0" xfId="0" applyFill="1"/>
    <xf numFmtId="0" fontId="6" fillId="0" borderId="0" xfId="0" applyFont="1" applyFill="1"/>
    <xf numFmtId="0" fontId="6" fillId="0" borderId="65" xfId="0" applyFont="1" applyBorder="1"/>
    <xf numFmtId="164" fontId="0" fillId="0" borderId="14" xfId="0" applyNumberFormat="1" applyFill="1" applyBorder="1" applyAlignment="1">
      <alignment horizontal="center"/>
    </xf>
    <xf numFmtId="164" fontId="32" fillId="0" borderId="14" xfId="0" applyNumberFormat="1" applyFont="1" applyFill="1" applyBorder="1" applyAlignment="1">
      <alignment horizontal="center"/>
    </xf>
    <xf numFmtId="164" fontId="6" fillId="0" borderId="65" xfId="0" applyNumberFormat="1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39" fontId="12" fillId="0" borderId="3" xfId="0" applyNumberFormat="1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88" fontId="4" fillId="3" borderId="21" xfId="0" applyNumberFormat="1" applyFont="1" applyFill="1" applyBorder="1" applyAlignment="1">
      <alignment horizontal="center" vertical="center" wrapText="1"/>
    </xf>
    <xf numFmtId="188" fontId="0" fillId="0" borderId="0" xfId="0" applyNumberFormat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188" fontId="17" fillId="0" borderId="2" xfId="0" applyNumberFormat="1" applyFont="1" applyFill="1" applyBorder="1" applyAlignment="1">
      <alignment horizontal="center" wrapText="1"/>
    </xf>
    <xf numFmtId="0" fontId="17" fillId="0" borderId="26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171" fontId="17" fillId="0" borderId="0" xfId="0" applyNumberFormat="1" applyFont="1" applyFill="1" applyBorder="1" applyAlignment="1">
      <alignment horizontal="center"/>
    </xf>
    <xf numFmtId="188" fontId="17" fillId="0" borderId="2" xfId="0" applyNumberFormat="1" applyFont="1" applyBorder="1" applyAlignment="1">
      <alignment horizontal="center"/>
    </xf>
    <xf numFmtId="171" fontId="17" fillId="0" borderId="4" xfId="0" applyNumberFormat="1" applyFont="1" applyFill="1" applyBorder="1" applyAlignment="1">
      <alignment horizontal="center"/>
    </xf>
    <xf numFmtId="188" fontId="17" fillId="0" borderId="3" xfId="0" applyNumberFormat="1" applyFont="1" applyBorder="1" applyAlignment="1">
      <alignment horizontal="center"/>
    </xf>
    <xf numFmtId="169" fontId="17" fillId="0" borderId="26" xfId="0" applyNumberFormat="1" applyFont="1" applyFill="1" applyBorder="1" applyAlignment="1"/>
    <xf numFmtId="169" fontId="17" fillId="0" borderId="0" xfId="0" applyNumberFormat="1" applyFont="1" applyFill="1" applyBorder="1" applyAlignment="1"/>
    <xf numFmtId="169" fontId="17" fillId="0" borderId="23" xfId="0" applyNumberFormat="1" applyFont="1" applyFill="1" applyBorder="1" applyAlignment="1"/>
    <xf numFmtId="169" fontId="17" fillId="0" borderId="4" xfId="0" applyNumberFormat="1" applyFont="1" applyFill="1" applyBorder="1" applyAlignme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26" xfId="0" applyFont="1" applyBorder="1"/>
    <xf numFmtId="0" fontId="17" fillId="0" borderId="0" xfId="0" applyFont="1" applyBorder="1"/>
    <xf numFmtId="0" fontId="17" fillId="0" borderId="2" xfId="0" applyFont="1" applyBorder="1" applyAlignment="1">
      <alignment horizontal="center"/>
    </xf>
    <xf numFmtId="0" fontId="17" fillId="0" borderId="23" xfId="0" applyFont="1" applyBorder="1"/>
    <xf numFmtId="0" fontId="17" fillId="0" borderId="4" xfId="0" applyFont="1" applyBorder="1"/>
    <xf numFmtId="0" fontId="17" fillId="0" borderId="3" xfId="0" applyFont="1" applyBorder="1" applyAlignment="1">
      <alignment horizontal="center"/>
    </xf>
    <xf numFmtId="0" fontId="20" fillId="0" borderId="0" xfId="0" applyFont="1" applyFill="1" applyBorder="1" applyAlignment="1"/>
    <xf numFmtId="0" fontId="7" fillId="0" borderId="0" xfId="0" applyFont="1" applyFill="1" applyBorder="1" applyAlignment="1"/>
    <xf numFmtId="0" fontId="19" fillId="0" borderId="0" xfId="0" applyFont="1"/>
    <xf numFmtId="1" fontId="0" fillId="0" borderId="0" xfId="0" applyNumberFormat="1"/>
    <xf numFmtId="0" fontId="6" fillId="3" borderId="12" xfId="0" applyFont="1" applyFill="1" applyBorder="1" applyAlignment="1">
      <alignment horizontal="center" wrapText="1"/>
    </xf>
    <xf numFmtId="10" fontId="6" fillId="0" borderId="0" xfId="10" applyNumberFormat="1" applyFont="1" applyFill="1"/>
    <xf numFmtId="172" fontId="6" fillId="0" borderId="0" xfId="10" applyNumberFormat="1" applyFont="1" applyFill="1"/>
    <xf numFmtId="0" fontId="0" fillId="0" borderId="0" xfId="0" applyFill="1"/>
    <xf numFmtId="0" fontId="1" fillId="0" borderId="0" xfId="12" applyFill="1"/>
    <xf numFmtId="0" fontId="1" fillId="0" borderId="0" xfId="12" applyFill="1" applyAlignment="1">
      <alignment horizontal="right"/>
    </xf>
    <xf numFmtId="3" fontId="1" fillId="0" borderId="0" xfId="12" applyNumberFormat="1" applyFill="1"/>
    <xf numFmtId="171" fontId="5" fillId="0" borderId="0" xfId="3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3" fillId="0" borderId="0" xfId="0" applyFont="1" applyFill="1" applyAlignment="1"/>
    <xf numFmtId="0" fontId="6" fillId="0" borderId="68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0" fillId="0" borderId="0" xfId="0" applyFill="1"/>
    <xf numFmtId="0" fontId="19" fillId="0" borderId="0" xfId="0" applyFont="1" applyFill="1" applyAlignment="1">
      <alignment horizontal="center" wrapText="1"/>
    </xf>
    <xf numFmtId="0" fontId="6" fillId="0" borderId="0" xfId="0" applyFont="1" applyFill="1"/>
    <xf numFmtId="0" fontId="6" fillId="3" borderId="4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6" fillId="3" borderId="61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1" fillId="0" borderId="68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19" xfId="0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57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/>
    <xf numFmtId="0" fontId="15" fillId="0" borderId="69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9" fillId="0" borderId="57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5" fillId="5" borderId="6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left"/>
    </xf>
    <xf numFmtId="0" fontId="6" fillId="0" borderId="7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11" fillId="0" borderId="0" xfId="0" applyFont="1" applyFill="1" applyBorder="1" applyAlignment="1">
      <alignment horizontal="center"/>
    </xf>
    <xf numFmtId="0" fontId="19" fillId="0" borderId="57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37" fontId="4" fillId="0" borderId="27" xfId="0" applyNumberFormat="1" applyFont="1" applyFill="1" applyBorder="1" applyAlignment="1">
      <alignment horizontal="left" wrapText="1"/>
    </xf>
    <xf numFmtId="0" fontId="7" fillId="0" borderId="69" xfId="0" applyFont="1" applyFill="1" applyBorder="1" applyAlignment="1">
      <alignment horizontal="left" wrapText="1"/>
    </xf>
    <xf numFmtId="0" fontId="7" fillId="0" borderId="2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37" fontId="7" fillId="0" borderId="27" xfId="0" applyNumberFormat="1" applyFont="1" applyFill="1" applyBorder="1" applyAlignment="1">
      <alignment horizontal="left" wrapText="1"/>
    </xf>
    <xf numFmtId="0" fontId="5" fillId="0" borderId="0" xfId="0" applyFont="1" applyFill="1"/>
    <xf numFmtId="170" fontId="0" fillId="0" borderId="0" xfId="0" applyNumberFormat="1" applyFill="1"/>
    <xf numFmtId="0" fontId="26" fillId="0" borderId="0" xfId="0" applyFont="1" applyFill="1"/>
    <xf numFmtId="37" fontId="0" fillId="0" borderId="0" xfId="0" applyNumberFormat="1" applyFill="1"/>
    <xf numFmtId="0" fontId="6" fillId="0" borderId="64" xfId="0" applyFont="1" applyFill="1" applyBorder="1" applyAlignment="1">
      <alignment horizontal="center"/>
    </xf>
    <xf numFmtId="0" fontId="6" fillId="0" borderId="71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" fillId="0" borderId="73" xfId="0" applyFont="1" applyFill="1" applyBorder="1" applyAlignment="1">
      <alignment horizontal="center"/>
    </xf>
    <xf numFmtId="0" fontId="6" fillId="0" borderId="68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5" borderId="41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69" fontId="17" fillId="0" borderId="26" xfId="0" applyNumberFormat="1" applyFont="1" applyFill="1" applyBorder="1" applyAlignment="1"/>
    <xf numFmtId="169" fontId="17" fillId="0" borderId="0" xfId="0" applyNumberFormat="1" applyFont="1" applyFill="1" applyBorder="1" applyAlignment="1"/>
    <xf numFmtId="169" fontId="17" fillId="0" borderId="26" xfId="0" applyNumberFormat="1" applyFont="1" applyFill="1" applyBorder="1" applyAlignment="1">
      <alignment horizontal="left"/>
    </xf>
    <xf numFmtId="169" fontId="17" fillId="0" borderId="0" xfId="0" applyNumberFormat="1" applyFont="1" applyFill="1" applyBorder="1" applyAlignment="1">
      <alignment horizontal="left"/>
    </xf>
    <xf numFmtId="0" fontId="17" fillId="0" borderId="27" xfId="0" applyFont="1" applyFill="1" applyBorder="1" applyAlignment="1">
      <alignment horizontal="left" wrapText="1"/>
    </xf>
    <xf numFmtId="0" fontId="17" fillId="0" borderId="69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</cellXfs>
  <cellStyles count="13">
    <cellStyle name="40% - Accent4" xfId="12" builtinId="43"/>
    <cellStyle name="Comma" xfId="1" builtinId="3"/>
    <cellStyle name="Comma0" xfId="2"/>
    <cellStyle name="Currency" xfId="3" builtinId="4"/>
    <cellStyle name="Currency_Final - 2004 RAM for rate schedule - milton" xfId="4"/>
    <cellStyle name="Currency0" xfId="5"/>
    <cellStyle name="Date" xfId="6"/>
    <cellStyle name="Fixed" xfId="7"/>
    <cellStyle name="Heading 1" xfId="8" builtinId="16" customBuiltin="1"/>
    <cellStyle name="Heading 2" xfId="9" builtinId="17" customBuiltin="1"/>
    <cellStyle name="Normal" xfId="0" builtinId="0"/>
    <cellStyle name="Percent" xfId="10" builtinId="5"/>
    <cellStyle name="Total" xfId="1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B5" sqref="B5"/>
    </sheetView>
  </sheetViews>
  <sheetFormatPr defaultRowHeight="12.75" x14ac:dyDescent="0.2"/>
  <cols>
    <col min="1" max="1" width="80.7109375" bestFit="1" customWidth="1"/>
    <col min="2" max="2" width="25.5703125" customWidth="1"/>
    <col min="4" max="10" width="9.42578125" customWidth="1"/>
  </cols>
  <sheetData>
    <row r="1" spans="1:12" ht="18" x14ac:dyDescent="0.25">
      <c r="A1" s="391"/>
      <c r="B1" s="391"/>
    </row>
    <row r="2" spans="1:12" x14ac:dyDescent="0.2">
      <c r="A2" s="392"/>
      <c r="B2" s="392"/>
    </row>
    <row r="3" spans="1:12" ht="7.5" customHeight="1" x14ac:dyDescent="0.25">
      <c r="A3" s="5"/>
    </row>
    <row r="4" spans="1:12" ht="18" x14ac:dyDescent="0.25">
      <c r="A4" s="5"/>
      <c r="D4" s="49"/>
      <c r="E4" s="7"/>
      <c r="F4" s="7"/>
      <c r="G4" s="7"/>
      <c r="H4" s="7"/>
      <c r="I4" s="7"/>
      <c r="J4" s="7"/>
      <c r="K4" s="7"/>
      <c r="L4" s="7"/>
    </row>
    <row r="5" spans="1:12" ht="15.75" x14ac:dyDescent="0.25">
      <c r="A5" s="4" t="s">
        <v>30</v>
      </c>
      <c r="B5" s="328">
        <v>20988612.622063186</v>
      </c>
      <c r="E5" s="7"/>
      <c r="F5" s="7"/>
      <c r="G5" s="7"/>
      <c r="H5" s="7"/>
      <c r="I5" s="7"/>
      <c r="J5" s="7"/>
      <c r="K5" s="7"/>
      <c r="L5" s="7"/>
    </row>
    <row r="6" spans="1:12" ht="15.75" x14ac:dyDescent="0.25">
      <c r="A6" s="4" t="s">
        <v>32</v>
      </c>
      <c r="B6" s="328">
        <v>1777999.53</v>
      </c>
      <c r="E6" s="7"/>
      <c r="F6" s="7"/>
      <c r="G6" s="7"/>
      <c r="H6" s="7"/>
      <c r="I6" s="7"/>
      <c r="J6" s="7"/>
      <c r="K6" s="7"/>
      <c r="L6" s="7"/>
    </row>
    <row r="7" spans="1:12" ht="15.75" x14ac:dyDescent="0.25">
      <c r="A7" s="4" t="s">
        <v>88</v>
      </c>
      <c r="B7" s="40">
        <f>+B5-B6</f>
        <v>19210613.092063185</v>
      </c>
      <c r="E7" s="7"/>
      <c r="F7" s="7"/>
      <c r="G7" s="7"/>
      <c r="H7" s="7"/>
      <c r="I7" s="7"/>
      <c r="J7" s="7"/>
      <c r="K7" s="7"/>
      <c r="L7" s="7"/>
    </row>
    <row r="8" spans="1:12" x14ac:dyDescent="0.2">
      <c r="E8" s="7"/>
      <c r="F8" s="7"/>
      <c r="G8" s="7"/>
      <c r="H8" s="7"/>
      <c r="I8" s="7"/>
      <c r="J8" s="7"/>
      <c r="K8" s="7"/>
      <c r="L8" s="7"/>
    </row>
    <row r="9" spans="1:12" ht="15.75" x14ac:dyDescent="0.25">
      <c r="A9" s="4"/>
      <c r="E9" s="7"/>
      <c r="F9" s="7"/>
      <c r="G9" s="7"/>
      <c r="H9" s="7"/>
      <c r="I9" s="7"/>
      <c r="J9" s="7"/>
      <c r="K9" s="7"/>
      <c r="L9" s="7"/>
    </row>
    <row r="10" spans="1:12" ht="15.75" x14ac:dyDescent="0.25">
      <c r="A10" s="4" t="s">
        <v>33</v>
      </c>
      <c r="B10" s="6">
        <f>-'Transformer Allowance'!C15</f>
        <v>400200</v>
      </c>
    </row>
    <row r="11" spans="1:12" ht="16.5" thickBot="1" x14ac:dyDescent="0.3">
      <c r="A11" s="4" t="s">
        <v>34</v>
      </c>
      <c r="B11" s="41">
        <f>+B7+B10</f>
        <v>19610813.092063185</v>
      </c>
    </row>
    <row r="12" spans="1:12" ht="13.5" thickTop="1" x14ac:dyDescent="0.2"/>
    <row r="13" spans="1:12" s="15" customFormat="1" ht="16.5" thickBot="1" x14ac:dyDescent="0.3">
      <c r="A13" s="305" t="s">
        <v>174</v>
      </c>
      <c r="B13" s="329"/>
      <c r="D13"/>
    </row>
    <row r="14" spans="1:12" s="15" customFormat="1" ht="16.5" thickTop="1" x14ac:dyDescent="0.25">
      <c r="A14" s="19"/>
      <c r="B14" s="20"/>
      <c r="D14"/>
    </row>
    <row r="15" spans="1:12" s="15" customFormat="1" ht="15.75" x14ac:dyDescent="0.25">
      <c r="A15" s="19"/>
      <c r="B15" s="20"/>
    </row>
    <row r="16" spans="1:12" s="15" customFormat="1" ht="15.75" x14ac:dyDescent="0.25">
      <c r="A16" s="19"/>
      <c r="B16" s="20"/>
    </row>
    <row r="17" spans="1:2" ht="15.75" x14ac:dyDescent="0.25">
      <c r="A17" s="4"/>
      <c r="B17" s="6"/>
    </row>
    <row r="19" spans="1:2" ht="15.75" x14ac:dyDescent="0.25">
      <c r="A19" s="4"/>
      <c r="B19" s="6"/>
    </row>
    <row r="20" spans="1:2" ht="15.75" x14ac:dyDescent="0.25">
      <c r="A20" s="4"/>
      <c r="B20" s="6"/>
    </row>
    <row r="21" spans="1:2" ht="15.75" x14ac:dyDescent="0.25">
      <c r="A21" s="4"/>
      <c r="B21" s="6"/>
    </row>
    <row r="22" spans="1:2" x14ac:dyDescent="0.2">
      <c r="B22" s="7"/>
    </row>
  </sheetData>
  <mergeCells count="2">
    <mergeCell ref="A1:B1"/>
    <mergeCell ref="A2:B2"/>
  </mergeCells>
  <phoneticPr fontId="0" type="noConversion"/>
  <pageMargins left="0.35433070866141736" right="0.35433070866141736" top="0.59055118110236227" bottom="0.59055118110236227" header="0.31496062992125984" footer="0.31496062992125984"/>
  <pageSetup orientation="landscape" r:id="rId1"/>
  <headerFooter alignWithMargins="0">
    <oddFooter>&amp;R&amp;Z&amp;F &amp;A  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opLeftCell="A4" workbookViewId="0">
      <selection activeCell="E12" sqref="E12"/>
    </sheetView>
  </sheetViews>
  <sheetFormatPr defaultRowHeight="12.75" x14ac:dyDescent="0.2"/>
  <cols>
    <col min="1" max="1" width="2.7109375" customWidth="1"/>
    <col min="2" max="2" width="32.28515625" bestFit="1" customWidth="1"/>
    <col min="3" max="3" width="38.7109375" bestFit="1" customWidth="1"/>
    <col min="4" max="4" width="13" customWidth="1"/>
    <col min="5" max="5" width="16.28515625" customWidth="1"/>
  </cols>
  <sheetData>
    <row r="1" spans="1:6" x14ac:dyDescent="0.2">
      <c r="A1" s="394">
        <f>+'Revenue Input'!A1</f>
        <v>0</v>
      </c>
      <c r="B1" s="394"/>
      <c r="C1" s="394"/>
      <c r="D1" s="394"/>
      <c r="E1" s="394"/>
    </row>
    <row r="2" spans="1:6" ht="8.25" customHeight="1" x14ac:dyDescent="0.2">
      <c r="A2" s="404"/>
      <c r="B2" s="404"/>
      <c r="C2" s="404"/>
      <c r="D2" s="404"/>
      <c r="E2" s="404"/>
    </row>
    <row r="3" spans="1:6" ht="19.5" customHeight="1" x14ac:dyDescent="0.2">
      <c r="B3" s="347" t="s">
        <v>205</v>
      </c>
      <c r="C3" s="346"/>
      <c r="D3" s="346"/>
      <c r="E3" s="346"/>
    </row>
    <row r="4" spans="1:6" ht="20.100000000000001" customHeight="1" x14ac:dyDescent="0.25">
      <c r="A4" s="445" t="s">
        <v>61</v>
      </c>
      <c r="B4" s="445"/>
      <c r="C4" s="445"/>
      <c r="D4" s="445"/>
      <c r="E4" s="445"/>
    </row>
    <row r="5" spans="1:6" ht="20.100000000000001" customHeight="1" x14ac:dyDescent="0.3">
      <c r="A5" s="446" t="s">
        <v>60</v>
      </c>
      <c r="B5" s="446"/>
      <c r="C5" s="446"/>
      <c r="D5" s="446"/>
      <c r="E5" s="446"/>
    </row>
    <row r="6" spans="1:6" ht="20.100000000000001" customHeight="1" x14ac:dyDescent="0.3">
      <c r="A6" s="446" t="s">
        <v>190</v>
      </c>
      <c r="B6" s="446"/>
      <c r="C6" s="446"/>
      <c r="D6" s="446"/>
      <c r="E6" s="446"/>
    </row>
    <row r="7" spans="1:6" ht="20.100000000000001" customHeight="1" x14ac:dyDescent="0.25">
      <c r="A7" s="410"/>
      <c r="B7" s="410"/>
      <c r="C7" s="410"/>
      <c r="D7" s="410"/>
      <c r="E7" s="410"/>
    </row>
    <row r="8" spans="1:6" ht="11.25" customHeight="1" thickBot="1" x14ac:dyDescent="0.25">
      <c r="A8" s="15"/>
      <c r="B8" s="38"/>
      <c r="C8" s="15"/>
      <c r="D8" s="15"/>
      <c r="E8" s="39"/>
      <c r="F8" s="15"/>
    </row>
    <row r="9" spans="1:6" ht="26.25" thickBot="1" x14ac:dyDescent="0.25">
      <c r="A9" s="32"/>
      <c r="B9" s="342" t="s">
        <v>0</v>
      </c>
      <c r="C9" s="342" t="s">
        <v>56</v>
      </c>
      <c r="D9" s="342" t="s">
        <v>57</v>
      </c>
      <c r="E9" s="342" t="s">
        <v>87</v>
      </c>
      <c r="F9" s="15"/>
    </row>
    <row r="10" spans="1:6" ht="15.75" x14ac:dyDescent="0.25">
      <c r="A10" s="23"/>
      <c r="B10" s="447" t="str">
        <f>'Distribution Rate Schedule'!A9</f>
        <v>Residential</v>
      </c>
      <c r="C10" s="443"/>
      <c r="D10" s="443"/>
      <c r="E10" s="444"/>
      <c r="F10" s="24"/>
    </row>
    <row r="11" spans="1:6" ht="15" x14ac:dyDescent="0.2">
      <c r="A11" s="23"/>
      <c r="B11" s="167"/>
      <c r="C11" s="35" t="s">
        <v>41</v>
      </c>
      <c r="D11" s="33" t="s">
        <v>58</v>
      </c>
      <c r="E11" s="168">
        <f>'Distribution Rate Schedule'!C9</f>
        <v>12.63</v>
      </c>
      <c r="F11" s="24"/>
    </row>
    <row r="12" spans="1:6" ht="15.75" thickBot="1" x14ac:dyDescent="0.25">
      <c r="A12" s="23"/>
      <c r="B12" s="169"/>
      <c r="C12" s="170" t="s">
        <v>59</v>
      </c>
      <c r="D12" s="171" t="s">
        <v>36</v>
      </c>
      <c r="E12" s="172">
        <f>'Distribution Rate Schedule'!E9</f>
        <v>1.2200000000000001E-2</v>
      </c>
      <c r="F12" s="24"/>
    </row>
    <row r="13" spans="1:6" ht="6.95" customHeight="1" thickBot="1" x14ac:dyDescent="0.25">
      <c r="A13" s="23"/>
      <c r="B13" s="34"/>
      <c r="C13" s="35"/>
      <c r="D13" s="33"/>
      <c r="E13" s="36"/>
      <c r="F13" s="24"/>
    </row>
    <row r="14" spans="1:6" ht="15.75" customHeight="1" x14ac:dyDescent="0.25">
      <c r="A14" s="22"/>
      <c r="B14" s="447" t="str">
        <f>'Distribution Rate Schedule'!A10</f>
        <v>GS &lt; 50 kW</v>
      </c>
      <c r="C14" s="443"/>
      <c r="D14" s="443"/>
      <c r="E14" s="444"/>
    </row>
    <row r="15" spans="1:6" ht="15" x14ac:dyDescent="0.2">
      <c r="A15" s="22"/>
      <c r="B15" s="167"/>
      <c r="C15" s="35" t="s">
        <v>41</v>
      </c>
      <c r="D15" s="33" t="s">
        <v>58</v>
      </c>
      <c r="E15" s="168">
        <f>'Distribution Rate Schedule'!C10</f>
        <v>25.96</v>
      </c>
    </row>
    <row r="16" spans="1:6" ht="15.75" thickBot="1" x14ac:dyDescent="0.25">
      <c r="A16" s="22"/>
      <c r="B16" s="169"/>
      <c r="C16" s="170" t="s">
        <v>59</v>
      </c>
      <c r="D16" s="171" t="s">
        <v>36</v>
      </c>
      <c r="E16" s="172">
        <f>'Distribution Rate Schedule'!E10</f>
        <v>1.34E-2</v>
      </c>
    </row>
    <row r="17" spans="1:5" ht="6.95" customHeight="1" thickBot="1" x14ac:dyDescent="0.25">
      <c r="A17" s="22"/>
      <c r="B17" s="34"/>
      <c r="C17" s="35"/>
      <c r="D17" s="33"/>
      <c r="E17" s="36"/>
    </row>
    <row r="18" spans="1:5" ht="15.75" customHeight="1" x14ac:dyDescent="0.25">
      <c r="A18" s="22"/>
      <c r="B18" s="447" t="str">
        <f>'Distribution Rate Schedule'!A11</f>
        <v>GS &gt;50 to 999 kW</v>
      </c>
      <c r="C18" s="443"/>
      <c r="D18" s="443"/>
      <c r="E18" s="444"/>
    </row>
    <row r="19" spans="1:5" ht="15" x14ac:dyDescent="0.2">
      <c r="A19" s="22"/>
      <c r="B19" s="167"/>
      <c r="C19" s="35" t="s">
        <v>41</v>
      </c>
      <c r="D19" s="33" t="s">
        <v>58</v>
      </c>
      <c r="E19" s="168">
        <f>'Distribution Rate Schedule'!C11</f>
        <v>195.33</v>
      </c>
    </row>
    <row r="20" spans="1:5" ht="15.75" thickBot="1" x14ac:dyDescent="0.25">
      <c r="A20" s="22"/>
      <c r="B20" s="169"/>
      <c r="C20" s="170" t="s">
        <v>59</v>
      </c>
      <c r="D20" s="171" t="s">
        <v>14</v>
      </c>
      <c r="E20" s="172">
        <f>'Distribution Rate Schedule'!D11</f>
        <v>2.4857</v>
      </c>
    </row>
    <row r="21" spans="1:5" ht="6.75" customHeight="1" thickBot="1" x14ac:dyDescent="0.25">
      <c r="A21" s="22"/>
      <c r="B21" s="34"/>
      <c r="C21" s="35"/>
      <c r="D21" s="33"/>
      <c r="E21" s="36"/>
    </row>
    <row r="22" spans="1:5" ht="15.75" customHeight="1" x14ac:dyDescent="0.25">
      <c r="A22" s="22"/>
      <c r="B22" s="447" t="str">
        <f>'Distribution Rate Schedule'!A12</f>
        <v>GS &gt;1000 to 4999 kW</v>
      </c>
      <c r="C22" s="443"/>
      <c r="D22" s="443"/>
      <c r="E22" s="444"/>
    </row>
    <row r="23" spans="1:5" ht="15" x14ac:dyDescent="0.2">
      <c r="A23" s="22"/>
      <c r="B23" s="167"/>
      <c r="C23" s="35" t="s">
        <v>41</v>
      </c>
      <c r="D23" s="33" t="s">
        <v>58</v>
      </c>
      <c r="E23" s="168">
        <f>'Distribution Rate Schedule'!C12</f>
        <v>2794.55</v>
      </c>
    </row>
    <row r="24" spans="1:5" ht="15.75" thickBot="1" x14ac:dyDescent="0.25">
      <c r="A24" s="22"/>
      <c r="B24" s="169"/>
      <c r="C24" s="170" t="s">
        <v>59</v>
      </c>
      <c r="D24" s="171" t="s">
        <v>14</v>
      </c>
      <c r="E24" s="172">
        <f>'Distribution Rate Schedule'!D12</f>
        <v>2.2079</v>
      </c>
    </row>
    <row r="25" spans="1:5" ht="6.95" customHeight="1" thickBot="1" x14ac:dyDescent="0.25">
      <c r="A25" s="22"/>
      <c r="B25" s="34"/>
      <c r="C25" s="35"/>
      <c r="D25" s="33"/>
      <c r="E25" s="36"/>
    </row>
    <row r="26" spans="1:5" ht="15.75" x14ac:dyDescent="0.25">
      <c r="A26" s="22"/>
      <c r="B26" s="447" t="str">
        <f>'Distribution Rate Schedule'!A14</f>
        <v>Sentinel Lights</v>
      </c>
      <c r="C26" s="443"/>
      <c r="D26" s="443"/>
      <c r="E26" s="444"/>
    </row>
    <row r="27" spans="1:5" ht="15" x14ac:dyDescent="0.2">
      <c r="A27" s="22"/>
      <c r="B27" s="167"/>
      <c r="C27" s="35" t="s">
        <v>41</v>
      </c>
      <c r="D27" s="33" t="s">
        <v>58</v>
      </c>
      <c r="E27" s="168">
        <f>'Distribution Rate Schedule'!B14</f>
        <v>6.6554000000000002</v>
      </c>
    </row>
    <row r="28" spans="1:5" ht="15.75" thickBot="1" x14ac:dyDescent="0.25">
      <c r="A28" s="22"/>
      <c r="B28" s="169"/>
      <c r="C28" s="170" t="s">
        <v>59</v>
      </c>
      <c r="D28" s="171" t="s">
        <v>14</v>
      </c>
      <c r="E28" s="172">
        <f>'Distribution Rate Schedule'!D14</f>
        <v>5.3399000000000001</v>
      </c>
    </row>
    <row r="29" spans="1:5" ht="6.95" customHeight="1" thickBot="1" x14ac:dyDescent="0.25">
      <c r="A29" s="22"/>
      <c r="B29" s="34"/>
      <c r="C29" s="35"/>
      <c r="D29" s="33"/>
      <c r="E29" s="36"/>
    </row>
    <row r="30" spans="1:5" ht="15.75" x14ac:dyDescent="0.25">
      <c r="A30" s="22"/>
      <c r="B30" s="447" t="str">
        <f>'Distribution Rate Schedule'!A15</f>
        <v>Street Lighting</v>
      </c>
      <c r="C30" s="443"/>
      <c r="D30" s="443"/>
      <c r="E30" s="444"/>
    </row>
    <row r="31" spans="1:5" ht="15" x14ac:dyDescent="0.2">
      <c r="A31" s="22"/>
      <c r="B31" s="167"/>
      <c r="C31" s="35" t="s">
        <v>41</v>
      </c>
      <c r="D31" s="33" t="s">
        <v>58</v>
      </c>
      <c r="E31" s="168">
        <f>'Distribution Rate Schedule'!B15</f>
        <v>1.1073999999999999</v>
      </c>
    </row>
    <row r="32" spans="1:5" ht="15.75" thickBot="1" x14ac:dyDescent="0.25">
      <c r="A32" s="22"/>
      <c r="B32" s="169"/>
      <c r="C32" s="170" t="s">
        <v>59</v>
      </c>
      <c r="D32" s="171" t="s">
        <v>14</v>
      </c>
      <c r="E32" s="172">
        <f>'Distribution Rate Schedule'!D15</f>
        <v>6.6959</v>
      </c>
    </row>
    <row r="33" spans="1:5" ht="6.95" customHeight="1" thickBot="1" x14ac:dyDescent="0.25">
      <c r="A33" s="22"/>
      <c r="B33" s="34"/>
      <c r="C33" s="35"/>
      <c r="D33" s="33"/>
      <c r="E33" s="36"/>
    </row>
    <row r="34" spans="1:5" ht="15.75" x14ac:dyDescent="0.25">
      <c r="A34" s="22"/>
      <c r="B34" s="447" t="str">
        <f>'Distribution Rate Schedule'!A16</f>
        <v>Unmetered and Scattered</v>
      </c>
      <c r="C34" s="443"/>
      <c r="D34" s="443"/>
      <c r="E34" s="444"/>
    </row>
    <row r="35" spans="1:5" ht="15" x14ac:dyDescent="0.2">
      <c r="A35" s="22"/>
      <c r="B35" s="167"/>
      <c r="C35" s="35" t="s">
        <v>41</v>
      </c>
      <c r="D35" s="33" t="s">
        <v>58</v>
      </c>
      <c r="E35" s="168">
        <f>'Distribution Rate Schedule'!B16</f>
        <v>6.7534999999999998</v>
      </c>
    </row>
    <row r="36" spans="1:5" ht="15.75" thickBot="1" x14ac:dyDescent="0.25">
      <c r="A36" s="22"/>
      <c r="B36" s="169"/>
      <c r="C36" s="170" t="s">
        <v>59</v>
      </c>
      <c r="D36" s="171" t="s">
        <v>36</v>
      </c>
      <c r="E36" s="172">
        <f>'Distribution Rate Schedule'!E16</f>
        <v>9.9000000000000008E-3</v>
      </c>
    </row>
    <row r="37" spans="1:5" ht="13.5" thickBot="1" x14ac:dyDescent="0.25">
      <c r="B37" s="15"/>
      <c r="C37" s="24"/>
      <c r="D37" s="24"/>
      <c r="E37" s="37"/>
    </row>
    <row r="38" spans="1:5" ht="15.75" x14ac:dyDescent="0.25">
      <c r="B38" s="442" t="s">
        <v>206</v>
      </c>
      <c r="C38" s="443"/>
      <c r="D38" s="443"/>
      <c r="E38" s="444"/>
    </row>
    <row r="39" spans="1:5" ht="15.75" thickBot="1" x14ac:dyDescent="0.25">
      <c r="B39" s="169"/>
      <c r="C39" s="170" t="s">
        <v>41</v>
      </c>
      <c r="D39" s="171" t="s">
        <v>58</v>
      </c>
      <c r="E39" s="354">
        <v>5.4</v>
      </c>
    </row>
    <row r="40" spans="1:5" x14ac:dyDescent="0.2">
      <c r="B40" s="7"/>
    </row>
    <row r="41" spans="1:5" x14ac:dyDescent="0.2">
      <c r="B41" s="7"/>
    </row>
    <row r="42" spans="1:5" x14ac:dyDescent="0.2">
      <c r="B42" s="7"/>
    </row>
    <row r="43" spans="1:5" x14ac:dyDescent="0.2">
      <c r="B43" s="7"/>
    </row>
    <row r="44" spans="1:5" x14ac:dyDescent="0.2">
      <c r="B44" s="7"/>
    </row>
    <row r="45" spans="1:5" x14ac:dyDescent="0.2">
      <c r="B45" s="7"/>
    </row>
    <row r="46" spans="1:5" x14ac:dyDescent="0.2">
      <c r="B46" s="7"/>
    </row>
    <row r="47" spans="1:5" x14ac:dyDescent="0.2">
      <c r="B47" s="7"/>
    </row>
    <row r="48" spans="1:5" x14ac:dyDescent="0.2">
      <c r="B48" s="7"/>
    </row>
    <row r="49" spans="2:2" x14ac:dyDescent="0.2">
      <c r="B49" s="7"/>
    </row>
    <row r="50" spans="2:2" x14ac:dyDescent="0.2">
      <c r="B50" s="7"/>
    </row>
    <row r="51" spans="2:2" x14ac:dyDescent="0.2">
      <c r="B51" s="7"/>
    </row>
    <row r="52" spans="2:2" x14ac:dyDescent="0.2">
      <c r="B52" s="7"/>
    </row>
    <row r="53" spans="2:2" x14ac:dyDescent="0.2">
      <c r="B53" s="7"/>
    </row>
    <row r="54" spans="2:2" x14ac:dyDescent="0.2">
      <c r="B54" s="7"/>
    </row>
    <row r="55" spans="2:2" x14ac:dyDescent="0.2">
      <c r="B55" s="7"/>
    </row>
    <row r="56" spans="2:2" x14ac:dyDescent="0.2">
      <c r="B56" s="7"/>
    </row>
    <row r="57" spans="2:2" x14ac:dyDescent="0.2">
      <c r="B57" s="7"/>
    </row>
    <row r="58" spans="2:2" x14ac:dyDescent="0.2">
      <c r="B58" s="7"/>
    </row>
    <row r="59" spans="2:2" x14ac:dyDescent="0.2">
      <c r="B59" s="7"/>
    </row>
    <row r="60" spans="2:2" x14ac:dyDescent="0.2">
      <c r="B60" s="7"/>
    </row>
    <row r="61" spans="2:2" x14ac:dyDescent="0.2">
      <c r="B61" s="7"/>
    </row>
    <row r="62" spans="2:2" x14ac:dyDescent="0.2">
      <c r="B62" s="7"/>
    </row>
    <row r="63" spans="2:2" x14ac:dyDescent="0.2">
      <c r="B63" s="7"/>
    </row>
  </sheetData>
  <mergeCells count="14">
    <mergeCell ref="B38:E38"/>
    <mergeCell ref="A7:E7"/>
    <mergeCell ref="A4:E4"/>
    <mergeCell ref="A5:E5"/>
    <mergeCell ref="A1:E1"/>
    <mergeCell ref="A2:E2"/>
    <mergeCell ref="A6:E6"/>
    <mergeCell ref="B26:E26"/>
    <mergeCell ref="B30:E30"/>
    <mergeCell ref="B34:E34"/>
    <mergeCell ref="B10:E10"/>
    <mergeCell ref="B14:E14"/>
    <mergeCell ref="B18:E18"/>
    <mergeCell ref="B22:E22"/>
  </mergeCells>
  <phoneticPr fontId="0" type="noConversion"/>
  <pageMargins left="0.74803149606299213" right="0.74803149606299213" top="0.98425196850393704" bottom="0.98425196850393704" header="0.51181102362204722" footer="0.51181102362204722"/>
  <pageSetup scale="88" orientation="portrait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6" sqref="C6"/>
    </sheetView>
  </sheetViews>
  <sheetFormatPr defaultRowHeight="12.75" x14ac:dyDescent="0.2"/>
  <cols>
    <col min="1" max="1" width="31.28515625" bestFit="1" customWidth="1"/>
    <col min="2" max="2" width="18" customWidth="1"/>
    <col min="3" max="3" width="13.7109375" customWidth="1"/>
    <col min="4" max="4" width="14" bestFit="1" customWidth="1"/>
    <col min="5" max="5" width="16" customWidth="1"/>
    <col min="6" max="6" width="15.5703125" customWidth="1"/>
    <col min="7" max="7" width="20.140625" bestFit="1" customWidth="1"/>
    <col min="8" max="8" width="14.140625" bestFit="1" customWidth="1"/>
    <col min="9" max="9" width="17" bestFit="1" customWidth="1"/>
    <col min="10" max="10" width="14.140625" bestFit="1" customWidth="1"/>
    <col min="11" max="11" width="11.42578125" bestFit="1" customWidth="1"/>
    <col min="12" max="12" width="14.140625" bestFit="1" customWidth="1"/>
  </cols>
  <sheetData>
    <row r="1" spans="1:12" x14ac:dyDescent="0.2">
      <c r="A1" s="394">
        <f>+'Revenue Input'!A1</f>
        <v>0</v>
      </c>
      <c r="B1" s="394"/>
      <c r="C1" s="394"/>
      <c r="D1" s="394"/>
      <c r="E1" s="394"/>
      <c r="F1" s="394"/>
    </row>
    <row r="2" spans="1:12" x14ac:dyDescent="0.2">
      <c r="A2" s="404"/>
      <c r="B2" s="404"/>
      <c r="C2" s="404"/>
      <c r="D2" s="404"/>
      <c r="E2" s="404"/>
      <c r="F2" s="404"/>
    </row>
    <row r="3" spans="1:12" ht="20.25" x14ac:dyDescent="0.3">
      <c r="A3" s="440" t="s">
        <v>191</v>
      </c>
      <c r="B3" s="440"/>
      <c r="C3" s="440"/>
      <c r="D3" s="440"/>
      <c r="E3" s="440"/>
      <c r="F3" s="440"/>
    </row>
    <row r="4" spans="1:12" x14ac:dyDescent="0.2">
      <c r="A4" s="448"/>
      <c r="B4" s="448"/>
      <c r="C4" s="448"/>
      <c r="D4" s="448"/>
      <c r="E4" s="448"/>
      <c r="F4" s="448"/>
    </row>
    <row r="5" spans="1:12" ht="38.25" x14ac:dyDescent="0.2">
      <c r="A5" s="331" t="s">
        <v>0</v>
      </c>
      <c r="B5" s="327" t="s">
        <v>10</v>
      </c>
      <c r="C5" s="327" t="s">
        <v>11</v>
      </c>
      <c r="D5" s="327" t="s">
        <v>22</v>
      </c>
      <c r="E5" s="327" t="s">
        <v>20</v>
      </c>
      <c r="F5" s="331" t="s">
        <v>24</v>
      </c>
      <c r="G5" s="10"/>
      <c r="H5" s="327" t="s">
        <v>11</v>
      </c>
      <c r="I5" s="327" t="s">
        <v>20</v>
      </c>
      <c r="J5" s="10"/>
      <c r="K5" s="10"/>
      <c r="L5" s="10"/>
    </row>
    <row r="6" spans="1:12" ht="20.100000000000001" customHeight="1" x14ac:dyDescent="0.2">
      <c r="A6" s="196" t="str">
        <f>'Distribution Rate Schedule'!A9</f>
        <v>Residential</v>
      </c>
      <c r="B6" s="86">
        <f>+'Distribution Rate Schedule'!C9*'Forecast Data For2013'!C5*12</f>
        <v>6802165.8372318223</v>
      </c>
      <c r="C6" s="86">
        <f>+'Distribution Rate Schedule'!E9*'Forecast Data For2013'!C6</f>
        <v>4144596.957205609</v>
      </c>
      <c r="D6" s="209"/>
      <c r="E6" s="86">
        <f>+B6+C6+D6</f>
        <v>10946762.794437431</v>
      </c>
      <c r="F6" s="86">
        <f>+'Rates By Rate Class'!I6-'Rates By Rate Class'!H6</f>
        <v>10942756.350626804</v>
      </c>
      <c r="G6" s="11"/>
      <c r="H6" s="11">
        <f>C6+D6</f>
        <v>4144596.957205609</v>
      </c>
      <c r="I6" s="12">
        <f>B6+H6</f>
        <v>10946762.794437431</v>
      </c>
      <c r="J6" s="13"/>
      <c r="K6" s="13"/>
      <c r="L6" s="13"/>
    </row>
    <row r="7" spans="1:12" ht="20.100000000000001" customHeight="1" x14ac:dyDescent="0.2">
      <c r="A7" s="196" t="str">
        <f>'Distribution Rate Schedule'!A10</f>
        <v>GS &lt; 50 kW</v>
      </c>
      <c r="B7" s="86">
        <f>+'Distribution Rate Schedule'!C10*'Forecast Data For2013'!C7*12</f>
        <v>1399242.3359363596</v>
      </c>
      <c r="C7" s="86">
        <f>+'Distribution Rate Schedule'!E10*'Forecast Data For2013'!C8</f>
        <v>1760818.8785963603</v>
      </c>
      <c r="D7" s="209"/>
      <c r="E7" s="86">
        <f t="shared" ref="E7:E13" si="0">+B7+C7+D7</f>
        <v>3160061.2145327199</v>
      </c>
      <c r="F7" s="86">
        <f>+'Rates By Rate Class'!I7-'Rates By Rate Class'!H7</f>
        <v>3159861.9655528208</v>
      </c>
      <c r="G7" s="11"/>
      <c r="H7" s="11">
        <f t="shared" ref="H7:H13" si="1">C7+D7</f>
        <v>1760818.8785963603</v>
      </c>
      <c r="I7" s="12">
        <f t="shared" ref="I7:I14" si="2">B7+H7</f>
        <v>3160061.2145327199</v>
      </c>
      <c r="J7" s="13"/>
      <c r="K7" s="13"/>
      <c r="L7" s="13"/>
    </row>
    <row r="8" spans="1:12" ht="20.100000000000001" customHeight="1" x14ac:dyDescent="0.2">
      <c r="A8" s="196" t="str">
        <f>'Distribution Rate Schedule'!A11</f>
        <v>GS &gt;50 to 999 kW</v>
      </c>
      <c r="B8" s="86">
        <f>+'Distribution Rate Schedule'!C11*'Forecast Data For2013'!C9*12</f>
        <v>1206766.6266782074</v>
      </c>
      <c r="C8" s="86">
        <f>+'Distribution Rate Schedule'!D11*'Forecast Data For2013'!C10</f>
        <v>1947766.8857463209</v>
      </c>
      <c r="D8" s="209">
        <f>'Transformer Allowance'!C11</f>
        <v>-70602</v>
      </c>
      <c r="E8" s="86">
        <f>+B8+C8+D8</f>
        <v>3083931.5124245286</v>
      </c>
      <c r="F8" s="86">
        <f>+'Rates By Rate Class'!I8-'Rates By Rate Class'!H8</f>
        <v>3083973.1671972256</v>
      </c>
      <c r="G8" s="11"/>
      <c r="H8" s="11">
        <f t="shared" si="1"/>
        <v>1877164.8857463209</v>
      </c>
      <c r="I8" s="12">
        <f t="shared" si="2"/>
        <v>3083931.5124245286</v>
      </c>
      <c r="J8" s="13"/>
      <c r="K8" s="13"/>
      <c r="L8" s="13"/>
    </row>
    <row r="9" spans="1:12" ht="20.100000000000001" customHeight="1" x14ac:dyDescent="0.2">
      <c r="A9" s="196" t="str">
        <f>'Distribution Rate Schedule'!A12</f>
        <v>GS &gt;1000 to 4999 kW</v>
      </c>
      <c r="B9" s="86">
        <f>+'Distribution Rate Schedule'!C12*'Forecast Data For2013'!C12*12</f>
        <v>637157.40000000014</v>
      </c>
      <c r="C9" s="86">
        <f>+'Distribution Rate Schedule'!D12*'Forecast Data For2013'!C13</f>
        <v>1256111.3428277534</v>
      </c>
      <c r="D9" s="209">
        <f>'Transformer Allowance'!C12</f>
        <v>-329598</v>
      </c>
      <c r="E9" s="86">
        <f>+B9+C9+D9</f>
        <v>1563670.7428277535</v>
      </c>
      <c r="F9" s="86">
        <f>+'Rates By Rate Class'!I9-'Rates By Rate Class'!H9</f>
        <v>1563698.8888237935</v>
      </c>
      <c r="G9" s="11"/>
      <c r="H9" s="11">
        <f t="shared" si="1"/>
        <v>926513.3428277534</v>
      </c>
      <c r="I9" s="12">
        <f t="shared" si="2"/>
        <v>1563670.7428277535</v>
      </c>
      <c r="J9" s="13"/>
      <c r="K9" s="13"/>
      <c r="L9" s="13"/>
    </row>
    <row r="10" spans="1:12" ht="20.100000000000001" customHeight="1" x14ac:dyDescent="0.2">
      <c r="A10" s="196" t="str">
        <f>'Distribution Rate Schedule'!A13</f>
        <v>Large Use</v>
      </c>
      <c r="B10" s="86">
        <f>+'Distribution Rate Schedule'!C13*'Forecast Data For2013'!C15*12</f>
        <v>0</v>
      </c>
      <c r="C10" s="86"/>
      <c r="D10" s="209"/>
      <c r="E10" s="86"/>
      <c r="F10" s="86">
        <f>+'Rates By Rate Class'!I10-'Rates By Rate Class'!H10</f>
        <v>0</v>
      </c>
      <c r="G10" s="11"/>
      <c r="H10" s="11">
        <f t="shared" si="1"/>
        <v>0</v>
      </c>
      <c r="I10" s="12">
        <f t="shared" si="2"/>
        <v>0</v>
      </c>
      <c r="J10" s="13"/>
      <c r="K10" s="13"/>
      <c r="L10" s="13"/>
    </row>
    <row r="11" spans="1:12" ht="20.100000000000001" customHeight="1" x14ac:dyDescent="0.2">
      <c r="A11" s="196" t="str">
        <f>'Distribution Rate Schedule'!A14</f>
        <v>Sentinel Lights</v>
      </c>
      <c r="B11" s="86">
        <f>+'Distribution Rate Schedule'!B14*'Forecast Data For2013'!C18*12</f>
        <v>13470.936074203411</v>
      </c>
      <c r="C11" s="86">
        <f>+'Distribution Rate Schedule'!D14*'Forecast Data For2013'!C19</f>
        <v>1816.792566449272</v>
      </c>
      <c r="D11" s="209"/>
      <c r="E11" s="86">
        <f t="shared" si="0"/>
        <v>15287.728640652684</v>
      </c>
      <c r="F11" s="86">
        <f>+'Rates By Rate Class'!I11-'Rates By Rate Class'!H11</f>
        <v>15287.761900214278</v>
      </c>
      <c r="G11" s="11"/>
      <c r="H11" s="11">
        <f t="shared" si="1"/>
        <v>1816.792566449272</v>
      </c>
      <c r="I11" s="12">
        <f t="shared" si="2"/>
        <v>15287.728640652684</v>
      </c>
      <c r="J11" s="13"/>
      <c r="K11" s="13"/>
      <c r="L11" s="13"/>
    </row>
    <row r="12" spans="1:12" ht="20.100000000000001" customHeight="1" x14ac:dyDescent="0.2">
      <c r="A12" s="196" t="str">
        <f>'Distribution Rate Schedule'!A15</f>
        <v>Street Lighting</v>
      </c>
      <c r="B12" s="86">
        <f>+'Distribution Rate Schedule'!B15*'Forecast Data For2013'!C21*12</f>
        <v>175635.53554217561</v>
      </c>
      <c r="C12" s="86">
        <f>+'Distribution Rate Schedule'!D15*'Forecast Data For2013'!C22</f>
        <v>210934.35743142551</v>
      </c>
      <c r="D12" s="209"/>
      <c r="E12" s="86">
        <f t="shared" si="0"/>
        <v>386569.89297360112</v>
      </c>
      <c r="F12" s="86">
        <f>+'Rates By Rate Class'!I12-'Rates By Rate Class'!H12</f>
        <v>386561.47382101254</v>
      </c>
      <c r="G12" s="11"/>
      <c r="H12" s="11">
        <f t="shared" si="1"/>
        <v>210934.35743142551</v>
      </c>
      <c r="I12" s="12">
        <f t="shared" si="2"/>
        <v>386569.89297360112</v>
      </c>
      <c r="J12" s="13"/>
      <c r="K12" s="13"/>
      <c r="L12" s="13"/>
    </row>
    <row r="13" spans="1:12" ht="20.100000000000001" customHeight="1" x14ac:dyDescent="0.2">
      <c r="A13" s="196" t="str">
        <f>'Distribution Rate Schedule'!A16</f>
        <v>Unmetered and Scattered</v>
      </c>
      <c r="B13" s="86">
        <f>+'Distribution Rate Schedule'!B16*'Forecast Data For2013'!C24*12</f>
        <v>38521.311900558139</v>
      </c>
      <c r="C13" s="86">
        <f>+'Distribution Rate Schedule'!E16*'Forecast Data For2013'!C25</f>
        <v>20046.577207448878</v>
      </c>
      <c r="D13" s="209"/>
      <c r="E13" s="86">
        <f t="shared" si="0"/>
        <v>58567.889108007017</v>
      </c>
      <c r="F13" s="86">
        <f>+'Rates By Rate Class'!I13-'Rates By Rate Class'!H13</f>
        <v>58473.484141313391</v>
      </c>
      <c r="G13" s="11"/>
      <c r="H13" s="11">
        <f t="shared" si="1"/>
        <v>20046.577207448878</v>
      </c>
      <c r="I13" s="12">
        <f t="shared" si="2"/>
        <v>58567.889108007017</v>
      </c>
      <c r="J13" s="13"/>
      <c r="K13" s="13"/>
      <c r="L13" s="13"/>
    </row>
    <row r="14" spans="1:12" ht="31.5" customHeight="1" thickBot="1" x14ac:dyDescent="0.25">
      <c r="A14" s="50" t="s">
        <v>23</v>
      </c>
      <c r="B14" s="173">
        <f>SUM(B6:B13)</f>
        <v>10272959.983363327</v>
      </c>
      <c r="C14" s="173">
        <f>SUM(C6:C13)</f>
        <v>9342091.7915813643</v>
      </c>
      <c r="D14" s="210">
        <f>SUM(D6:D13)</f>
        <v>-400200</v>
      </c>
      <c r="E14" s="173">
        <f>SUM(E6:E13)</f>
        <v>19214851.774944693</v>
      </c>
      <c r="F14" s="173">
        <f>SUM(F6:F13)</f>
        <v>19210613.092063185</v>
      </c>
      <c r="G14" s="14"/>
      <c r="H14" s="14">
        <f>SUM(H6:H13)</f>
        <v>8941891.7915813643</v>
      </c>
      <c r="I14" s="14">
        <f t="shared" si="2"/>
        <v>19214851.774944693</v>
      </c>
      <c r="J14" s="14"/>
      <c r="K14" s="14"/>
      <c r="L14" s="14"/>
    </row>
    <row r="15" spans="1:12" ht="13.5" thickTop="1" x14ac:dyDescent="0.2">
      <c r="F15" s="8"/>
      <c r="G15" s="15"/>
      <c r="H15" s="15"/>
      <c r="I15" s="15"/>
      <c r="J15" s="15"/>
      <c r="K15" s="15"/>
      <c r="L15" s="15"/>
    </row>
    <row r="16" spans="1:12" x14ac:dyDescent="0.2">
      <c r="E16" s="449" t="s">
        <v>80</v>
      </c>
      <c r="F16" s="449"/>
      <c r="G16" s="7"/>
    </row>
    <row r="17" spans="5:6" x14ac:dyDescent="0.2">
      <c r="E17" s="302"/>
      <c r="F17" s="7"/>
    </row>
    <row r="18" spans="5:6" ht="13.5" thickBot="1" x14ac:dyDescent="0.25">
      <c r="E18" s="303">
        <f>+F14-E14</f>
        <v>-4238.6828815080225</v>
      </c>
      <c r="F18" s="7"/>
    </row>
    <row r="21" spans="5:6" x14ac:dyDescent="0.2">
      <c r="E21" s="8"/>
    </row>
  </sheetData>
  <mergeCells count="5">
    <mergeCell ref="A4:F4"/>
    <mergeCell ref="E16:F16"/>
    <mergeCell ref="A3:F3"/>
    <mergeCell ref="A1:F1"/>
    <mergeCell ref="A2:F2"/>
  </mergeCells>
  <phoneticPr fontId="0" type="noConversion"/>
  <pageMargins left="0.74803149606299213" right="0.74803149606299213" top="0.98425196850393704" bottom="0.98425196850393704" header="0.51181102362204722" footer="0.51181102362204722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A23" sqref="A23:H23"/>
    </sheetView>
  </sheetViews>
  <sheetFormatPr defaultRowHeight="12.75" x14ac:dyDescent="0.2"/>
  <cols>
    <col min="1" max="1" width="41.85546875" bestFit="1" customWidth="1"/>
    <col min="2" max="2" width="16" bestFit="1" customWidth="1"/>
    <col min="3" max="4" width="12.7109375" customWidth="1"/>
    <col min="5" max="5" width="13.140625" customWidth="1"/>
    <col min="6" max="6" width="12.28515625" customWidth="1"/>
    <col min="7" max="7" width="17" bestFit="1" customWidth="1"/>
    <col min="8" max="8" width="15.42578125" bestFit="1" customWidth="1"/>
    <col min="9" max="9" width="17" bestFit="1" customWidth="1"/>
  </cols>
  <sheetData>
    <row r="1" spans="1:10" x14ac:dyDescent="0.2">
      <c r="A1" s="394">
        <f>+'Revenue Input'!A1</f>
        <v>0</v>
      </c>
      <c r="B1" s="394"/>
      <c r="C1" s="394"/>
      <c r="D1" s="394"/>
      <c r="E1" s="394"/>
      <c r="F1" s="394"/>
      <c r="G1" s="394"/>
      <c r="H1" s="394"/>
      <c r="I1" s="394"/>
    </row>
    <row r="2" spans="1:10" ht="7.5" customHeight="1" x14ac:dyDescent="0.2">
      <c r="A2" s="404"/>
      <c r="B2" s="404"/>
      <c r="C2" s="404"/>
      <c r="D2" s="404"/>
      <c r="E2" s="404"/>
      <c r="F2" s="404"/>
      <c r="G2" s="404"/>
      <c r="H2" s="404"/>
      <c r="I2" s="404"/>
    </row>
    <row r="3" spans="1:10" ht="15.75" x14ac:dyDescent="0.25">
      <c r="A3" s="414" t="s">
        <v>187</v>
      </c>
      <c r="B3" s="414"/>
      <c r="C3" s="414"/>
      <c r="D3" s="414"/>
      <c r="E3" s="414"/>
      <c r="F3" s="414"/>
      <c r="G3" s="414"/>
      <c r="H3" s="414"/>
      <c r="I3" s="414"/>
    </row>
    <row r="4" spans="1:10" ht="8.25" customHeight="1" x14ac:dyDescent="0.25">
      <c r="A4" s="414"/>
      <c r="B4" s="414"/>
      <c r="C4" s="414"/>
      <c r="D4" s="414"/>
      <c r="E4" s="414"/>
      <c r="F4" s="414"/>
      <c r="G4" s="414"/>
      <c r="H4" s="414"/>
      <c r="I4" s="414"/>
    </row>
    <row r="5" spans="1:10" ht="38.25" x14ac:dyDescent="0.2">
      <c r="A5" s="331" t="s">
        <v>0</v>
      </c>
      <c r="B5" s="327" t="s">
        <v>6</v>
      </c>
      <c r="C5" s="327" t="s">
        <v>7</v>
      </c>
      <c r="D5" s="327" t="s">
        <v>8</v>
      </c>
      <c r="E5" s="327" t="s">
        <v>9</v>
      </c>
      <c r="F5" s="327" t="s">
        <v>18</v>
      </c>
      <c r="G5" s="327" t="s">
        <v>10</v>
      </c>
      <c r="H5" s="327" t="s">
        <v>11</v>
      </c>
      <c r="I5" s="327" t="s">
        <v>62</v>
      </c>
    </row>
    <row r="6" spans="1:10" ht="20.100000000000001" customHeight="1" x14ac:dyDescent="0.2">
      <c r="A6" s="197" t="str">
        <f>'Dist. Rev. Reconciliation'!A6</f>
        <v>Residential</v>
      </c>
      <c r="B6" s="174">
        <f>+'Forecast Data For2013'!$C$6</f>
        <v>339721062.06603348</v>
      </c>
      <c r="C6" s="174"/>
      <c r="D6" s="174"/>
      <c r="E6" s="174">
        <f>+'Forecast Data For2013'!$C$5*12</f>
        <v>538572.11696213949</v>
      </c>
      <c r="F6" s="174"/>
      <c r="G6" s="200">
        <f>+E6*'2012 Existing Rates'!$C$6</f>
        <v>6310269.970406401</v>
      </c>
      <c r="H6" s="200">
        <f>+B6*('2012 Existing Rates'!$E$6)</f>
        <v>4212541.1696188152</v>
      </c>
      <c r="I6" s="200">
        <f>+G6+H6</f>
        <v>10522811.140025217</v>
      </c>
      <c r="J6" s="48"/>
    </row>
    <row r="7" spans="1:10" ht="20.100000000000001" customHeight="1" x14ac:dyDescent="0.2">
      <c r="A7" s="197" t="str">
        <f>'Dist. Rev. Reconciliation'!A7</f>
        <v>GS &lt; 50 kW</v>
      </c>
      <c r="B7" s="174">
        <f>+'Forecast Data For2013'!$C$8</f>
        <v>131404393.92510152</v>
      </c>
      <c r="C7" s="174"/>
      <c r="D7" s="174"/>
      <c r="E7" s="174">
        <f>+'Forecast Data For2013'!$C$7*12</f>
        <v>53899.93589893527</v>
      </c>
      <c r="F7" s="174"/>
      <c r="G7" s="200">
        <f>+E7*'2012 Existing Rates'!$C$7</f>
        <v>1330340.2512122206</v>
      </c>
      <c r="H7" s="200">
        <f>+B7*('2012 Existing Rates'!$E$7)</f>
        <v>1708257.1210263197</v>
      </c>
      <c r="I7" s="200">
        <f t="shared" ref="I7:I13" si="0">+G7+H7</f>
        <v>3038597.3722385401</v>
      </c>
      <c r="J7" s="48"/>
    </row>
    <row r="8" spans="1:10" ht="20.100000000000001" customHeight="1" x14ac:dyDescent="0.2">
      <c r="A8" s="197" t="str">
        <f>'Dist. Rev. Reconciliation'!A8</f>
        <v>GS &gt;50 to 999 kW</v>
      </c>
      <c r="B8" s="174">
        <f>+'Forecast Data For2013'!$C$11</f>
        <v>288398369.19726437</v>
      </c>
      <c r="C8" s="174">
        <f>+'Forecast Data For2013'!$C$10</f>
        <v>783588.88270761597</v>
      </c>
      <c r="D8" s="174">
        <f>'Transformer Allowance'!B11</f>
        <v>117670</v>
      </c>
      <c r="E8" s="174">
        <f>+'Forecast Data For2013'!$C$9*12</f>
        <v>6178.0915715876072</v>
      </c>
      <c r="F8" s="174"/>
      <c r="G8" s="200">
        <f>+E8*'2012 Existing Rates'!$C$8</f>
        <v>1493738.9801784516</v>
      </c>
      <c r="H8" s="200">
        <f>+C8*('2012 Existing Rates'!$D$8)</f>
        <v>1065915.9571471701</v>
      </c>
      <c r="I8" s="200">
        <f t="shared" si="0"/>
        <v>2559654.937325622</v>
      </c>
      <c r="J8" s="48"/>
    </row>
    <row r="9" spans="1:10" ht="20.100000000000001" customHeight="1" x14ac:dyDescent="0.2">
      <c r="A9" s="197" t="str">
        <f>'Dist. Rev. Reconciliation'!A9</f>
        <v>GS &gt;1000 to 4999 kW</v>
      </c>
      <c r="B9" s="174">
        <f>+'Forecast Data For2013'!$C$14</f>
        <v>183532884.44497463</v>
      </c>
      <c r="C9" s="174">
        <f>+'Forecast Data For2013'!$C$13</f>
        <v>568916.77287365973</v>
      </c>
      <c r="D9" s="174">
        <f>'Transformer Allowance'!B12</f>
        <v>549330</v>
      </c>
      <c r="E9" s="174">
        <f>+'Forecast Data For2013'!$C$12*12</f>
        <v>228.00000000000006</v>
      </c>
      <c r="F9" s="174"/>
      <c r="G9" s="200">
        <f>+E9*'2012 Existing Rates'!$C$9</f>
        <v>637157.40000000026</v>
      </c>
      <c r="H9" s="200">
        <f>+C9*('2012 Existing Rates'!$D$9)</f>
        <v>1269480.8869902843</v>
      </c>
      <c r="I9" s="200">
        <f>+G9+H9</f>
        <v>1906638.2869902845</v>
      </c>
      <c r="J9" s="48"/>
    </row>
    <row r="10" spans="1:10" ht="20.100000000000001" customHeight="1" x14ac:dyDescent="0.2">
      <c r="A10" s="197" t="str">
        <f>'Dist. Rev. Reconciliation'!A10</f>
        <v>Large Use</v>
      </c>
      <c r="B10" s="174">
        <f>'Forecast Data For2013'!C17</f>
        <v>0</v>
      </c>
      <c r="C10" s="174">
        <f>+'Forecast Data For2013'!$C$16</f>
        <v>0</v>
      </c>
      <c r="D10" s="174">
        <f>'Transformer Allowance'!B13</f>
        <v>0</v>
      </c>
      <c r="E10" s="174">
        <f>+'Forecast Data For2013'!$C$15*12</f>
        <v>0</v>
      </c>
      <c r="F10" s="174"/>
      <c r="G10" s="200">
        <f>+E10*'2012 Existing Rates'!$C$10</f>
        <v>0</v>
      </c>
      <c r="H10" s="200">
        <f>+C10*('2012 Existing Rates'!$D$10)</f>
        <v>0</v>
      </c>
      <c r="I10" s="200">
        <f t="shared" si="0"/>
        <v>0</v>
      </c>
      <c r="J10" s="48"/>
    </row>
    <row r="11" spans="1:10" ht="20.100000000000001" customHeight="1" x14ac:dyDescent="0.2">
      <c r="A11" s="197" t="str">
        <f>'Dist. Rev. Reconciliation'!A11</f>
        <v>Sentinel Lights</v>
      </c>
      <c r="B11" s="174">
        <f>+'Forecast Data For2013'!$C$20</f>
        <v>122482.69142151311</v>
      </c>
      <c r="C11" s="174">
        <f>+'Forecast Data For2013'!$C$19</f>
        <v>340.22969839309201</v>
      </c>
      <c r="D11" s="174"/>
      <c r="E11" s="174"/>
      <c r="F11" s="174">
        <f>+'Forecast Data For2013'!$C$18*12</f>
        <v>2024.0610743461566</v>
      </c>
      <c r="G11" s="200">
        <f>+F11*'2012 Existing Rates'!$B$11</f>
        <v>12953.990875815403</v>
      </c>
      <c r="H11" s="200">
        <f>+C11*('2012 Existing Rates'!$D$11)</f>
        <v>1747.0795012485273</v>
      </c>
      <c r="I11" s="200">
        <f t="shared" si="0"/>
        <v>14701.07037706393</v>
      </c>
      <c r="J11" s="48"/>
    </row>
    <row r="12" spans="1:10" ht="20.100000000000001" customHeight="1" x14ac:dyDescent="0.2">
      <c r="A12" s="197" t="str">
        <f>'Dist. Rev. Reconciliation'!A12</f>
        <v>Street Lighting</v>
      </c>
      <c r="B12" s="174">
        <f>+'Forecast Data For2013'!$C$23</f>
        <v>11183615.245140083</v>
      </c>
      <c r="C12" s="174">
        <f>+'Forecast Data For2013'!$C$22</f>
        <v>31502.017268989308</v>
      </c>
      <c r="D12" s="174"/>
      <c r="E12" s="174"/>
      <c r="F12" s="174">
        <f>+'Forecast Data For2013'!$C$21*12</f>
        <v>158601.71170505293</v>
      </c>
      <c r="G12" s="200">
        <f>+F12*'2012 Existing Rates'!$B$12</f>
        <v>342579.69728291436</v>
      </c>
      <c r="H12" s="200">
        <f>+C12*('2012 Existing Rates'!$D$12)</f>
        <v>411447.84755026933</v>
      </c>
      <c r="I12" s="200">
        <f t="shared" si="0"/>
        <v>754027.54483318375</v>
      </c>
      <c r="J12" s="48"/>
    </row>
    <row r="13" spans="1:10" ht="20.100000000000001" customHeight="1" x14ac:dyDescent="0.2">
      <c r="A13" s="197" t="str">
        <f>'Dist. Rev. Reconciliation'!A13</f>
        <v>Unmetered and Scattered</v>
      </c>
      <c r="B13" s="174">
        <f>+'Forecast Data For2013'!$C$25</f>
        <v>2024906.7886311996</v>
      </c>
      <c r="C13" s="174"/>
      <c r="D13" s="174"/>
      <c r="E13" s="174"/>
      <c r="F13" s="174">
        <f>+'Forecast Data For2013'!$C$24*12</f>
        <v>5703.9034427420065</v>
      </c>
      <c r="G13" s="200">
        <f>+F13*'2012 Existing Rates'!$B$13</f>
        <v>50821.779674831276</v>
      </c>
      <c r="H13" s="200">
        <f>+B13*('2012 Existing Rates'!$E$13)</f>
        <v>26323.788252205595</v>
      </c>
      <c r="I13" s="200">
        <f t="shared" si="0"/>
        <v>77145.567927036871</v>
      </c>
      <c r="J13" s="48"/>
    </row>
    <row r="14" spans="1:10" ht="24.75" customHeight="1" thickBot="1" x14ac:dyDescent="0.25">
      <c r="A14" s="50" t="s">
        <v>31</v>
      </c>
      <c r="B14" s="175">
        <f t="shared" ref="B14:I14" si="1">SUM(B6:B13)</f>
        <v>956387714.35856676</v>
      </c>
      <c r="C14" s="175">
        <f t="shared" si="1"/>
        <v>1384347.902548658</v>
      </c>
      <c r="D14" s="175">
        <f t="shared" si="1"/>
        <v>667000</v>
      </c>
      <c r="E14" s="175">
        <f t="shared" si="1"/>
        <v>598878.1444326624</v>
      </c>
      <c r="F14" s="175">
        <f t="shared" si="1"/>
        <v>166329.6762221411</v>
      </c>
      <c r="G14" s="175">
        <f>SUM(G6:G13)</f>
        <v>10177862.069630636</v>
      </c>
      <c r="H14" s="175">
        <f t="shared" si="1"/>
        <v>8695713.8500863146</v>
      </c>
      <c r="I14" s="175">
        <f t="shared" si="1"/>
        <v>18873575.919716947</v>
      </c>
    </row>
    <row r="15" spans="1:10" ht="9.75" customHeight="1" thickTop="1" x14ac:dyDescent="0.2">
      <c r="A15" s="404"/>
      <c r="B15" s="404"/>
      <c r="C15" s="404"/>
      <c r="D15" s="404"/>
      <c r="E15" s="404"/>
      <c r="F15" s="404"/>
      <c r="G15" s="404"/>
      <c r="H15" s="404"/>
      <c r="I15" s="404"/>
    </row>
    <row r="16" spans="1:10" ht="18" customHeight="1" x14ac:dyDescent="0.2">
      <c r="A16" s="450" t="s">
        <v>71</v>
      </c>
      <c r="B16" s="404"/>
      <c r="C16" s="404"/>
      <c r="D16" s="404"/>
      <c r="E16" s="404"/>
      <c r="F16" s="404"/>
      <c r="G16" s="404"/>
      <c r="H16" s="404"/>
      <c r="I16" s="7"/>
    </row>
    <row r="17" spans="1:11" ht="18" customHeight="1" x14ac:dyDescent="0.2">
      <c r="A17" s="451" t="str">
        <f>A8</f>
        <v>GS &gt;50 to 999 kW</v>
      </c>
      <c r="B17" s="404"/>
      <c r="C17" s="404"/>
      <c r="D17" s="404"/>
      <c r="E17" s="404"/>
      <c r="F17" s="404"/>
      <c r="G17" s="404"/>
      <c r="H17" s="404"/>
      <c r="I17" s="344">
        <f>'Transformer Allowance'!C11</f>
        <v>-70602</v>
      </c>
    </row>
    <row r="18" spans="1:11" ht="18" customHeight="1" x14ac:dyDescent="0.2">
      <c r="A18" s="255" t="str">
        <f>+A9</f>
        <v>GS &gt;1000 to 4999 kW</v>
      </c>
      <c r="B18" s="7"/>
      <c r="C18" s="7"/>
      <c r="D18" s="7"/>
      <c r="E18" s="7"/>
      <c r="F18" s="7"/>
      <c r="G18" s="7"/>
      <c r="H18" s="7"/>
      <c r="I18" s="344">
        <f>'Transformer Allowance'!C12</f>
        <v>-329598</v>
      </c>
    </row>
    <row r="19" spans="1:11" ht="18" customHeight="1" x14ac:dyDescent="0.2">
      <c r="A19" s="451" t="str">
        <f>A10</f>
        <v>Large Use</v>
      </c>
      <c r="B19" s="404"/>
      <c r="C19" s="404"/>
      <c r="D19" s="404"/>
      <c r="E19" s="404"/>
      <c r="F19" s="404"/>
      <c r="G19" s="404"/>
      <c r="H19" s="404"/>
      <c r="I19" s="202">
        <f>'Transformer Allowance'!C13</f>
        <v>0</v>
      </c>
    </row>
    <row r="20" spans="1:11" ht="8.1" customHeight="1" x14ac:dyDescent="0.2">
      <c r="A20" s="404"/>
      <c r="B20" s="404"/>
      <c r="C20" s="404"/>
      <c r="D20" s="404"/>
      <c r="E20" s="404"/>
      <c r="F20" s="404"/>
      <c r="G20" s="404"/>
      <c r="H20" s="404"/>
      <c r="I20" s="202"/>
    </row>
    <row r="21" spans="1:11" ht="18" customHeight="1" thickBot="1" x14ac:dyDescent="0.25">
      <c r="A21" s="406" t="s">
        <v>72</v>
      </c>
      <c r="B21" s="406"/>
      <c r="C21" s="406"/>
      <c r="D21" s="406"/>
      <c r="E21" s="406"/>
      <c r="F21" s="406"/>
      <c r="G21" s="406"/>
      <c r="H21" s="406"/>
      <c r="I21" s="203">
        <f>+I14+I17+I18+I19</f>
        <v>18473375.919716947</v>
      </c>
    </row>
    <row r="22" spans="1:11" ht="8.1" customHeight="1" thickTop="1" x14ac:dyDescent="0.2">
      <c r="A22" s="404"/>
      <c r="B22" s="404"/>
      <c r="C22" s="404"/>
      <c r="D22" s="404"/>
      <c r="E22" s="404"/>
      <c r="F22" s="404"/>
      <c r="G22" s="404"/>
      <c r="H22" s="404"/>
      <c r="I22" s="204"/>
    </row>
    <row r="23" spans="1:11" ht="18" customHeight="1" x14ac:dyDescent="0.2">
      <c r="A23" s="448" t="s">
        <v>69</v>
      </c>
      <c r="B23" s="448"/>
      <c r="C23" s="448"/>
      <c r="D23" s="448"/>
      <c r="E23" s="448"/>
      <c r="F23" s="448"/>
      <c r="G23" s="448"/>
      <c r="H23" s="448"/>
      <c r="I23" s="205"/>
    </row>
    <row r="24" spans="1:11" ht="18" customHeight="1" thickBot="1" x14ac:dyDescent="0.25">
      <c r="A24" s="406" t="s">
        <v>70</v>
      </c>
      <c r="B24" s="406"/>
      <c r="C24" s="406"/>
      <c r="D24" s="406"/>
      <c r="E24" s="406"/>
      <c r="F24" s="406"/>
      <c r="G24" s="406"/>
      <c r="H24" s="406"/>
      <c r="I24" s="206">
        <f>+I21+I23</f>
        <v>18473375.919716947</v>
      </c>
    </row>
    <row r="25" spans="1:11" x14ac:dyDescent="0.2">
      <c r="A25" s="404"/>
      <c r="B25" s="404"/>
      <c r="C25" s="404"/>
      <c r="D25" s="404"/>
      <c r="E25" s="404"/>
      <c r="F25" s="404"/>
      <c r="G25" s="404"/>
      <c r="H25" s="404"/>
      <c r="I25" s="204"/>
    </row>
    <row r="26" spans="1:11" ht="13.5" thickBot="1" x14ac:dyDescent="0.25">
      <c r="A26" s="406" t="s">
        <v>196</v>
      </c>
      <c r="B26" s="406"/>
      <c r="C26" s="406"/>
      <c r="D26" s="406"/>
      <c r="E26" s="406"/>
      <c r="F26" s="406"/>
      <c r="G26" s="406"/>
      <c r="H26" s="406"/>
      <c r="I26" s="206">
        <f>'Dist. Rev. Reconciliation'!E14</f>
        <v>19214851.774944693</v>
      </c>
    </row>
    <row r="27" spans="1:11" ht="13.5" thickBot="1" x14ac:dyDescent="0.25">
      <c r="A27" s="406" t="s">
        <v>197</v>
      </c>
      <c r="B27" s="406"/>
      <c r="C27" s="406"/>
      <c r="D27" s="406"/>
      <c r="E27" s="406"/>
      <c r="F27" s="406"/>
      <c r="G27" s="406"/>
      <c r="H27" s="406"/>
      <c r="I27" s="206">
        <f>'Dist. Rev. Reconciliation'!E18</f>
        <v>-4238.6828815080225</v>
      </c>
    </row>
    <row r="28" spans="1:11" ht="13.5" thickBot="1" x14ac:dyDescent="0.25">
      <c r="A28" s="406" t="s">
        <v>198</v>
      </c>
      <c r="B28" s="406"/>
      <c r="C28" s="406"/>
      <c r="D28" s="406"/>
      <c r="E28" s="406"/>
      <c r="F28" s="406"/>
      <c r="G28" s="406"/>
      <c r="H28" s="406"/>
      <c r="I28" s="206">
        <f>SUM(I26:I27)</f>
        <v>19210613.092063185</v>
      </c>
    </row>
    <row r="29" spans="1:11" ht="8.1" customHeight="1" x14ac:dyDescent="0.2">
      <c r="A29" s="404"/>
      <c r="B29" s="404"/>
      <c r="C29" s="404"/>
      <c r="D29" s="404"/>
      <c r="E29" s="404"/>
      <c r="F29" s="404"/>
      <c r="G29" s="404"/>
      <c r="H29" s="404"/>
      <c r="I29" s="207"/>
    </row>
    <row r="30" spans="1:11" ht="18" customHeight="1" thickBot="1" x14ac:dyDescent="0.25">
      <c r="A30" s="406" t="s">
        <v>199</v>
      </c>
      <c r="B30" s="406"/>
      <c r="C30" s="406"/>
      <c r="D30" s="406"/>
      <c r="E30" s="406"/>
      <c r="F30" s="406"/>
      <c r="G30" s="406"/>
      <c r="H30" s="406"/>
      <c r="I30" s="343">
        <f>+I28-I24</f>
        <v>737237.17234623805</v>
      </c>
    </row>
    <row r="31" spans="1:11" ht="13.5" thickTop="1" x14ac:dyDescent="0.2"/>
    <row r="32" spans="1:11" x14ac:dyDescent="0.2">
      <c r="A32" s="406" t="s">
        <v>200</v>
      </c>
      <c r="B32" s="406"/>
      <c r="C32" s="406"/>
      <c r="D32" s="406"/>
      <c r="E32" s="406"/>
      <c r="F32" s="406"/>
      <c r="G32" s="406"/>
      <c r="H32" s="406"/>
      <c r="I32" s="345">
        <v>737237.17234623758</v>
      </c>
      <c r="J32" s="15"/>
      <c r="K32" s="15"/>
    </row>
    <row r="33" spans="1:11" x14ac:dyDescent="0.2">
      <c r="G33" s="15"/>
      <c r="H33" s="15"/>
      <c r="I33" s="15"/>
      <c r="J33" s="15"/>
      <c r="K33" s="15"/>
    </row>
    <row r="34" spans="1:11" x14ac:dyDescent="0.2">
      <c r="A34" s="2" t="s">
        <v>201</v>
      </c>
      <c r="I34" s="8">
        <f>I30-I32</f>
        <v>0</v>
      </c>
    </row>
  </sheetData>
  <mergeCells count="20">
    <mergeCell ref="A22:H22"/>
    <mergeCell ref="A23:H23"/>
    <mergeCell ref="A30:H30"/>
    <mergeCell ref="A24:H24"/>
    <mergeCell ref="A25:H25"/>
    <mergeCell ref="A1:I1"/>
    <mergeCell ref="A2:I2"/>
    <mergeCell ref="A20:H20"/>
    <mergeCell ref="A21:H21"/>
    <mergeCell ref="A3:I3"/>
    <mergeCell ref="A4:I4"/>
    <mergeCell ref="A15:I15"/>
    <mergeCell ref="A16:H16"/>
    <mergeCell ref="A17:H17"/>
    <mergeCell ref="A19:H19"/>
    <mergeCell ref="A26:H26"/>
    <mergeCell ref="A29:H29"/>
    <mergeCell ref="A27:H27"/>
    <mergeCell ref="A28:H28"/>
    <mergeCell ref="A32:H32"/>
  </mergeCells>
  <phoneticPr fontId="0" type="noConversion"/>
  <pageMargins left="0.74803149606299213" right="0.74803149606299213" top="0.98425196850393704" bottom="0.98425196850393704" header="0.51181102362204722" footer="0.51181102362204722"/>
  <pageSetup scale="78" orientation="landscape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2.75" x14ac:dyDescent="0.2"/>
  <cols>
    <col min="1" max="1" width="22.7109375" customWidth="1"/>
    <col min="2" max="2" width="15.28515625" customWidth="1"/>
    <col min="4" max="4" width="16.85546875" customWidth="1"/>
    <col min="7" max="7" width="20.7109375" bestFit="1" customWidth="1"/>
    <col min="8" max="8" width="10.85546875" bestFit="1" customWidth="1"/>
    <col min="11" max="11" width="22.85546875" customWidth="1"/>
  </cols>
  <sheetData>
    <row r="1" spans="1:5" x14ac:dyDescent="0.2">
      <c r="A1" s="258" t="s">
        <v>143</v>
      </c>
    </row>
    <row r="2" spans="1:5" x14ac:dyDescent="0.2">
      <c r="A2" s="452" t="s">
        <v>133</v>
      </c>
      <c r="B2" s="453"/>
      <c r="C2" s="453"/>
      <c r="D2" s="453"/>
      <c r="E2" s="454"/>
    </row>
    <row r="3" spans="1:5" x14ac:dyDescent="0.2">
      <c r="A3" s="455" t="s">
        <v>132</v>
      </c>
      <c r="B3" s="456"/>
      <c r="C3" s="456"/>
      <c r="D3" s="456"/>
      <c r="E3" s="457"/>
    </row>
    <row r="4" spans="1:5" ht="54" customHeight="1" x14ac:dyDescent="0.2">
      <c r="A4" s="269" t="s">
        <v>134</v>
      </c>
      <c r="B4" s="263" t="s">
        <v>172</v>
      </c>
      <c r="C4" s="263" t="s">
        <v>135</v>
      </c>
      <c r="D4" s="263" t="s">
        <v>136</v>
      </c>
      <c r="E4" s="263" t="s">
        <v>135</v>
      </c>
    </row>
    <row r="5" spans="1:5" ht="15" customHeight="1" x14ac:dyDescent="0.2">
      <c r="A5" s="261" t="s">
        <v>103</v>
      </c>
      <c r="B5" s="267">
        <v>5358896</v>
      </c>
      <c r="C5" s="268">
        <f>+B5/$B$13</f>
        <v>0.54943785848978455</v>
      </c>
      <c r="D5" s="267">
        <f>+'Cost Allocation Study'!B5</f>
        <v>12046607.780931167</v>
      </c>
      <c r="E5" s="268">
        <f>+D5/$D$13</f>
        <v>0.5739592271020747</v>
      </c>
    </row>
    <row r="6" spans="1:5" ht="15" customHeight="1" x14ac:dyDescent="0.2">
      <c r="A6" s="261" t="s">
        <v>137</v>
      </c>
      <c r="B6" s="267">
        <v>1289836</v>
      </c>
      <c r="C6" s="268">
        <f t="shared" ref="C6:C12" si="0">+B6/$B$13</f>
        <v>0.13224453873391639</v>
      </c>
      <c r="D6" s="267">
        <f>+'Cost Allocation Study'!B6</f>
        <v>3302193.2401950755</v>
      </c>
      <c r="E6" s="268">
        <f t="shared" ref="E6:E12" si="1">+D6/$D$13</f>
        <v>0.15733261299369358</v>
      </c>
    </row>
    <row r="7" spans="1:5" ht="15" customHeight="1" x14ac:dyDescent="0.2">
      <c r="A7" s="261" t="s">
        <v>138</v>
      </c>
      <c r="B7" s="267">
        <v>1708476</v>
      </c>
      <c r="C7" s="268">
        <f t="shared" si="0"/>
        <v>0.17516693638413455</v>
      </c>
      <c r="D7" s="267">
        <f>+'Cost Allocation Study'!B7</f>
        <v>3846054.7527243984</v>
      </c>
      <c r="E7" s="268">
        <f t="shared" si="1"/>
        <v>0.18324483152512208</v>
      </c>
    </row>
    <row r="8" spans="1:5" ht="15" customHeight="1" x14ac:dyDescent="0.2">
      <c r="A8" s="261" t="s">
        <v>139</v>
      </c>
      <c r="B8" s="267">
        <v>526345</v>
      </c>
      <c r="C8" s="268">
        <f t="shared" si="0"/>
        <v>5.3965195373600387E-2</v>
      </c>
      <c r="D8" s="267">
        <f>+'Cost Allocation Study'!B8</f>
        <v>1378291.6071042907</v>
      </c>
      <c r="E8" s="268">
        <f t="shared" si="1"/>
        <v>6.5668543370946089E-2</v>
      </c>
    </row>
    <row r="9" spans="1:5" ht="15" customHeight="1" x14ac:dyDescent="0.2">
      <c r="A9" s="261" t="s">
        <v>140</v>
      </c>
      <c r="B9" s="267">
        <v>421280</v>
      </c>
      <c r="C9" s="268">
        <f t="shared" si="0"/>
        <v>4.3193072047783054E-2</v>
      </c>
      <c r="D9" s="267">
        <f>+'Cost Allocation Study'!B9</f>
        <v>0</v>
      </c>
      <c r="E9" s="268">
        <f t="shared" si="1"/>
        <v>0</v>
      </c>
    </row>
    <row r="10" spans="1:5" ht="15" customHeight="1" x14ac:dyDescent="0.2">
      <c r="A10" s="261" t="s">
        <v>141</v>
      </c>
      <c r="B10" s="267">
        <v>327716</v>
      </c>
      <c r="C10" s="268">
        <f t="shared" si="0"/>
        <v>3.360012533044833E-2</v>
      </c>
      <c r="D10" s="267">
        <f>+'Cost Allocation Study'!B11</f>
        <v>346396.34590460709</v>
      </c>
      <c r="E10" s="268">
        <f t="shared" si="1"/>
        <v>1.6504013626234555E-2</v>
      </c>
    </row>
    <row r="11" spans="1:5" ht="15" customHeight="1" x14ac:dyDescent="0.2">
      <c r="A11" s="261" t="s">
        <v>106</v>
      </c>
      <c r="B11" s="267">
        <v>53863</v>
      </c>
      <c r="C11" s="268">
        <f t="shared" si="0"/>
        <v>5.5224754075905306E-3</v>
      </c>
      <c r="D11" s="267">
        <f>+'Cost Allocation Study'!B10</f>
        <v>16421.355852753117</v>
      </c>
      <c r="E11" s="268">
        <f t="shared" si="1"/>
        <v>7.8239359034612565E-4</v>
      </c>
    </row>
    <row r="12" spans="1:5" ht="15" customHeight="1" x14ac:dyDescent="0.2">
      <c r="A12" s="261" t="s">
        <v>142</v>
      </c>
      <c r="B12" s="267">
        <v>67004</v>
      </c>
      <c r="C12" s="268">
        <f t="shared" si="0"/>
        <v>6.8697982327422516E-3</v>
      </c>
      <c r="D12" s="267">
        <f>+'Cost Allocation Study'!B12</f>
        <v>52647.369350896595</v>
      </c>
      <c r="E12" s="268">
        <f t="shared" si="1"/>
        <v>2.5083777915829468E-3</v>
      </c>
    </row>
    <row r="13" spans="1:5" ht="15" customHeight="1" x14ac:dyDescent="0.2">
      <c r="A13" s="298" t="s">
        <v>31</v>
      </c>
      <c r="B13" s="299">
        <f>SUM(B5:B12)</f>
        <v>9753416</v>
      </c>
      <c r="C13" s="300">
        <f>SUM(C5:C12)</f>
        <v>1</v>
      </c>
      <c r="D13" s="299">
        <f>SUM(D5:D12)</f>
        <v>20988612.452063188</v>
      </c>
      <c r="E13" s="300">
        <f>SUM(E5:E12)</f>
        <v>1</v>
      </c>
    </row>
  </sheetData>
  <mergeCells count="2">
    <mergeCell ref="A2:E2"/>
    <mergeCell ref="A3:E3"/>
  </mergeCells>
  <phoneticPr fontId="0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opLeftCell="B1" workbookViewId="0"/>
  </sheetViews>
  <sheetFormatPr defaultRowHeight="12.75" x14ac:dyDescent="0.2"/>
  <cols>
    <col min="1" max="1" width="20.7109375" hidden="1" customWidth="1"/>
    <col min="2" max="2" width="18" customWidth="1"/>
    <col min="3" max="3" width="18.5703125" customWidth="1"/>
    <col min="4" max="4" width="16.140625" customWidth="1"/>
    <col min="5" max="5" width="21.140625" customWidth="1"/>
    <col min="7" max="7" width="20.7109375" bestFit="1" customWidth="1"/>
    <col min="10" max="10" width="12.85546875" style="1" bestFit="1" customWidth="1"/>
    <col min="11" max="11" width="10.28515625" style="1" bestFit="1" customWidth="1"/>
  </cols>
  <sheetData>
    <row r="1" spans="1:10" x14ac:dyDescent="0.2">
      <c r="A1" s="258" t="s">
        <v>144</v>
      </c>
    </row>
    <row r="2" spans="1:10" x14ac:dyDescent="0.2">
      <c r="A2" s="452" t="s">
        <v>133</v>
      </c>
      <c r="B2" s="453"/>
      <c r="C2" s="453"/>
      <c r="D2" s="453"/>
      <c r="E2" s="454"/>
    </row>
    <row r="3" spans="1:10" x14ac:dyDescent="0.2">
      <c r="A3" s="455" t="s">
        <v>145</v>
      </c>
      <c r="B3" s="456"/>
      <c r="C3" s="456"/>
      <c r="D3" s="456"/>
      <c r="E3" s="457"/>
    </row>
    <row r="4" spans="1:10" x14ac:dyDescent="0.2">
      <c r="A4" s="262"/>
      <c r="B4" s="262" t="s">
        <v>147</v>
      </c>
      <c r="C4" s="262" t="s">
        <v>148</v>
      </c>
      <c r="D4" s="262" t="s">
        <v>149</v>
      </c>
      <c r="E4" s="262" t="s">
        <v>150</v>
      </c>
    </row>
    <row r="5" spans="1:10" ht="39" customHeight="1" x14ac:dyDescent="0.2">
      <c r="A5" s="260" t="s">
        <v>134</v>
      </c>
      <c r="B5" s="259" t="s">
        <v>146</v>
      </c>
      <c r="C5" s="259" t="s">
        <v>151</v>
      </c>
      <c r="D5" s="259" t="s">
        <v>152</v>
      </c>
      <c r="E5" s="259" t="s">
        <v>153</v>
      </c>
      <c r="H5" s="2"/>
      <c r="J5" s="48"/>
    </row>
    <row r="6" spans="1:10" ht="15" customHeight="1" x14ac:dyDescent="0.2">
      <c r="A6" s="261" t="s">
        <v>103</v>
      </c>
      <c r="B6" s="270">
        <f>+'2013 Test Yr On Existing Rates'!J7</f>
        <v>10522811.140025217</v>
      </c>
      <c r="C6" s="270">
        <f>+B6*$D$19</f>
        <v>10942756.447462264</v>
      </c>
      <c r="D6" s="270">
        <f>+'Rates By Rate Class'!F6+'Rates By Rate Class'!G6-'Rates By Rate Class'!H6+'Rates By Rate Class'!H6</f>
        <v>10942756.350626804</v>
      </c>
      <c r="E6" s="270">
        <f>+'Cost Allocation Study'!J5</f>
        <v>1129609.6257347001</v>
      </c>
      <c r="G6" s="271"/>
      <c r="H6" s="216"/>
    </row>
    <row r="7" spans="1:10" ht="15" customHeight="1" x14ac:dyDescent="0.2">
      <c r="A7" s="261" t="s">
        <v>137</v>
      </c>
      <c r="B7" s="270">
        <f>+'2013 Test Yr On Existing Rates'!J8</f>
        <v>3038597.3722385401</v>
      </c>
      <c r="C7" s="270">
        <f t="shared" ref="C7:C13" si="0">+B7*$D$19</f>
        <v>3159861.9935153085</v>
      </c>
      <c r="D7" s="270">
        <f>+'Rates By Rate Class'!F7+'Rates By Rate Class'!G7-'Rates By Rate Class'!H7+'Rates By Rate Class'!H7</f>
        <v>3159861.9655528208</v>
      </c>
      <c r="E7" s="270">
        <f>+'Cost Allocation Study'!J6</f>
        <v>255796.60745938795</v>
      </c>
      <c r="G7" s="271"/>
      <c r="H7" s="216"/>
    </row>
    <row r="8" spans="1:10" ht="15" customHeight="1" x14ac:dyDescent="0.2">
      <c r="A8" s="261" t="s">
        <v>138</v>
      </c>
      <c r="B8" s="270">
        <f>+'2013 Test Yr On Existing Rates'!J9</f>
        <v>2489052.937325622</v>
      </c>
      <c r="C8" s="270">
        <f t="shared" si="0"/>
        <v>2588386.28913467</v>
      </c>
      <c r="D8" s="270">
        <f>+'Rates By Rate Class'!F8+'Rates By Rate Class'!G8-'Rates By Rate Class'!H8+'Rates By Rate Class'!H8</f>
        <v>3083973.1671972256</v>
      </c>
      <c r="E8" s="270">
        <f>+'Cost Allocation Study'!J7</f>
        <v>266564.10549953033</v>
      </c>
      <c r="G8" s="271"/>
      <c r="H8" s="216"/>
    </row>
    <row r="9" spans="1:10" ht="15" customHeight="1" x14ac:dyDescent="0.2">
      <c r="A9" s="261" t="s">
        <v>139</v>
      </c>
      <c r="B9" s="270">
        <f>+'2013 Test Yr On Existing Rates'!J10</f>
        <v>1577040.2869902845</v>
      </c>
      <c r="C9" s="270">
        <f>+B9*$D$19</f>
        <v>1639976.9547065462</v>
      </c>
      <c r="D9" s="270">
        <f>+'Rates By Rate Class'!F9+'Rates By Rate Class'!G9-'Rates By Rate Class'!H9+'Rates By Rate Class'!H9</f>
        <v>1563698.8888237935</v>
      </c>
      <c r="E9" s="270">
        <f>+'Cost Allocation Study'!J8</f>
        <v>90251.039701355345</v>
      </c>
      <c r="G9" s="271"/>
      <c r="H9" s="216"/>
    </row>
    <row r="10" spans="1:10" ht="15" customHeight="1" x14ac:dyDescent="0.2">
      <c r="A10" s="261" t="s">
        <v>140</v>
      </c>
      <c r="B10" s="270">
        <f>+'2013 Test Yr On Existing Rates'!J11</f>
        <v>0</v>
      </c>
      <c r="C10" s="270">
        <f t="shared" si="0"/>
        <v>0</v>
      </c>
      <c r="D10" s="270">
        <f>+'Rates By Rate Class'!F10+'Rates By Rate Class'!G10-'Rates By Rate Class'!H10+'Rates By Rate Class'!H10</f>
        <v>0</v>
      </c>
      <c r="E10" s="270">
        <f>+'Cost Allocation Study'!J9</f>
        <v>0</v>
      </c>
      <c r="G10" s="271"/>
      <c r="H10" s="216"/>
    </row>
    <row r="11" spans="1:10" ht="15" customHeight="1" x14ac:dyDescent="0.2">
      <c r="A11" s="261" t="s">
        <v>141</v>
      </c>
      <c r="B11" s="270">
        <f>+'2013 Test Yr On Existing Rates'!J13</f>
        <v>754027.54483318375</v>
      </c>
      <c r="C11" s="270">
        <f t="shared" si="0"/>
        <v>784119.34491562971</v>
      </c>
      <c r="D11" s="270">
        <f>+'Rates By Rate Class'!F12+'Rates By Rate Class'!G12-'Rates By Rate Class'!H12+'Rates By Rate Class'!H12</f>
        <v>386561.47382101254</v>
      </c>
      <c r="E11" s="270">
        <f>+'Cost Allocation Study'!J11</f>
        <v>29114.141264515976</v>
      </c>
      <c r="G11" s="271"/>
      <c r="H11" s="216"/>
    </row>
    <row r="12" spans="1:10" ht="15" customHeight="1" x14ac:dyDescent="0.2">
      <c r="A12" s="261" t="s">
        <v>106</v>
      </c>
      <c r="B12" s="270">
        <f>+'2013 Test Yr On Existing Rates'!J12</f>
        <v>14701.07037706393</v>
      </c>
      <c r="C12" s="270">
        <f t="shared" si="0"/>
        <v>15287.762035499889</v>
      </c>
      <c r="D12" s="270">
        <f>+'Rates By Rate Class'!F11+'Rates By Rate Class'!G11-'Rates By Rate Class'!H11+'Rates By Rate Class'!H11</f>
        <v>15287.761900214278</v>
      </c>
      <c r="E12" s="270">
        <f>+'Cost Allocation Study'!J10</f>
        <v>1960.6512607479754</v>
      </c>
      <c r="G12" s="271"/>
      <c r="H12" s="216"/>
    </row>
    <row r="13" spans="1:10" ht="15" customHeight="1" x14ac:dyDescent="0.2">
      <c r="A13" s="261" t="s">
        <v>142</v>
      </c>
      <c r="B13" s="270">
        <f>+'2013 Test Yr On Existing Rates'!J14</f>
        <v>77145.567927036871</v>
      </c>
      <c r="C13" s="270">
        <f t="shared" si="0"/>
        <v>80224.300293267239</v>
      </c>
      <c r="D13" s="270">
        <f>+'Rates By Rate Class'!F13+'Rates By Rate Class'!G13-'Rates By Rate Class'!H13+'Rates By Rate Class'!H13</f>
        <v>58473.484141313391</v>
      </c>
      <c r="E13" s="270">
        <f>+'Cost Allocation Study'!J12</f>
        <v>4703.3590797625238</v>
      </c>
      <c r="G13" s="271"/>
      <c r="H13" s="216"/>
    </row>
    <row r="14" spans="1:10" ht="15" customHeight="1" x14ac:dyDescent="0.2">
      <c r="A14" s="298" t="s">
        <v>31</v>
      </c>
      <c r="B14" s="299">
        <f>SUM(B6:B13)</f>
        <v>18473375.919716947</v>
      </c>
      <c r="C14" s="299">
        <f>SUM(C6:C13)</f>
        <v>19210613.092063185</v>
      </c>
      <c r="D14" s="299">
        <f>SUM(D6:D13)</f>
        <v>19210613.092063185</v>
      </c>
      <c r="E14" s="299">
        <f>SUM(E6:E13)</f>
        <v>1777999.5300000003</v>
      </c>
      <c r="H14" s="216"/>
    </row>
    <row r="16" spans="1:10" x14ac:dyDescent="0.2">
      <c r="C16" s="275">
        <f>+D14-B14</f>
        <v>737237.17234623805</v>
      </c>
    </row>
    <row r="18" spans="1:4" x14ac:dyDescent="0.2">
      <c r="A18" s="258" t="s">
        <v>167</v>
      </c>
      <c r="D18">
        <f>+'Revenue Deficiency Analysis'!I30/'2013 Test Yr On Existing Rates'!J15</f>
        <v>3.9908091274176494E-2</v>
      </c>
    </row>
    <row r="19" spans="1:4" x14ac:dyDescent="0.2">
      <c r="A19" t="s">
        <v>173</v>
      </c>
      <c r="D19">
        <f>1+D18</f>
        <v>1.0399080912741765</v>
      </c>
    </row>
    <row r="20" spans="1:4" x14ac:dyDescent="0.2">
      <c r="C20" s="277"/>
      <c r="D20" s="276"/>
    </row>
    <row r="21" spans="1:4" x14ac:dyDescent="0.2">
      <c r="B21" s="53"/>
    </row>
    <row r="22" spans="1:4" x14ac:dyDescent="0.2">
      <c r="D22" s="276"/>
    </row>
    <row r="24" spans="1:4" x14ac:dyDescent="0.2">
      <c r="D24" s="276"/>
    </row>
  </sheetData>
  <mergeCells count="2">
    <mergeCell ref="A2:E2"/>
    <mergeCell ref="A3:E3"/>
  </mergeCells>
  <phoneticPr fontId="0" type="noConversion"/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2.75" x14ac:dyDescent="0.2"/>
  <cols>
    <col min="1" max="1" width="20.7109375" bestFit="1" customWidth="1"/>
    <col min="2" max="2" width="20.42578125" customWidth="1"/>
    <col min="3" max="3" width="20.5703125" customWidth="1"/>
    <col min="4" max="4" width="19" customWidth="1"/>
  </cols>
  <sheetData>
    <row r="1" spans="1:4" x14ac:dyDescent="0.2">
      <c r="A1" s="258" t="s">
        <v>159</v>
      </c>
    </row>
    <row r="2" spans="1:4" x14ac:dyDescent="0.2">
      <c r="A2" s="452" t="s">
        <v>133</v>
      </c>
      <c r="B2" s="453"/>
      <c r="C2" s="453"/>
      <c r="D2" s="454"/>
    </row>
    <row r="3" spans="1:4" x14ac:dyDescent="0.2">
      <c r="A3" s="455" t="s">
        <v>169</v>
      </c>
      <c r="B3" s="456"/>
      <c r="C3" s="456"/>
      <c r="D3" s="457"/>
    </row>
    <row r="4" spans="1:4" ht="27.75" customHeight="1" x14ac:dyDescent="0.2">
      <c r="A4" s="262"/>
      <c r="B4" s="263" t="s">
        <v>154</v>
      </c>
      <c r="C4" s="262" t="s">
        <v>155</v>
      </c>
      <c r="D4" s="262" t="s">
        <v>156</v>
      </c>
    </row>
    <row r="5" spans="1:4" ht="38.25" x14ac:dyDescent="0.2">
      <c r="A5" s="260" t="s">
        <v>134</v>
      </c>
      <c r="B5" s="259" t="s">
        <v>168</v>
      </c>
      <c r="C5" s="264" t="s">
        <v>157</v>
      </c>
      <c r="D5" s="264" t="s">
        <v>158</v>
      </c>
    </row>
    <row r="6" spans="1:4" ht="15" customHeight="1" x14ac:dyDescent="0.2">
      <c r="A6" s="261" t="s">
        <v>103</v>
      </c>
      <c r="B6" s="304">
        <f>1.0225*100</f>
        <v>102.25</v>
      </c>
      <c r="C6" s="278">
        <f>(+'Appendix 2-O Table b'!C6+'Appendix 2-O Table b'!E6)/'Appendix 2-O Table a'!D5*100</f>
        <v>100.21382195497866</v>
      </c>
      <c r="D6" s="278">
        <f>+('Appendix 2-O Table b'!D6+'Appendix 2-O Table b'!E6)/'Appendix 2-O Table a'!D5*100</f>
        <v>100.21382115113857</v>
      </c>
    </row>
    <row r="7" spans="1:4" ht="15" customHeight="1" x14ac:dyDescent="0.2">
      <c r="A7" s="261" t="s">
        <v>137</v>
      </c>
      <c r="B7" s="278">
        <f>110.88/100*100</f>
        <v>110.88</v>
      </c>
      <c r="C7" s="278">
        <f>(+'Appendix 2-O Table b'!C7+'Appendix 2-O Table b'!E7)/'Appendix 2-O Table a'!D6*100</f>
        <v>103.43606059749905</v>
      </c>
      <c r="D7" s="278">
        <f>+('Appendix 2-O Table b'!D7+'Appendix 2-O Table b'!E7)/'Appendix 2-O Table a'!D6*100</f>
        <v>103.43605975071375</v>
      </c>
    </row>
    <row r="8" spans="1:4" ht="15" customHeight="1" x14ac:dyDescent="0.2">
      <c r="A8" s="261" t="s">
        <v>138</v>
      </c>
      <c r="B8" s="278">
        <f>79.1/100*100</f>
        <v>79.099999999999994</v>
      </c>
      <c r="C8" s="278">
        <f>(+'Appendix 2-O Table b'!C8+'Appendix 2-O Table b'!E8)/'Appendix 2-O Table a'!D7*100</f>
        <v>74.230622759903824</v>
      </c>
      <c r="D8" s="278">
        <f>+('Appendix 2-O Table b'!D8+'Appendix 2-O Table b'!E8)/'Appendix 2-O Table a'!D7*100</f>
        <v>87.116213577650271</v>
      </c>
    </row>
    <row r="9" spans="1:4" ht="15" customHeight="1" x14ac:dyDescent="0.2">
      <c r="A9" s="261" t="s">
        <v>139</v>
      </c>
      <c r="B9" s="278">
        <f>156.67/100*100</f>
        <v>156.66999999999999</v>
      </c>
      <c r="C9" s="278">
        <f>(+'Appendix 2-O Table b'!C9+'Appendix 2-O Table b'!E9)/'Appendix 2-O Table a'!D8*100</f>
        <v>125.53424728769905</v>
      </c>
      <c r="D9" s="278">
        <f>+('Appendix 2-O Table b'!D9+'Appendix 2-O Table b'!E9)/'Appendix 2-O Table a'!D8*100</f>
        <v>120</v>
      </c>
    </row>
    <row r="10" spans="1:4" ht="15" customHeight="1" x14ac:dyDescent="0.2">
      <c r="A10" s="261" t="s">
        <v>140</v>
      </c>
      <c r="B10" s="278">
        <f>139.79/100*100</f>
        <v>139.79</v>
      </c>
      <c r="C10" s="278" t="e">
        <f>(+'Appendix 2-O Table b'!C10+'Appendix 2-O Table b'!E10)/'Appendix 2-O Table a'!D9*100</f>
        <v>#DIV/0!</v>
      </c>
      <c r="D10" s="278" t="e">
        <f>+('Appendix 2-O Table b'!D10+'Appendix 2-O Table b'!E10)/'Appendix 2-O Table a'!D9*100</f>
        <v>#DIV/0!</v>
      </c>
    </row>
    <row r="11" spans="1:4" ht="15" customHeight="1" x14ac:dyDescent="0.2">
      <c r="A11" s="261" t="s">
        <v>141</v>
      </c>
      <c r="B11" s="278">
        <f>8.97/100*100</f>
        <v>8.9700000000000006</v>
      </c>
      <c r="C11" s="278">
        <f>(+'Appendix 2-O Table b'!C11+'Appendix 2-O Table b'!E11)/'Appendix 2-O Table a'!D10*100</f>
        <v>234.76964921682492</v>
      </c>
      <c r="D11" s="278">
        <f>+('Appendix 2-O Table b'!D11+'Appendix 2-O Table b'!E11)/'Appendix 2-O Table a'!D10*100</f>
        <v>120</v>
      </c>
    </row>
    <row r="12" spans="1:4" ht="15" customHeight="1" x14ac:dyDescent="0.2">
      <c r="A12" s="261" t="s">
        <v>106</v>
      </c>
      <c r="B12" s="278">
        <f>10.97/100*100</f>
        <v>10.97</v>
      </c>
      <c r="C12" s="278">
        <f>(+'Appendix 2-O Table b'!C12+'Appendix 2-O Table b'!E12)/'Appendix 2-O Table a'!D11*100</f>
        <v>105.03647476439096</v>
      </c>
      <c r="D12" s="278">
        <f>+('Appendix 2-O Table b'!D12+'Appendix 2-O Table b'!E12)/'Appendix 2-O Table a'!D11*100</f>
        <v>105.03647394055149</v>
      </c>
    </row>
    <row r="13" spans="1:4" ht="15" customHeight="1" x14ac:dyDescent="0.2">
      <c r="A13" s="261" t="s">
        <v>142</v>
      </c>
      <c r="B13" s="278">
        <f>64.78/100*100</f>
        <v>64.78</v>
      </c>
      <c r="C13" s="278">
        <f>(+'Appendix 2-O Table b'!C13+'Appendix 2-O Table b'!E13)/'Appendix 2-O Table a'!D12*100</f>
        <v>161.31415571210005</v>
      </c>
      <c r="D13" s="278">
        <f>+('Appendix 2-O Table b'!D13+'Appendix 2-O Table b'!E13)/'Appendix 2-O Table a'!D12*100</f>
        <v>120</v>
      </c>
    </row>
    <row r="14" spans="1:4" ht="15" hidden="1" customHeight="1" x14ac:dyDescent="0.2">
      <c r="A14" s="298"/>
      <c r="B14" s="301"/>
      <c r="C14" s="301"/>
      <c r="D14" s="301"/>
    </row>
    <row r="15" spans="1:4" ht="15" customHeight="1" x14ac:dyDescent="0.2"/>
    <row r="16" spans="1:4" ht="15" customHeight="1" x14ac:dyDescent="0.2"/>
  </sheetData>
  <mergeCells count="2">
    <mergeCell ref="A2:D2"/>
    <mergeCell ref="A3:D3"/>
  </mergeCells>
  <phoneticPr fontId="0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/>
  </sheetViews>
  <sheetFormatPr defaultRowHeight="12.75" x14ac:dyDescent="0.2"/>
  <cols>
    <col min="1" max="1" width="20.7109375" bestFit="1" customWidth="1"/>
    <col min="2" max="5" width="12.7109375" customWidth="1"/>
  </cols>
  <sheetData>
    <row r="1" spans="1:7" x14ac:dyDescent="0.2">
      <c r="A1" s="258" t="s">
        <v>162</v>
      </c>
    </row>
    <row r="2" spans="1:7" x14ac:dyDescent="0.2">
      <c r="A2" s="452" t="s">
        <v>133</v>
      </c>
      <c r="B2" s="453"/>
      <c r="C2" s="453"/>
      <c r="D2" s="453"/>
      <c r="E2" s="454"/>
    </row>
    <row r="3" spans="1:7" x14ac:dyDescent="0.2">
      <c r="A3" s="455" t="s">
        <v>160</v>
      </c>
      <c r="B3" s="456"/>
      <c r="C3" s="456"/>
      <c r="D3" s="456"/>
      <c r="E3" s="457"/>
      <c r="G3" s="258"/>
    </row>
    <row r="4" spans="1:7" ht="27.75" customHeight="1" x14ac:dyDescent="0.2">
      <c r="A4" s="458" t="s">
        <v>134</v>
      </c>
      <c r="B4" s="263">
        <v>2011</v>
      </c>
      <c r="C4" s="262">
        <v>2012</v>
      </c>
      <c r="D4" s="262">
        <v>2013</v>
      </c>
      <c r="E4" s="262" t="s">
        <v>161</v>
      </c>
    </row>
    <row r="5" spans="1:7" x14ac:dyDescent="0.2">
      <c r="A5" s="459"/>
      <c r="B5" s="259" t="s">
        <v>135</v>
      </c>
      <c r="C5" s="259" t="s">
        <v>135</v>
      </c>
      <c r="D5" s="259" t="s">
        <v>135</v>
      </c>
      <c r="E5" s="259" t="s">
        <v>135</v>
      </c>
    </row>
    <row r="6" spans="1:7" ht="15" customHeight="1" x14ac:dyDescent="0.2">
      <c r="A6" s="261" t="s">
        <v>103</v>
      </c>
      <c r="B6" s="272">
        <f>+'Cost Allocation Study'!H5</f>
        <v>1.0021382115113857</v>
      </c>
      <c r="C6" s="272">
        <v>1.018</v>
      </c>
      <c r="D6" s="272"/>
      <c r="E6" s="265" t="s">
        <v>163</v>
      </c>
    </row>
    <row r="7" spans="1:7" ht="15" customHeight="1" x14ac:dyDescent="0.2">
      <c r="A7" s="261" t="s">
        <v>137</v>
      </c>
      <c r="B7" s="272">
        <f>+'Cost Allocation Study'!H6</f>
        <v>1.0343605975071375</v>
      </c>
      <c r="C7" s="272">
        <v>0.999</v>
      </c>
      <c r="D7" s="272"/>
      <c r="E7" s="265" t="s">
        <v>164</v>
      </c>
    </row>
    <row r="8" spans="1:7" ht="15" customHeight="1" x14ac:dyDescent="0.2">
      <c r="A8" s="261" t="s">
        <v>138</v>
      </c>
      <c r="B8" s="272">
        <f>+'Cost Allocation Study'!H7</f>
        <v>0.8711621357765027</v>
      </c>
      <c r="C8" s="272">
        <v>0.95</v>
      </c>
      <c r="D8" s="272"/>
      <c r="E8" s="265" t="s">
        <v>165</v>
      </c>
    </row>
    <row r="9" spans="1:7" ht="15" customHeight="1" x14ac:dyDescent="0.2">
      <c r="A9" s="261" t="s">
        <v>139</v>
      </c>
      <c r="B9" s="272">
        <f>+'Cost Allocation Study'!H8</f>
        <v>1.2</v>
      </c>
      <c r="C9" s="272">
        <v>1.05</v>
      </c>
      <c r="D9" s="272"/>
      <c r="E9" s="265" t="s">
        <v>165</v>
      </c>
    </row>
    <row r="10" spans="1:7" ht="15" customHeight="1" x14ac:dyDescent="0.2">
      <c r="A10" s="261" t="s">
        <v>140</v>
      </c>
      <c r="B10" s="272">
        <f>+'Cost Allocation Study'!H9</f>
        <v>0</v>
      </c>
      <c r="C10" s="272">
        <v>1.05</v>
      </c>
      <c r="D10" s="272"/>
      <c r="E10" s="265" t="s">
        <v>163</v>
      </c>
    </row>
    <row r="11" spans="1:7" ht="15" customHeight="1" x14ac:dyDescent="0.2">
      <c r="A11" s="261" t="s">
        <v>141</v>
      </c>
      <c r="B11" s="272">
        <f>+'Cost Allocation Study'!H11</f>
        <v>1.2</v>
      </c>
      <c r="C11" s="272">
        <v>0.7</v>
      </c>
      <c r="D11" s="272"/>
      <c r="E11" s="265" t="s">
        <v>166</v>
      </c>
    </row>
    <row r="12" spans="1:7" ht="15" customHeight="1" x14ac:dyDescent="0.2">
      <c r="A12" s="261" t="s">
        <v>106</v>
      </c>
      <c r="B12" s="272">
        <f>+'Cost Allocation Study'!H10</f>
        <v>1.0503647394055149</v>
      </c>
      <c r="C12" s="272">
        <v>0.7</v>
      </c>
      <c r="D12" s="272"/>
      <c r="E12" s="265" t="s">
        <v>166</v>
      </c>
    </row>
    <row r="13" spans="1:7" ht="15" customHeight="1" x14ac:dyDescent="0.2">
      <c r="A13" s="261" t="s">
        <v>142</v>
      </c>
      <c r="B13" s="272">
        <f>+'Cost Allocation Study'!H12</f>
        <v>1.2</v>
      </c>
      <c r="C13" s="272">
        <v>1.05</v>
      </c>
      <c r="D13" s="272"/>
      <c r="E13" s="265" t="s">
        <v>164</v>
      </c>
    </row>
  </sheetData>
  <mergeCells count="3">
    <mergeCell ref="A2:E2"/>
    <mergeCell ref="A3:E3"/>
    <mergeCell ref="A4:A5"/>
  </mergeCells>
  <phoneticPr fontId="0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workbookViewId="0">
      <selection activeCell="C42" sqref="C42"/>
    </sheetView>
  </sheetViews>
  <sheetFormatPr defaultRowHeight="12.75" x14ac:dyDescent="0.2"/>
  <cols>
    <col min="1" max="1" width="5.7109375" customWidth="1"/>
    <col min="2" max="2" width="83.5703125" customWidth="1"/>
    <col min="3" max="3" width="14.140625" style="356" customWidth="1"/>
    <col min="4" max="4" width="12" style="358" customWidth="1"/>
  </cols>
  <sheetData>
    <row r="1" spans="1:5" x14ac:dyDescent="0.2">
      <c r="B1" s="353" t="s">
        <v>205</v>
      </c>
      <c r="C1" s="352"/>
      <c r="D1" s="352"/>
      <c r="E1" s="352"/>
    </row>
    <row r="2" spans="1:5" ht="15.75" x14ac:dyDescent="0.25">
      <c r="A2" s="461" t="s">
        <v>244</v>
      </c>
      <c r="B2" s="461"/>
      <c r="C2" s="461"/>
      <c r="D2" s="461"/>
      <c r="E2" s="380"/>
    </row>
    <row r="3" spans="1:5" ht="20.25" x14ac:dyDescent="0.3">
      <c r="A3" s="460" t="s">
        <v>60</v>
      </c>
      <c r="B3" s="460"/>
      <c r="C3" s="460"/>
      <c r="D3" s="460"/>
      <c r="E3" s="379"/>
    </row>
    <row r="4" spans="1:5" ht="20.25" x14ac:dyDescent="0.3">
      <c r="A4" s="460" t="s">
        <v>190</v>
      </c>
      <c r="B4" s="460"/>
      <c r="C4" s="460"/>
      <c r="D4" s="460"/>
      <c r="E4" s="379"/>
    </row>
    <row r="5" spans="1:5" ht="13.5" thickBot="1" x14ac:dyDescent="0.25"/>
    <row r="6" spans="1:5" ht="47.45" customHeight="1" thickBot="1" x14ac:dyDescent="0.25">
      <c r="A6" s="462" t="s">
        <v>207</v>
      </c>
      <c r="B6" s="463"/>
      <c r="C6" s="355" t="s">
        <v>208</v>
      </c>
      <c r="D6" s="357" t="s">
        <v>210</v>
      </c>
    </row>
    <row r="7" spans="1:5" ht="14.25" x14ac:dyDescent="0.2">
      <c r="A7" s="468" t="s">
        <v>211</v>
      </c>
      <c r="B7" s="469"/>
      <c r="C7" s="359"/>
      <c r="D7" s="360"/>
    </row>
    <row r="8" spans="1:5" ht="14.25" x14ac:dyDescent="0.2">
      <c r="A8" s="361"/>
      <c r="B8" s="362" t="s">
        <v>212</v>
      </c>
      <c r="C8" s="359" t="s">
        <v>209</v>
      </c>
      <c r="D8" s="360">
        <v>15</v>
      </c>
    </row>
    <row r="9" spans="1:5" ht="14.25" x14ac:dyDescent="0.2">
      <c r="A9" s="361"/>
      <c r="B9" s="362" t="s">
        <v>213</v>
      </c>
      <c r="C9" s="359" t="s">
        <v>209</v>
      </c>
      <c r="D9" s="360">
        <v>15</v>
      </c>
    </row>
    <row r="10" spans="1:5" ht="14.25" x14ac:dyDescent="0.2">
      <c r="A10" s="361"/>
      <c r="B10" s="362" t="s">
        <v>214</v>
      </c>
      <c r="C10" s="359" t="s">
        <v>209</v>
      </c>
      <c r="D10" s="360">
        <v>15</v>
      </c>
    </row>
    <row r="11" spans="1:5" ht="14.25" x14ac:dyDescent="0.2">
      <c r="A11" s="361"/>
      <c r="B11" s="362" t="s">
        <v>215</v>
      </c>
      <c r="C11" s="359" t="s">
        <v>209</v>
      </c>
      <c r="D11" s="360">
        <v>15</v>
      </c>
    </row>
    <row r="12" spans="1:5" ht="14.25" x14ac:dyDescent="0.2">
      <c r="A12" s="361"/>
      <c r="B12" s="362" t="s">
        <v>216</v>
      </c>
      <c r="C12" s="359" t="s">
        <v>209</v>
      </c>
      <c r="D12" s="360">
        <v>25</v>
      </c>
    </row>
    <row r="13" spans="1:5" ht="14.25" x14ac:dyDescent="0.2">
      <c r="A13" s="361"/>
      <c r="B13" s="362" t="s">
        <v>217</v>
      </c>
      <c r="C13" s="359" t="s">
        <v>209</v>
      </c>
      <c r="D13" s="360">
        <v>15</v>
      </c>
    </row>
    <row r="14" spans="1:5" ht="28.5" x14ac:dyDescent="0.2">
      <c r="A14" s="361"/>
      <c r="B14" s="362" t="s">
        <v>218</v>
      </c>
      <c r="C14" s="359" t="s">
        <v>209</v>
      </c>
      <c r="D14" s="360">
        <v>30</v>
      </c>
    </row>
    <row r="15" spans="1:5" ht="14.25" x14ac:dyDescent="0.2">
      <c r="A15" s="361"/>
      <c r="B15" s="362" t="s">
        <v>219</v>
      </c>
      <c r="C15" s="359" t="s">
        <v>209</v>
      </c>
      <c r="D15" s="360">
        <v>30</v>
      </c>
    </row>
    <row r="16" spans="1:5" ht="14.25" x14ac:dyDescent="0.2">
      <c r="A16" s="361"/>
      <c r="B16" s="362" t="s">
        <v>220</v>
      </c>
      <c r="C16" s="359" t="s">
        <v>209</v>
      </c>
      <c r="D16" s="360">
        <v>30</v>
      </c>
    </row>
    <row r="17" spans="1:4" ht="14.25" x14ac:dyDescent="0.2">
      <c r="A17" s="470" t="s">
        <v>221</v>
      </c>
      <c r="B17" s="471"/>
      <c r="C17" s="359"/>
      <c r="D17" s="360"/>
    </row>
    <row r="18" spans="1:4" ht="14.25" x14ac:dyDescent="0.2">
      <c r="A18" s="361"/>
      <c r="B18" s="362" t="s">
        <v>222</v>
      </c>
      <c r="C18" s="359" t="s">
        <v>135</v>
      </c>
      <c r="D18" s="360">
        <v>1.5</v>
      </c>
    </row>
    <row r="19" spans="1:4" ht="14.25" x14ac:dyDescent="0.2">
      <c r="A19" s="361"/>
      <c r="B19" s="362" t="s">
        <v>223</v>
      </c>
      <c r="C19" s="359" t="s">
        <v>135</v>
      </c>
      <c r="D19" s="360">
        <v>19.559999999999999</v>
      </c>
    </row>
    <row r="20" spans="1:4" ht="14.25" x14ac:dyDescent="0.2">
      <c r="A20" s="361"/>
      <c r="B20" s="362" t="s">
        <v>224</v>
      </c>
      <c r="C20" s="359" t="s">
        <v>209</v>
      </c>
      <c r="D20" s="360">
        <v>65</v>
      </c>
    </row>
    <row r="21" spans="1:4" ht="14.25" x14ac:dyDescent="0.2">
      <c r="A21" s="361"/>
      <c r="B21" s="362" t="s">
        <v>225</v>
      </c>
      <c r="C21" s="359" t="s">
        <v>209</v>
      </c>
      <c r="D21" s="360">
        <v>185</v>
      </c>
    </row>
    <row r="22" spans="1:4" ht="14.25" x14ac:dyDescent="0.2">
      <c r="A22" s="361"/>
      <c r="B22" s="362" t="s">
        <v>226</v>
      </c>
      <c r="C22" s="359" t="s">
        <v>209</v>
      </c>
      <c r="D22" s="360">
        <v>185</v>
      </c>
    </row>
    <row r="23" spans="1:4" ht="14.25" x14ac:dyDescent="0.2">
      <c r="A23" s="361"/>
      <c r="B23" s="362" t="s">
        <v>227</v>
      </c>
      <c r="C23" s="359" t="s">
        <v>209</v>
      </c>
      <c r="D23" s="360">
        <v>415</v>
      </c>
    </row>
    <row r="24" spans="1:4" ht="14.25" x14ac:dyDescent="0.2">
      <c r="A24" s="361"/>
      <c r="B24" s="362"/>
      <c r="C24" s="359"/>
      <c r="D24" s="360"/>
    </row>
    <row r="25" spans="1:4" ht="14.25" x14ac:dyDescent="0.2">
      <c r="A25" s="472" t="s">
        <v>228</v>
      </c>
      <c r="B25" s="473"/>
      <c r="C25" s="359" t="s">
        <v>209</v>
      </c>
      <c r="D25" s="360">
        <v>65</v>
      </c>
    </row>
    <row r="26" spans="1:4" ht="14.25" x14ac:dyDescent="0.2">
      <c r="A26" s="472" t="s">
        <v>229</v>
      </c>
      <c r="B26" s="473"/>
      <c r="C26" s="359" t="s">
        <v>209</v>
      </c>
      <c r="D26" s="360">
        <v>185</v>
      </c>
    </row>
    <row r="27" spans="1:4" ht="14.25" x14ac:dyDescent="0.2">
      <c r="A27" s="464" t="s">
        <v>230</v>
      </c>
      <c r="B27" s="465"/>
      <c r="C27" s="363" t="s">
        <v>209</v>
      </c>
      <c r="D27" s="364">
        <v>30</v>
      </c>
    </row>
    <row r="28" spans="1:4" ht="14.25" x14ac:dyDescent="0.2">
      <c r="A28" s="464" t="s">
        <v>231</v>
      </c>
      <c r="B28" s="465"/>
      <c r="C28" s="363" t="s">
        <v>209</v>
      </c>
      <c r="D28" s="364">
        <v>165</v>
      </c>
    </row>
    <row r="29" spans="1:4" ht="14.25" x14ac:dyDescent="0.2">
      <c r="A29" s="464" t="s">
        <v>232</v>
      </c>
      <c r="B29" s="465"/>
      <c r="C29" s="363" t="s">
        <v>209</v>
      </c>
      <c r="D29" s="364">
        <v>22.35</v>
      </c>
    </row>
    <row r="30" spans="1:4" ht="14.25" x14ac:dyDescent="0.2">
      <c r="A30" s="464"/>
      <c r="B30" s="465"/>
      <c r="C30" s="363"/>
      <c r="D30" s="364"/>
    </row>
    <row r="31" spans="1:4" ht="14.25" x14ac:dyDescent="0.2">
      <c r="A31" s="466" t="s">
        <v>233</v>
      </c>
      <c r="B31" s="467"/>
      <c r="C31" s="363"/>
      <c r="D31" s="364"/>
    </row>
    <row r="32" spans="1:4" ht="14.25" x14ac:dyDescent="0.2">
      <c r="A32" s="367"/>
      <c r="B32" s="368" t="s">
        <v>235</v>
      </c>
      <c r="C32" s="363" t="s">
        <v>236</v>
      </c>
      <c r="D32" s="364">
        <v>-0.6</v>
      </c>
    </row>
    <row r="33" spans="1:4" ht="14.25" x14ac:dyDescent="0.2">
      <c r="A33" s="367"/>
      <c r="B33" s="368" t="s">
        <v>234</v>
      </c>
      <c r="C33" s="363" t="s">
        <v>236</v>
      </c>
      <c r="D33" s="364">
        <v>-0.6</v>
      </c>
    </row>
    <row r="34" spans="1:4" ht="15" thickBot="1" x14ac:dyDescent="0.25">
      <c r="A34" s="369"/>
      <c r="B34" s="370" t="s">
        <v>237</v>
      </c>
      <c r="C34" s="365" t="s">
        <v>135</v>
      </c>
      <c r="D34" s="366">
        <v>-1</v>
      </c>
    </row>
    <row r="35" spans="1:4" ht="13.5" thickBot="1" x14ac:dyDescent="0.25"/>
    <row r="36" spans="1:4" ht="32.25" thickBot="1" x14ac:dyDescent="0.25">
      <c r="A36" s="462" t="s">
        <v>238</v>
      </c>
      <c r="B36" s="463"/>
      <c r="C36" s="355" t="s">
        <v>208</v>
      </c>
    </row>
    <row r="37" spans="1:4" ht="14.25" x14ac:dyDescent="0.2">
      <c r="A37" s="373" t="s">
        <v>239</v>
      </c>
      <c r="B37" s="374"/>
      <c r="C37" s="375"/>
    </row>
    <row r="38" spans="1:4" ht="14.25" x14ac:dyDescent="0.2">
      <c r="A38" s="373"/>
      <c r="B38" s="374" t="s">
        <v>240</v>
      </c>
      <c r="C38" s="375">
        <v>1.0342</v>
      </c>
    </row>
    <row r="39" spans="1:4" ht="14.25" x14ac:dyDescent="0.2">
      <c r="A39" s="373"/>
      <c r="B39" s="374" t="s">
        <v>241</v>
      </c>
      <c r="C39" s="375" t="s">
        <v>242</v>
      </c>
    </row>
    <row r="40" spans="1:4" ht="14.25" x14ac:dyDescent="0.2">
      <c r="A40" s="373" t="s">
        <v>243</v>
      </c>
      <c r="B40" s="374"/>
      <c r="C40" s="375"/>
    </row>
    <row r="41" spans="1:4" ht="14.25" x14ac:dyDescent="0.2">
      <c r="A41" s="373"/>
      <c r="B41" s="374" t="s">
        <v>240</v>
      </c>
      <c r="C41" s="375">
        <v>1.0239</v>
      </c>
    </row>
    <row r="42" spans="1:4" ht="15" thickBot="1" x14ac:dyDescent="0.25">
      <c r="A42" s="376"/>
      <c r="B42" s="377" t="s">
        <v>241</v>
      </c>
      <c r="C42" s="378" t="s">
        <v>242</v>
      </c>
    </row>
    <row r="43" spans="1:4" ht="14.25" x14ac:dyDescent="0.2">
      <c r="A43" s="371"/>
      <c r="B43" s="371"/>
      <c r="C43" s="372"/>
    </row>
    <row r="44" spans="1:4" ht="14.25" x14ac:dyDescent="0.2">
      <c r="A44" s="371"/>
      <c r="B44" s="371"/>
      <c r="C44" s="372"/>
    </row>
  </sheetData>
  <mergeCells count="14">
    <mergeCell ref="A3:D3"/>
    <mergeCell ref="A2:D2"/>
    <mergeCell ref="A36:B36"/>
    <mergeCell ref="A27:B27"/>
    <mergeCell ref="A28:B28"/>
    <mergeCell ref="A29:B29"/>
    <mergeCell ref="A30:B30"/>
    <mergeCell ref="A31:B31"/>
    <mergeCell ref="A6:B6"/>
    <mergeCell ref="A7:B7"/>
    <mergeCell ref="A17:B17"/>
    <mergeCell ref="A25:B25"/>
    <mergeCell ref="A26:B26"/>
    <mergeCell ref="A4:D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I36"/>
  <sheetViews>
    <sheetView workbookViewId="0">
      <selection activeCell="C28" sqref="C28"/>
    </sheetView>
  </sheetViews>
  <sheetFormatPr defaultRowHeight="12.75" x14ac:dyDescent="0.2"/>
  <cols>
    <col min="1" max="1" width="40.85546875" customWidth="1"/>
    <col min="2" max="2" width="15.7109375" customWidth="1"/>
    <col min="3" max="3" width="17.5703125" bestFit="1" customWidth="1"/>
    <col min="4" max="4" width="15.7109375" customWidth="1"/>
    <col min="5" max="5" width="17.5703125" bestFit="1" customWidth="1"/>
    <col min="6" max="6" width="15.7109375" customWidth="1"/>
    <col min="7" max="7" width="17.5703125" bestFit="1" customWidth="1"/>
    <col min="8" max="8" width="15.7109375" customWidth="1"/>
    <col min="9" max="9" width="17.5703125" bestFit="1" customWidth="1"/>
  </cols>
  <sheetData>
    <row r="1" spans="1:9" x14ac:dyDescent="0.2">
      <c r="A1" s="394">
        <f>+'Revenue Input'!A1</f>
        <v>0</v>
      </c>
      <c r="B1" s="394"/>
      <c r="C1" s="394"/>
    </row>
    <row r="3" spans="1:9" ht="8.25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9" ht="17.25" customHeight="1" x14ac:dyDescent="0.2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 x14ac:dyDescent="0.2">
      <c r="A5" s="266" t="s">
        <v>29</v>
      </c>
      <c r="B5" s="266" t="s">
        <v>16</v>
      </c>
      <c r="C5" s="266"/>
    </row>
    <row r="6" spans="1:9" ht="15" customHeight="1" x14ac:dyDescent="0.2"/>
    <row r="7" spans="1:9" ht="15" customHeight="1" x14ac:dyDescent="0.2">
      <c r="A7" s="393"/>
      <c r="B7" s="393"/>
      <c r="C7" s="393"/>
    </row>
    <row r="8" spans="1:9" ht="15.75" x14ac:dyDescent="0.25">
      <c r="A8" s="395" t="s">
        <v>84</v>
      </c>
      <c r="B8" s="399" t="s">
        <v>188</v>
      </c>
      <c r="C8" s="400"/>
    </row>
    <row r="9" spans="1:9" ht="15.75" x14ac:dyDescent="0.25">
      <c r="A9" s="396"/>
      <c r="B9" s="307" t="s">
        <v>25</v>
      </c>
      <c r="C9" s="308" t="s">
        <v>28</v>
      </c>
    </row>
    <row r="10" spans="1:9" ht="15.75" x14ac:dyDescent="0.25">
      <c r="A10" s="63" t="s">
        <v>26</v>
      </c>
      <c r="B10" s="64"/>
      <c r="C10" s="65"/>
    </row>
    <row r="11" spans="1:9" ht="15.75" x14ac:dyDescent="0.25">
      <c r="A11" s="66" t="str">
        <f>+'Forecast Data For2013'!A9</f>
        <v>GS &gt;50 to 999 kW</v>
      </c>
      <c r="B11" s="330">
        <v>117670</v>
      </c>
      <c r="C11" s="201">
        <f>+B11*$B$17</f>
        <v>-70602</v>
      </c>
      <c r="E11" s="384"/>
      <c r="F11" s="385"/>
      <c r="G11" s="49"/>
      <c r="H11" s="7"/>
      <c r="I11" s="7"/>
    </row>
    <row r="12" spans="1:9" ht="15.75" x14ac:dyDescent="0.25">
      <c r="A12" s="66" t="str">
        <f>+'Forecast Data For2013'!A12</f>
        <v>GS &gt;1000 to 4999 kW</v>
      </c>
      <c r="B12" s="330">
        <v>549330</v>
      </c>
      <c r="C12" s="201">
        <f>+B12*$B$17</f>
        <v>-329598</v>
      </c>
      <c r="E12" s="384"/>
      <c r="F12" s="385"/>
      <c r="G12" s="49"/>
      <c r="H12" s="7"/>
      <c r="I12" s="7"/>
    </row>
    <row r="13" spans="1:9" ht="15.75" x14ac:dyDescent="0.25">
      <c r="A13" s="66" t="str">
        <f>'Forecast Data For2013'!A15</f>
        <v>Large Use</v>
      </c>
      <c r="B13" s="330"/>
      <c r="C13" s="201">
        <f>+B13*$B$17</f>
        <v>0</v>
      </c>
      <c r="E13" s="49"/>
      <c r="F13" s="49"/>
      <c r="G13" s="49"/>
      <c r="H13" s="7"/>
      <c r="I13" s="7"/>
    </row>
    <row r="14" spans="1:9" ht="15.75" x14ac:dyDescent="0.25">
      <c r="A14" s="66"/>
      <c r="B14" s="330"/>
      <c r="C14" s="201">
        <f>+B14*$B$17</f>
        <v>0</v>
      </c>
      <c r="E14" s="49"/>
      <c r="F14" s="49"/>
      <c r="G14" s="49"/>
      <c r="H14" s="7"/>
      <c r="I14" s="7"/>
    </row>
    <row r="15" spans="1:9" ht="15.75" x14ac:dyDescent="0.25">
      <c r="A15" s="67" t="s">
        <v>27</v>
      </c>
      <c r="B15" s="195">
        <f>SUM(B11:B14)</f>
        <v>667000</v>
      </c>
      <c r="C15" s="201">
        <f>SUM(C11:C14)</f>
        <v>-400200</v>
      </c>
    </row>
    <row r="16" spans="1:9" ht="13.5" thickBot="1" x14ac:dyDescent="0.25"/>
    <row r="17" spans="1:9" ht="16.5" thickBot="1" x14ac:dyDescent="0.3">
      <c r="A17" s="4" t="s">
        <v>85</v>
      </c>
      <c r="B17" s="314">
        <v>-0.6</v>
      </c>
    </row>
    <row r="18" spans="1:9" ht="15" x14ac:dyDescent="0.2">
      <c r="A18" s="3"/>
    </row>
    <row r="19" spans="1:9" ht="15.75" x14ac:dyDescent="0.25">
      <c r="A19" s="4"/>
    </row>
    <row r="20" spans="1:9" ht="15" x14ac:dyDescent="0.2">
      <c r="A20" s="3" t="s">
        <v>127</v>
      </c>
    </row>
    <row r="21" spans="1:9" ht="15.75" x14ac:dyDescent="0.25">
      <c r="A21" s="395" t="s">
        <v>84</v>
      </c>
      <c r="B21" s="397" t="s">
        <v>189</v>
      </c>
      <c r="C21" s="398"/>
    </row>
    <row r="22" spans="1:9" ht="15.75" x14ac:dyDescent="0.25">
      <c r="A22" s="396"/>
      <c r="B22" s="307" t="s">
        <v>25</v>
      </c>
      <c r="C22" s="308" t="s">
        <v>28</v>
      </c>
    </row>
    <row r="23" spans="1:9" ht="15.75" x14ac:dyDescent="0.25">
      <c r="A23" s="63" t="s">
        <v>26</v>
      </c>
      <c r="B23" s="64"/>
      <c r="C23" s="65"/>
    </row>
    <row r="24" spans="1:9" ht="15.75" x14ac:dyDescent="0.25">
      <c r="A24" s="66" t="str">
        <f>+A11</f>
        <v>GS &gt;50 to 999 kW</v>
      </c>
      <c r="B24" s="330">
        <v>116561</v>
      </c>
      <c r="C24" s="201">
        <f>+B24*$B$17</f>
        <v>-69936.599999999991</v>
      </c>
      <c r="E24" s="49"/>
      <c r="F24" s="49"/>
      <c r="G24" s="49"/>
      <c r="H24" s="7"/>
      <c r="I24" s="7"/>
    </row>
    <row r="25" spans="1:9" ht="15.75" x14ac:dyDescent="0.25">
      <c r="A25" s="66" t="str">
        <f>+A12</f>
        <v>GS &gt;1000 to 4999 kW</v>
      </c>
      <c r="B25" s="330">
        <v>548384</v>
      </c>
      <c r="C25" s="201">
        <f>+B25*$B$17</f>
        <v>-329030.39999999997</v>
      </c>
      <c r="E25" s="49"/>
      <c r="F25" s="49"/>
      <c r="G25" s="49"/>
      <c r="H25" s="7"/>
      <c r="I25" s="7"/>
    </row>
    <row r="26" spans="1:9" ht="15.75" x14ac:dyDescent="0.25">
      <c r="A26" s="66" t="str">
        <f>+A13</f>
        <v>Large Use</v>
      </c>
      <c r="B26" s="330"/>
      <c r="C26" s="201">
        <f>+B26*$B$17</f>
        <v>0</v>
      </c>
      <c r="E26" s="49"/>
      <c r="F26" s="49"/>
      <c r="G26" s="49"/>
      <c r="H26" s="7"/>
      <c r="I26" s="7"/>
    </row>
    <row r="27" spans="1:9" ht="15.75" x14ac:dyDescent="0.25">
      <c r="A27" s="66"/>
      <c r="B27" s="330"/>
      <c r="C27" s="201">
        <f>+B27*$B$17</f>
        <v>0</v>
      </c>
      <c r="E27" s="49"/>
      <c r="F27" s="49"/>
      <c r="G27" s="49"/>
      <c r="H27" s="7"/>
      <c r="I27" s="7"/>
    </row>
    <row r="28" spans="1:9" ht="15.75" x14ac:dyDescent="0.25">
      <c r="A28" s="67" t="s">
        <v>27</v>
      </c>
      <c r="B28" s="195">
        <f>SUM(B24:B27)</f>
        <v>664945</v>
      </c>
      <c r="C28" s="201">
        <f>SUM(C24:C27)</f>
        <v>-398966.99999999994</v>
      </c>
    </row>
    <row r="29" spans="1:9" ht="13.5" thickBot="1" x14ac:dyDescent="0.25"/>
    <row r="30" spans="1:9" ht="16.5" thickBot="1" x14ac:dyDescent="0.3">
      <c r="A30" s="4" t="s">
        <v>85</v>
      </c>
      <c r="B30" s="314">
        <v>-0.6</v>
      </c>
    </row>
    <row r="31" spans="1:9" ht="15.75" x14ac:dyDescent="0.25">
      <c r="A31" s="4"/>
    </row>
    <row r="32" spans="1:9" ht="15" x14ac:dyDescent="0.2">
      <c r="A32" s="3"/>
    </row>
    <row r="33" spans="1:1" ht="15.75" x14ac:dyDescent="0.25">
      <c r="A33" s="4"/>
    </row>
    <row r="34" spans="1:1" ht="15" x14ac:dyDescent="0.2">
      <c r="A34" s="3"/>
    </row>
    <row r="35" spans="1:1" ht="15" x14ac:dyDescent="0.2">
      <c r="A35" s="3"/>
    </row>
    <row r="36" spans="1:1" ht="15" x14ac:dyDescent="0.2">
      <c r="A36" s="3"/>
    </row>
  </sheetData>
  <mergeCells count="6">
    <mergeCell ref="A7:C7"/>
    <mergeCell ref="A1:C1"/>
    <mergeCell ref="A21:A22"/>
    <mergeCell ref="B21:C21"/>
    <mergeCell ref="B8:C8"/>
    <mergeCell ref="A8:A9"/>
  </mergeCells>
  <phoneticPr fontId="0" type="noConversion"/>
  <pageMargins left="0.35433070866141736" right="0.35433070866141736" top="0.59055118110236227" bottom="0.59055118110236227" header="0.31496062992125984" footer="0.31496062992125984"/>
  <pageSetup orientation="landscape" r:id="rId1"/>
  <headerFooter alignWithMargins="0">
    <oddFooter>&amp;R&amp;Z&amp;F &amp;A  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C32"/>
  <sheetViews>
    <sheetView zoomScaleNormal="100" workbookViewId="0">
      <selection activeCell="C5" sqref="C5"/>
    </sheetView>
  </sheetViews>
  <sheetFormatPr defaultRowHeight="12.75" x14ac:dyDescent="0.2"/>
  <cols>
    <col min="1" max="1" width="35.7109375" customWidth="1"/>
    <col min="2" max="2" width="16.140625" bestFit="1" customWidth="1"/>
    <col min="3" max="3" width="12.7109375" bestFit="1" customWidth="1"/>
  </cols>
  <sheetData>
    <row r="1" spans="1:3" x14ac:dyDescent="0.2">
      <c r="A1" s="394">
        <f>+'Revenue Input'!A1</f>
        <v>0</v>
      </c>
      <c r="B1" s="394"/>
      <c r="C1" s="394"/>
    </row>
    <row r="2" spans="1:3" ht="27" customHeight="1" x14ac:dyDescent="0.2">
      <c r="A2" s="401" t="s">
        <v>192</v>
      </c>
      <c r="B2" s="402"/>
      <c r="C2" s="403"/>
    </row>
    <row r="3" spans="1:3" ht="18.75" customHeight="1" x14ac:dyDescent="0.2">
      <c r="A3" s="315" t="s">
        <v>21</v>
      </c>
      <c r="B3" s="315"/>
      <c r="C3" s="316"/>
    </row>
    <row r="4" spans="1:3" ht="39" thickBot="1" x14ac:dyDescent="0.25">
      <c r="A4" s="317" t="s">
        <v>15</v>
      </c>
      <c r="B4" s="318" t="s">
        <v>81</v>
      </c>
      <c r="C4" s="319" t="s">
        <v>176</v>
      </c>
    </row>
    <row r="5" spans="1:3" ht="15" customHeight="1" x14ac:dyDescent="0.2">
      <c r="A5" s="224" t="s">
        <v>103</v>
      </c>
      <c r="B5" s="59" t="s">
        <v>16</v>
      </c>
      <c r="C5" s="320">
        <v>44881.009746844953</v>
      </c>
    </row>
    <row r="6" spans="1:3" ht="15" customHeight="1" thickBot="1" x14ac:dyDescent="0.25">
      <c r="A6" s="61"/>
      <c r="B6" s="62"/>
      <c r="C6" s="321">
        <v>339721062.06603348</v>
      </c>
    </row>
    <row r="7" spans="1:3" ht="15" customHeight="1" x14ac:dyDescent="0.2">
      <c r="A7" s="224" t="s">
        <v>104</v>
      </c>
      <c r="B7" s="59" t="s">
        <v>82</v>
      </c>
      <c r="C7" s="320">
        <v>4491.6613249112725</v>
      </c>
    </row>
    <row r="8" spans="1:3" ht="15" customHeight="1" thickBot="1" x14ac:dyDescent="0.25">
      <c r="A8" s="61"/>
      <c r="B8" s="62" t="s">
        <v>12</v>
      </c>
      <c r="C8" s="321">
        <v>131404393.92510152</v>
      </c>
    </row>
    <row r="9" spans="1:3" ht="15" customHeight="1" x14ac:dyDescent="0.2">
      <c r="A9" s="224" t="s">
        <v>123</v>
      </c>
      <c r="B9" s="59" t="s">
        <v>82</v>
      </c>
      <c r="C9" s="322">
        <v>514.84096429896726</v>
      </c>
    </row>
    <row r="10" spans="1:3" ht="15" customHeight="1" x14ac:dyDescent="0.2">
      <c r="A10" s="60"/>
      <c r="B10" s="58" t="s">
        <v>13</v>
      </c>
      <c r="C10" s="323">
        <v>783588.88270761597</v>
      </c>
    </row>
    <row r="11" spans="1:3" ht="15" customHeight="1" thickBot="1" x14ac:dyDescent="0.25">
      <c r="A11" s="61"/>
      <c r="B11" s="62" t="s">
        <v>12</v>
      </c>
      <c r="C11" s="321">
        <v>288398369.19726437</v>
      </c>
    </row>
    <row r="12" spans="1:3" ht="15" customHeight="1" x14ac:dyDescent="0.2">
      <c r="A12" s="224" t="s">
        <v>124</v>
      </c>
      <c r="B12" s="59" t="s">
        <v>82</v>
      </c>
      <c r="C12" s="322">
        <v>19.000000000000004</v>
      </c>
    </row>
    <row r="13" spans="1:3" ht="15" customHeight="1" x14ac:dyDescent="0.2">
      <c r="A13" s="60"/>
      <c r="B13" s="58" t="s">
        <v>13</v>
      </c>
      <c r="C13" s="323">
        <v>568916.77287365973</v>
      </c>
    </row>
    <row r="14" spans="1:3" ht="15" customHeight="1" thickBot="1" x14ac:dyDescent="0.25">
      <c r="A14" s="61"/>
      <c r="B14" s="62" t="s">
        <v>12</v>
      </c>
      <c r="C14" s="321">
        <v>183532884.44497463</v>
      </c>
    </row>
    <row r="15" spans="1:3" ht="15" hidden="1" customHeight="1" x14ac:dyDescent="0.2">
      <c r="A15" s="224" t="s">
        <v>105</v>
      </c>
      <c r="B15" s="221" t="s">
        <v>82</v>
      </c>
      <c r="C15" s="324"/>
    </row>
    <row r="16" spans="1:3" ht="15" hidden="1" customHeight="1" x14ac:dyDescent="0.2">
      <c r="A16" s="60"/>
      <c r="B16" s="222" t="s">
        <v>13</v>
      </c>
      <c r="C16" s="325"/>
    </row>
    <row r="17" spans="1:3" ht="15" hidden="1" customHeight="1" thickBot="1" x14ac:dyDescent="0.25">
      <c r="A17" s="61"/>
      <c r="B17" s="223" t="s">
        <v>12</v>
      </c>
      <c r="C17" s="326"/>
    </row>
    <row r="18" spans="1:3" ht="15" customHeight="1" x14ac:dyDescent="0.2">
      <c r="A18" s="224" t="s">
        <v>106</v>
      </c>
      <c r="B18" s="221" t="s">
        <v>83</v>
      </c>
      <c r="C18" s="324">
        <v>168.67175619551304</v>
      </c>
    </row>
    <row r="19" spans="1:3" ht="15" customHeight="1" x14ac:dyDescent="0.2">
      <c r="A19" s="60"/>
      <c r="B19" s="222" t="s">
        <v>13</v>
      </c>
      <c r="C19" s="325">
        <v>340.22969839309201</v>
      </c>
    </row>
    <row r="20" spans="1:3" ht="15" customHeight="1" thickBot="1" x14ac:dyDescent="0.25">
      <c r="A20" s="61"/>
      <c r="B20" s="62" t="s">
        <v>12</v>
      </c>
      <c r="C20" s="321">
        <v>122482.69142151311</v>
      </c>
    </row>
    <row r="21" spans="1:3" ht="15" customHeight="1" x14ac:dyDescent="0.2">
      <c r="A21" s="224" t="s">
        <v>107</v>
      </c>
      <c r="B21" s="59" t="s">
        <v>83</v>
      </c>
      <c r="C21" s="322">
        <v>13216.809308754411</v>
      </c>
    </row>
    <row r="22" spans="1:3" ht="15" customHeight="1" x14ac:dyDescent="0.2">
      <c r="A22" s="60"/>
      <c r="B22" s="58" t="s">
        <v>13</v>
      </c>
      <c r="C22" s="323">
        <v>31502.017268989308</v>
      </c>
    </row>
    <row r="23" spans="1:3" ht="15" customHeight="1" thickBot="1" x14ac:dyDescent="0.25">
      <c r="A23" s="61"/>
      <c r="B23" s="62" t="s">
        <v>12</v>
      </c>
      <c r="C23" s="321">
        <v>11183615.245140083</v>
      </c>
    </row>
    <row r="24" spans="1:3" ht="15" customHeight="1" x14ac:dyDescent="0.2">
      <c r="A24" s="224" t="s">
        <v>131</v>
      </c>
      <c r="B24" s="59" t="s">
        <v>83</v>
      </c>
      <c r="C24" s="322">
        <v>475.32528689516721</v>
      </c>
    </row>
    <row r="25" spans="1:3" ht="15" customHeight="1" thickBot="1" x14ac:dyDescent="0.25">
      <c r="A25" s="61"/>
      <c r="B25" s="62" t="s">
        <v>12</v>
      </c>
      <c r="C25" s="323">
        <v>2024906.7886311996</v>
      </c>
    </row>
    <row r="26" spans="1:3" ht="15" customHeight="1" x14ac:dyDescent="0.2">
      <c r="A26" s="224" t="s">
        <v>108</v>
      </c>
      <c r="B26" s="59" t="s">
        <v>109</v>
      </c>
      <c r="C26" s="220">
        <f>C5+C7+C9+C12+C15+C18+C21+C24</f>
        <v>63767.318387900283</v>
      </c>
    </row>
    <row r="27" spans="1:3" ht="15" customHeight="1" x14ac:dyDescent="0.2">
      <c r="A27" s="225"/>
      <c r="B27" s="58" t="s">
        <v>13</v>
      </c>
      <c r="C27" s="226">
        <f>C10+C13+C16+C19+C22</f>
        <v>1384347.902548658</v>
      </c>
    </row>
    <row r="28" spans="1:3" ht="15" customHeight="1" thickBot="1" x14ac:dyDescent="0.25">
      <c r="A28" s="61"/>
      <c r="B28" s="62" t="s">
        <v>12</v>
      </c>
      <c r="C28" s="227">
        <f>C6+C8+C11+C14+C17+C20+C23+C25</f>
        <v>956387714.35856676</v>
      </c>
    </row>
    <row r="30" spans="1:3" x14ac:dyDescent="0.2">
      <c r="C30" s="21"/>
    </row>
    <row r="31" spans="1:3" x14ac:dyDescent="0.2">
      <c r="C31" s="21"/>
    </row>
    <row r="32" spans="1:3" x14ac:dyDescent="0.2">
      <c r="C32" s="21"/>
    </row>
  </sheetData>
  <mergeCells count="2">
    <mergeCell ref="A2:C2"/>
    <mergeCell ref="A1:C1"/>
  </mergeCells>
  <phoneticPr fontId="0" type="noConversion"/>
  <pageMargins left="0.35433070866141736" right="0.35433070866141736" top="0.59055118110236227" bottom="0.59055118110236227" header="0.31496062992125984" footer="0.31496062992125984"/>
  <pageSetup orientation="landscape" r:id="rId1"/>
  <headerFooter alignWithMargins="0">
    <oddFooter>&amp;R&amp;Z&amp;F &amp;A   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O15"/>
  <sheetViews>
    <sheetView tabSelected="1" workbookViewId="0">
      <selection activeCell="E21" sqref="E21"/>
    </sheetView>
  </sheetViews>
  <sheetFormatPr defaultColWidth="9.28515625" defaultRowHeight="12.75" x14ac:dyDescent="0.2"/>
  <cols>
    <col min="1" max="1" width="32.7109375" bestFit="1" customWidth="1"/>
    <col min="2" max="2" width="16.42578125" customWidth="1"/>
    <col min="3" max="3" width="15.140625" customWidth="1"/>
    <col min="4" max="4" width="12" customWidth="1"/>
    <col min="5" max="5" width="14.42578125" customWidth="1"/>
  </cols>
  <sheetData>
    <row r="1" spans="1:15" x14ac:dyDescent="0.2">
      <c r="A1" s="394">
        <f>+'Revenue Input'!A1</f>
        <v>0</v>
      </c>
      <c r="B1" s="394"/>
      <c r="C1" s="394"/>
      <c r="D1" s="394"/>
      <c r="E1" s="394"/>
    </row>
    <row r="2" spans="1:15" x14ac:dyDescent="0.2">
      <c r="A2" s="406"/>
      <c r="B2" s="406"/>
      <c r="C2" s="406"/>
      <c r="D2" s="406"/>
      <c r="E2" s="406"/>
    </row>
    <row r="3" spans="1:15" s="7" customFormat="1" ht="15" x14ac:dyDescent="0.25">
      <c r="A3" s="405" t="s">
        <v>175</v>
      </c>
      <c r="B3" s="405"/>
      <c r="C3" s="405"/>
      <c r="D3" s="405"/>
      <c r="E3" s="405"/>
      <c r="K3" s="405"/>
      <c r="L3" s="405"/>
      <c r="M3" s="405"/>
      <c r="N3" s="405"/>
      <c r="O3" s="405"/>
    </row>
    <row r="4" spans="1:15" s="7" customFormat="1" ht="26.25" customHeight="1" thickBot="1" x14ac:dyDescent="0.25">
      <c r="A4" s="309"/>
      <c r="B4" s="407" t="s">
        <v>129</v>
      </c>
      <c r="C4" s="407"/>
      <c r="D4" s="407" t="s">
        <v>130</v>
      </c>
      <c r="E4" s="407"/>
    </row>
    <row r="5" spans="1:15" ht="13.5" thickBot="1" x14ac:dyDescent="0.25">
      <c r="A5" s="310" t="s">
        <v>0</v>
      </c>
      <c r="B5" s="311" t="s">
        <v>16</v>
      </c>
      <c r="C5" s="311" t="s">
        <v>17</v>
      </c>
      <c r="D5" s="311" t="s">
        <v>13</v>
      </c>
      <c r="E5" s="311" t="s">
        <v>12</v>
      </c>
    </row>
    <row r="6" spans="1:15" x14ac:dyDescent="0.2">
      <c r="A6" s="68" t="str">
        <f>'Forecast Data For2013'!A5</f>
        <v>Residential</v>
      </c>
      <c r="B6" s="312"/>
      <c r="C6" s="313">
        <f>9.85+(2.24/12*10)</f>
        <v>11.716666666666667</v>
      </c>
      <c r="D6" s="312"/>
      <c r="E6" s="312">
        <v>1.24E-2</v>
      </c>
      <c r="F6" s="49"/>
      <c r="G6" s="7"/>
      <c r="H6" s="7"/>
      <c r="I6" s="7"/>
    </row>
    <row r="7" spans="1:15" x14ac:dyDescent="0.2">
      <c r="A7" s="69" t="str">
        <f>'Forecast Data For2013'!A7</f>
        <v>GS &lt; 50 kW</v>
      </c>
      <c r="B7" s="312"/>
      <c r="C7" s="313">
        <f>17.84+(8.21/12*10)</f>
        <v>24.681666666666665</v>
      </c>
      <c r="D7" s="312"/>
      <c r="E7" s="312">
        <v>1.2999999999999999E-2</v>
      </c>
      <c r="F7" s="7"/>
      <c r="G7" s="7"/>
      <c r="H7" s="7"/>
      <c r="I7" s="7"/>
    </row>
    <row r="8" spans="1:15" x14ac:dyDescent="0.2">
      <c r="A8" s="69" t="str">
        <f>'Forecast Data For2013'!A9</f>
        <v>GS &gt;50 to 999 kW</v>
      </c>
      <c r="B8" s="312"/>
      <c r="C8" s="313">
        <v>241.78</v>
      </c>
      <c r="D8" s="312">
        <v>1.3603000000000001</v>
      </c>
      <c r="E8" s="312"/>
      <c r="F8" s="7"/>
      <c r="G8" s="7"/>
      <c r="H8" s="7"/>
      <c r="I8" s="7"/>
    </row>
    <row r="9" spans="1:15" x14ac:dyDescent="0.2">
      <c r="A9" s="69" t="str">
        <f>+'Forecast Data For2013'!A12</f>
        <v>GS &gt;1000 to 4999 kW</v>
      </c>
      <c r="B9" s="312"/>
      <c r="C9" s="313">
        <v>2794.55</v>
      </c>
      <c r="D9" s="312">
        <v>2.2313999999999998</v>
      </c>
      <c r="E9" s="312"/>
      <c r="F9" s="7"/>
      <c r="G9" s="7"/>
      <c r="H9" s="7"/>
      <c r="I9" s="7"/>
    </row>
    <row r="10" spans="1:15" x14ac:dyDescent="0.2">
      <c r="A10" s="69" t="str">
        <f>'Forecast Data For2013'!A15</f>
        <v>Large Use</v>
      </c>
      <c r="B10" s="312"/>
      <c r="C10" s="313"/>
      <c r="D10" s="312"/>
      <c r="E10" s="312"/>
      <c r="F10" s="7"/>
      <c r="G10" s="7"/>
      <c r="H10" s="7"/>
      <c r="I10" s="7"/>
    </row>
    <row r="11" spans="1:15" x14ac:dyDescent="0.2">
      <c r="A11" s="69" t="str">
        <f>'Forecast Data For2013'!A18</f>
        <v>Sentinel Lights</v>
      </c>
      <c r="B11" s="313">
        <v>6.4</v>
      </c>
      <c r="C11" s="313"/>
      <c r="D11" s="312">
        <v>5.1349999999999998</v>
      </c>
      <c r="E11" s="312"/>
      <c r="F11" s="7"/>
      <c r="G11" s="7"/>
      <c r="H11" s="7"/>
      <c r="I11" s="7"/>
    </row>
    <row r="12" spans="1:15" x14ac:dyDescent="0.2">
      <c r="A12" s="69" t="str">
        <f>'Forecast Data For2013'!A21</f>
        <v>Street Lighting</v>
      </c>
      <c r="B12" s="313">
        <v>2.16</v>
      </c>
      <c r="C12" s="313"/>
      <c r="D12" s="312">
        <v>13.061</v>
      </c>
      <c r="E12" s="312"/>
      <c r="F12" s="7"/>
      <c r="G12" s="7"/>
      <c r="H12" s="7"/>
      <c r="I12" s="7"/>
    </row>
    <row r="13" spans="1:15" x14ac:dyDescent="0.2">
      <c r="A13" s="69" t="str">
        <f>'Forecast Data For2013'!A24</f>
        <v>Unmetered and Scattered</v>
      </c>
      <c r="B13" s="313">
        <v>8.91</v>
      </c>
      <c r="C13" s="313"/>
      <c r="D13" s="312"/>
      <c r="E13" s="312">
        <v>1.2999999999999999E-2</v>
      </c>
      <c r="F13" s="7"/>
      <c r="G13" s="7"/>
      <c r="H13" s="7"/>
      <c r="I13" s="7"/>
    </row>
    <row r="14" spans="1:15" x14ac:dyDescent="0.2">
      <c r="A14" s="69"/>
      <c r="B14" s="312"/>
      <c r="C14" s="313"/>
      <c r="D14" s="312"/>
      <c r="E14" s="312"/>
      <c r="F14" s="7"/>
      <c r="G14" s="7"/>
      <c r="H14" s="7"/>
      <c r="I14" s="7"/>
    </row>
    <row r="15" spans="1:15" s="7" customFormat="1" x14ac:dyDescent="0.2">
      <c r="A15" s="404"/>
      <c r="B15" s="404"/>
      <c r="C15" s="404"/>
      <c r="D15" s="404"/>
      <c r="E15" s="404"/>
    </row>
  </sheetData>
  <mergeCells count="7">
    <mergeCell ref="A15:E15"/>
    <mergeCell ref="K3:O3"/>
    <mergeCell ref="A1:E1"/>
    <mergeCell ref="A2:E2"/>
    <mergeCell ref="A3:E3"/>
    <mergeCell ref="B4:C4"/>
    <mergeCell ref="D4:E4"/>
  </mergeCells>
  <phoneticPr fontId="0" type="noConversion"/>
  <pageMargins left="0.35433070866141736" right="0.35433070866141736" top="0.59055118110236227" bottom="0.59055118110236227" header="0.31496062992125984" footer="0.31496062992125984"/>
  <pageSetup orientation="landscape" r:id="rId1"/>
  <headerFooter alignWithMargins="0">
    <oddFooter>&amp;R&amp;Z&amp;F &amp;A  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showGridLines="0" zoomScale="85" workbookViewId="0">
      <selection activeCell="F25" sqref="F25"/>
    </sheetView>
  </sheetViews>
  <sheetFormatPr defaultRowHeight="12.75" x14ac:dyDescent="0.2"/>
  <cols>
    <col min="1" max="1" width="33.140625" bestFit="1" customWidth="1"/>
    <col min="2" max="3" width="16.7109375" customWidth="1"/>
    <col min="4" max="4" width="13.28515625" customWidth="1"/>
    <col min="5" max="6" width="13" customWidth="1"/>
    <col min="7" max="12" width="14.7109375" customWidth="1"/>
    <col min="13" max="14" width="17.5703125" customWidth="1"/>
    <col min="15" max="15" width="13.5703125" customWidth="1"/>
    <col min="16" max="16" width="10.28515625" bestFit="1" customWidth="1"/>
  </cols>
  <sheetData>
    <row r="1" spans="1:21" x14ac:dyDescent="0.2">
      <c r="A1" s="394">
        <f>+'Revenue Input'!A1</f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21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21" ht="18" customHeight="1" x14ac:dyDescent="0.25">
      <c r="A3" s="410" t="s">
        <v>177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</row>
    <row r="4" spans="1:21" ht="18" customHeight="1" x14ac:dyDescent="0.25">
      <c r="A4" s="410" t="s">
        <v>19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</row>
    <row r="5" spans="1:21" ht="18" customHeight="1" x14ac:dyDescent="0.25">
      <c r="A5" s="410"/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</row>
    <row r="6" spans="1:21" s="2" customFormat="1" ht="38.25" x14ac:dyDescent="0.2">
      <c r="A6" s="327" t="s">
        <v>15</v>
      </c>
      <c r="B6" s="327"/>
      <c r="C6" s="327" t="s">
        <v>7</v>
      </c>
      <c r="D6" s="327" t="s">
        <v>9</v>
      </c>
      <c r="E6" s="327" t="s">
        <v>18</v>
      </c>
      <c r="F6" s="327" t="s">
        <v>10</v>
      </c>
      <c r="G6" s="327" t="s">
        <v>11</v>
      </c>
      <c r="H6" s="327" t="s">
        <v>94</v>
      </c>
      <c r="I6" s="327" t="s">
        <v>5</v>
      </c>
      <c r="J6" s="327" t="s">
        <v>95</v>
      </c>
      <c r="K6" s="327" t="s">
        <v>63</v>
      </c>
      <c r="L6" s="327" t="s">
        <v>193</v>
      </c>
      <c r="M6" s="327" t="s">
        <v>195</v>
      </c>
      <c r="N6" s="327" t="s">
        <v>194</v>
      </c>
      <c r="O6" s="327" t="s">
        <v>11</v>
      </c>
      <c r="P6" s="327" t="s">
        <v>31</v>
      </c>
    </row>
    <row r="7" spans="1:21" ht="18" customHeight="1" x14ac:dyDescent="0.2">
      <c r="A7" s="69" t="str">
        <f>'Cost Allocation Study'!A5</f>
        <v>Residential</v>
      </c>
      <c r="B7" s="75">
        <f>+'Forecast Data For2013'!$C$6</f>
        <v>339721062.06603348</v>
      </c>
      <c r="C7" s="75"/>
      <c r="D7" s="75">
        <f>+'Forecast Data For2013'!$C$5*12</f>
        <v>538572.11696213949</v>
      </c>
      <c r="E7" s="75"/>
      <c r="F7" s="75">
        <f>+D7*'2012 Existing Rates'!$C$6</f>
        <v>6310269.970406401</v>
      </c>
      <c r="G7" s="75">
        <f>+B7*'2012 Existing Rates'!E6</f>
        <v>4212541.1696188152</v>
      </c>
      <c r="H7" s="75">
        <f t="shared" ref="H7:H14" si="0">+F7+G7</f>
        <v>10522811.140025217</v>
      </c>
      <c r="I7" s="75"/>
      <c r="J7" s="75">
        <f>H7-I7</f>
        <v>10522811.140025217</v>
      </c>
      <c r="K7" s="76">
        <f t="shared" ref="K7:K14" si="1">+J7/$J$15</f>
        <v>0.56962036531687976</v>
      </c>
      <c r="L7" s="253">
        <f>2.24*10/12</f>
        <v>1.8666666666666669</v>
      </c>
      <c r="M7" s="75">
        <f>D7*L7</f>
        <v>1005334.6183293272</v>
      </c>
      <c r="N7" s="75">
        <f>F7-M7</f>
        <v>5304935.3520770734</v>
      </c>
      <c r="O7" s="75">
        <f>G7-I7</f>
        <v>4212541.1696188152</v>
      </c>
      <c r="P7" s="75">
        <f>N7+O7</f>
        <v>9517476.5216958895</v>
      </c>
      <c r="S7" s="48"/>
      <c r="U7" s="48"/>
    </row>
    <row r="8" spans="1:21" ht="18" customHeight="1" x14ac:dyDescent="0.2">
      <c r="A8" s="69" t="str">
        <f>'Cost Allocation Study'!A6</f>
        <v>GS &lt; 50 kW</v>
      </c>
      <c r="B8" s="75">
        <f>+'Forecast Data For2013'!$C$8</f>
        <v>131404393.92510152</v>
      </c>
      <c r="C8" s="75"/>
      <c r="D8" s="75">
        <f>+'Forecast Data For2013'!$C$7*12</f>
        <v>53899.93589893527</v>
      </c>
      <c r="E8" s="75"/>
      <c r="F8" s="75">
        <f>+D8*'2012 Existing Rates'!$C$7</f>
        <v>1330340.2512122206</v>
      </c>
      <c r="G8" s="75">
        <f>+B8*'2012 Existing Rates'!E7</f>
        <v>1708257.1210263197</v>
      </c>
      <c r="H8" s="75">
        <f t="shared" si="0"/>
        <v>3038597.3722385401</v>
      </c>
      <c r="I8" s="75"/>
      <c r="J8" s="75">
        <f t="shared" ref="J8:J14" si="2">H8-I8</f>
        <v>3038597.3722385401</v>
      </c>
      <c r="K8" s="76">
        <f t="shared" si="1"/>
        <v>0.16448522378605385</v>
      </c>
      <c r="L8" s="253">
        <f>8.21*10/12</f>
        <v>6.8416666666666677</v>
      </c>
      <c r="M8" s="75">
        <f>D8*L8</f>
        <v>368765.39477521554</v>
      </c>
      <c r="N8" s="75">
        <f t="shared" ref="N8:N14" si="3">F8-M8</f>
        <v>961574.8564370051</v>
      </c>
      <c r="O8" s="75">
        <f t="shared" ref="O8:O14" si="4">G8-I8</f>
        <v>1708257.1210263197</v>
      </c>
      <c r="P8" s="75">
        <f t="shared" ref="P8:P14" si="5">N8+O8</f>
        <v>2669831.9774633246</v>
      </c>
      <c r="S8" s="48"/>
      <c r="U8" s="48"/>
    </row>
    <row r="9" spans="1:21" ht="18" customHeight="1" x14ac:dyDescent="0.2">
      <c r="A9" s="69" t="str">
        <f>'Cost Allocation Study'!A7</f>
        <v>GS &gt;50 to 999 kW</v>
      </c>
      <c r="B9" s="75">
        <f>+'Forecast Data For2013'!$C$11</f>
        <v>288398369.19726437</v>
      </c>
      <c r="C9" s="75">
        <f>+'Forecast Data For2013'!$C$10</f>
        <v>783588.88270761597</v>
      </c>
      <c r="D9" s="75">
        <f>+'Forecast Data For2013'!$C$9*12</f>
        <v>6178.0915715876072</v>
      </c>
      <c r="E9" s="75"/>
      <c r="F9" s="75">
        <f>+D9*'2012 Existing Rates'!$C$8</f>
        <v>1493738.9801784516</v>
      </c>
      <c r="G9" s="75">
        <f>+C9*'2012 Existing Rates'!D8</f>
        <v>1065915.9571471701</v>
      </c>
      <c r="H9" s="75">
        <f t="shared" si="0"/>
        <v>2559654.937325622</v>
      </c>
      <c r="I9" s="75">
        <f>-'Transformer Allowance'!C11</f>
        <v>70602</v>
      </c>
      <c r="J9" s="75">
        <f t="shared" si="2"/>
        <v>2489052.937325622</v>
      </c>
      <c r="K9" s="76">
        <f t="shared" si="1"/>
        <v>0.1347373077959732</v>
      </c>
      <c r="L9" s="76"/>
      <c r="M9" s="75"/>
      <c r="N9" s="75">
        <f t="shared" si="3"/>
        <v>1493738.9801784516</v>
      </c>
      <c r="O9" s="75">
        <f t="shared" si="4"/>
        <v>995313.95714717009</v>
      </c>
      <c r="P9" s="75">
        <f t="shared" si="5"/>
        <v>2489052.937325622</v>
      </c>
      <c r="S9" s="48"/>
      <c r="U9" s="48"/>
    </row>
    <row r="10" spans="1:21" ht="18" customHeight="1" x14ac:dyDescent="0.2">
      <c r="A10" s="69" t="str">
        <f>'Cost Allocation Study'!A8</f>
        <v>GS &gt;1000 to 4999 kW</v>
      </c>
      <c r="B10" s="75">
        <f>+'Forecast Data For2013'!$C$14</f>
        <v>183532884.44497463</v>
      </c>
      <c r="C10" s="75">
        <f>+'Forecast Data For2013'!$C$13</f>
        <v>568916.77287365973</v>
      </c>
      <c r="D10" s="75">
        <f>+'Forecast Data For2013'!C12*12</f>
        <v>228.00000000000006</v>
      </c>
      <c r="E10" s="75"/>
      <c r="F10" s="75">
        <f>+D10*'2012 Existing Rates'!$C$9</f>
        <v>637157.40000000026</v>
      </c>
      <c r="G10" s="75">
        <f>+C10*'2012 Existing Rates'!D9</f>
        <v>1269480.8869902843</v>
      </c>
      <c r="H10" s="75">
        <f t="shared" si="0"/>
        <v>1906638.2869902845</v>
      </c>
      <c r="I10" s="75">
        <f>-'Transformer Allowance'!C12</f>
        <v>329598</v>
      </c>
      <c r="J10" s="75">
        <f t="shared" si="2"/>
        <v>1577040.2869902845</v>
      </c>
      <c r="K10" s="76">
        <f t="shared" si="1"/>
        <v>8.5368277776834645E-2</v>
      </c>
      <c r="L10" s="76"/>
      <c r="M10" s="75"/>
      <c r="N10" s="75">
        <f t="shared" si="3"/>
        <v>637157.40000000026</v>
      </c>
      <c r="O10" s="75">
        <f t="shared" si="4"/>
        <v>939882.88699028431</v>
      </c>
      <c r="P10" s="75">
        <f t="shared" si="5"/>
        <v>1577040.2869902845</v>
      </c>
      <c r="S10" s="48"/>
      <c r="U10" s="48"/>
    </row>
    <row r="11" spans="1:21" ht="18" customHeight="1" x14ac:dyDescent="0.2">
      <c r="A11" s="69" t="str">
        <f>'Cost Allocation Study'!A9</f>
        <v>Large Use</v>
      </c>
      <c r="B11" s="75">
        <f>'Forecast Data For2013'!C17</f>
        <v>0</v>
      </c>
      <c r="C11" s="75">
        <f>'Forecast Data For2013'!C16</f>
        <v>0</v>
      </c>
      <c r="D11" s="75">
        <f>'Forecast Data For2013'!C15*12</f>
        <v>0</v>
      </c>
      <c r="E11" s="75"/>
      <c r="F11" s="75">
        <f>+D11*'2012 Existing Rates'!$C$10</f>
        <v>0</v>
      </c>
      <c r="G11" s="75">
        <f>+C11*'2012 Existing Rates'!D10</f>
        <v>0</v>
      </c>
      <c r="H11" s="75">
        <f t="shared" si="0"/>
        <v>0</v>
      </c>
      <c r="I11" s="75">
        <f>-'Transformer Allowance'!C13</f>
        <v>0</v>
      </c>
      <c r="J11" s="75">
        <f t="shared" si="2"/>
        <v>0</v>
      </c>
      <c r="K11" s="76">
        <f t="shared" si="1"/>
        <v>0</v>
      </c>
      <c r="L11" s="76"/>
      <c r="M11" s="75"/>
      <c r="N11" s="75">
        <f t="shared" si="3"/>
        <v>0</v>
      </c>
      <c r="O11" s="75">
        <f t="shared" si="4"/>
        <v>0</v>
      </c>
      <c r="P11" s="75">
        <f t="shared" si="5"/>
        <v>0</v>
      </c>
      <c r="S11" s="48"/>
      <c r="U11" s="48"/>
    </row>
    <row r="12" spans="1:21" ht="18" customHeight="1" x14ac:dyDescent="0.2">
      <c r="A12" s="69" t="str">
        <f>'Cost Allocation Study'!A10</f>
        <v>Sentinel Lights</v>
      </c>
      <c r="B12" s="75">
        <f>+'Forecast Data For2013'!$C$20</f>
        <v>122482.69142151311</v>
      </c>
      <c r="C12" s="75">
        <f>+'Forecast Data For2013'!$C$19</f>
        <v>340.22969839309201</v>
      </c>
      <c r="D12" s="75"/>
      <c r="E12" s="75">
        <f>+'Forecast Data For2013'!$C$18*12</f>
        <v>2024.0610743461566</v>
      </c>
      <c r="F12" s="75">
        <f>+E12*'2012 Existing Rates'!$B$11</f>
        <v>12953.990875815403</v>
      </c>
      <c r="G12" s="75">
        <f>+C12*'2012 Existing Rates'!D11</f>
        <v>1747.0795012485273</v>
      </c>
      <c r="H12" s="75">
        <f t="shared" si="0"/>
        <v>14701.07037706393</v>
      </c>
      <c r="I12" s="75"/>
      <c r="J12" s="75">
        <f t="shared" si="2"/>
        <v>14701.07037706393</v>
      </c>
      <c r="K12" s="76">
        <f t="shared" si="1"/>
        <v>7.9579771672232515E-4</v>
      </c>
      <c r="L12" s="76"/>
      <c r="M12" s="75"/>
      <c r="N12" s="75">
        <f t="shared" si="3"/>
        <v>12953.990875815403</v>
      </c>
      <c r="O12" s="75">
        <f t="shared" si="4"/>
        <v>1747.0795012485273</v>
      </c>
      <c r="P12" s="75">
        <f t="shared" si="5"/>
        <v>14701.07037706393</v>
      </c>
      <c r="S12" s="48"/>
      <c r="U12" s="48"/>
    </row>
    <row r="13" spans="1:21" ht="18" customHeight="1" x14ac:dyDescent="0.2">
      <c r="A13" s="69" t="str">
        <f>'Cost Allocation Study'!A11</f>
        <v>Street Lighting</v>
      </c>
      <c r="B13" s="75">
        <f>+'Forecast Data For2013'!$C$23</f>
        <v>11183615.245140083</v>
      </c>
      <c r="C13" s="75">
        <f>+'Forecast Data For2013'!$C$22</f>
        <v>31502.017268989308</v>
      </c>
      <c r="D13" s="75"/>
      <c r="E13" s="75">
        <f>+'Forecast Data For2013'!$C$21*12</f>
        <v>158601.71170505293</v>
      </c>
      <c r="F13" s="75">
        <f>+E13*'2012 Existing Rates'!$B$12</f>
        <v>342579.69728291436</v>
      </c>
      <c r="G13" s="75">
        <f>+C13*'2012 Existing Rates'!D12</f>
        <v>411447.84755026933</v>
      </c>
      <c r="H13" s="75">
        <f t="shared" si="0"/>
        <v>754027.54483318375</v>
      </c>
      <c r="I13" s="75"/>
      <c r="J13" s="75">
        <f t="shared" si="2"/>
        <v>754027.54483318375</v>
      </c>
      <c r="K13" s="76">
        <f t="shared" si="1"/>
        <v>4.0816987003896639E-2</v>
      </c>
      <c r="L13" s="76"/>
      <c r="M13" s="75"/>
      <c r="N13" s="75">
        <f t="shared" si="3"/>
        <v>342579.69728291436</v>
      </c>
      <c r="O13" s="75">
        <f t="shared" si="4"/>
        <v>411447.84755026933</v>
      </c>
      <c r="P13" s="75">
        <f t="shared" si="5"/>
        <v>754027.54483318375</v>
      </c>
      <c r="S13" s="48"/>
      <c r="U13" s="48"/>
    </row>
    <row r="14" spans="1:21" ht="18" customHeight="1" x14ac:dyDescent="0.2">
      <c r="A14" s="69" t="str">
        <f>'Cost Allocation Study'!A12</f>
        <v>Unmetered and Scattered</v>
      </c>
      <c r="B14" s="75">
        <f>+'Forecast Data For2013'!$C$25</f>
        <v>2024906.7886311996</v>
      </c>
      <c r="C14" s="75"/>
      <c r="D14" s="75"/>
      <c r="E14" s="75">
        <f>+'Forecast Data For2013'!$C$24*12</f>
        <v>5703.9034427420065</v>
      </c>
      <c r="F14" s="75">
        <f>+E14*'2012 Existing Rates'!$B$13</f>
        <v>50821.779674831276</v>
      </c>
      <c r="G14" s="75">
        <f>+B14*'2012 Existing Rates'!E13</f>
        <v>26323.788252205595</v>
      </c>
      <c r="H14" s="75">
        <f t="shared" si="0"/>
        <v>77145.567927036871</v>
      </c>
      <c r="I14" s="75"/>
      <c r="J14" s="75">
        <f t="shared" si="2"/>
        <v>77145.567927036871</v>
      </c>
      <c r="K14" s="76">
        <f t="shared" si="1"/>
        <v>4.1760406036396467E-3</v>
      </c>
      <c r="L14" s="76"/>
      <c r="M14" s="75"/>
      <c r="N14" s="75">
        <f t="shared" si="3"/>
        <v>50821.779674831276</v>
      </c>
      <c r="O14" s="75">
        <f t="shared" si="4"/>
        <v>26323.788252205595</v>
      </c>
      <c r="P14" s="75">
        <f t="shared" si="5"/>
        <v>77145.567927036871</v>
      </c>
    </row>
    <row r="15" spans="1:21" ht="18" customHeight="1" thickBot="1" x14ac:dyDescent="0.25">
      <c r="A15" s="7"/>
      <c r="B15" s="187">
        <f t="shared" ref="B15:K15" si="6">SUM(B7:B14)</f>
        <v>956387714.35856676</v>
      </c>
      <c r="C15" s="187">
        <f t="shared" si="6"/>
        <v>1384347.902548658</v>
      </c>
      <c r="D15" s="187">
        <f t="shared" si="6"/>
        <v>598878.1444326624</v>
      </c>
      <c r="E15" s="187">
        <f t="shared" si="6"/>
        <v>166329.6762221411</v>
      </c>
      <c r="F15" s="187">
        <f t="shared" si="6"/>
        <v>10177862.069630636</v>
      </c>
      <c r="G15" s="187">
        <f t="shared" si="6"/>
        <v>8695713.8500863146</v>
      </c>
      <c r="H15" s="187">
        <f t="shared" si="6"/>
        <v>18873575.919716947</v>
      </c>
      <c r="I15" s="187">
        <f t="shared" si="6"/>
        <v>400200</v>
      </c>
      <c r="J15" s="187">
        <f t="shared" si="6"/>
        <v>18473375.919716947</v>
      </c>
      <c r="K15" s="77">
        <f t="shared" si="6"/>
        <v>1.0000000000000002</v>
      </c>
      <c r="L15" s="77"/>
      <c r="M15" s="187">
        <f t="shared" ref="M15:O15" si="7">SUM(M7:M14)</f>
        <v>1374100.0131045426</v>
      </c>
      <c r="N15" s="187">
        <f t="shared" si="7"/>
        <v>8803762.0565260928</v>
      </c>
      <c r="O15" s="187">
        <f t="shared" si="7"/>
        <v>8295513.8500863127</v>
      </c>
      <c r="P15" s="187">
        <f t="shared" ref="P15" si="8">SUM(P7:P14)</f>
        <v>17099275.906612404</v>
      </c>
      <c r="R15" s="256"/>
      <c r="S15" s="257"/>
      <c r="T15" s="256"/>
      <c r="U15" s="257"/>
    </row>
    <row r="16" spans="1:21" ht="13.5" thickTop="1" x14ac:dyDescent="0.2"/>
    <row r="17" spans="1:16" x14ac:dyDescent="0.2">
      <c r="G17" s="21"/>
      <c r="H17" s="21"/>
      <c r="I17" s="21"/>
      <c r="J17" s="21"/>
      <c r="K17" s="21"/>
      <c r="L17" s="21"/>
      <c r="M17" s="21"/>
      <c r="N17" s="21"/>
      <c r="P17" s="216">
        <f>P15+M15</f>
        <v>18473375.919716947</v>
      </c>
    </row>
    <row r="19" spans="1:16" x14ac:dyDescent="0.2">
      <c r="P19" s="216">
        <f>P17-J15</f>
        <v>0</v>
      </c>
    </row>
    <row r="20" spans="1:16" x14ac:dyDescent="0.2">
      <c r="I20" s="386"/>
      <c r="J20" s="386"/>
      <c r="K20" s="386"/>
      <c r="L20" s="386"/>
      <c r="M20" s="386"/>
      <c r="N20" s="386"/>
      <c r="O20" s="386"/>
    </row>
    <row r="21" spans="1:16" ht="18" customHeight="1" x14ac:dyDescent="0.25">
      <c r="D21" s="382"/>
      <c r="I21" s="387"/>
      <c r="J21" s="387"/>
      <c r="K21" s="387"/>
      <c r="L21" s="387"/>
      <c r="M21" s="387"/>
      <c r="N21" s="387"/>
      <c r="O21" s="386"/>
    </row>
    <row r="22" spans="1:16" ht="18" customHeight="1" x14ac:dyDescent="0.25">
      <c r="A22" s="381" t="s">
        <v>245</v>
      </c>
      <c r="D22" s="216"/>
      <c r="I22" s="387"/>
      <c r="J22" s="387"/>
      <c r="K22" s="387"/>
      <c r="L22" s="387"/>
      <c r="M22" s="387"/>
      <c r="N22" s="387"/>
      <c r="O22" s="386"/>
    </row>
    <row r="23" spans="1:16" ht="18" customHeight="1" x14ac:dyDescent="0.25">
      <c r="A23" s="327"/>
      <c r="B23" s="408" t="s">
        <v>202</v>
      </c>
      <c r="C23" s="409"/>
      <c r="I23" s="387"/>
      <c r="J23" s="387"/>
      <c r="K23" s="387"/>
      <c r="L23" s="388"/>
      <c r="M23" s="389"/>
      <c r="N23" s="387"/>
      <c r="O23" s="386"/>
    </row>
    <row r="24" spans="1:16" ht="18" customHeight="1" x14ac:dyDescent="0.25">
      <c r="A24" s="327" t="s">
        <v>15</v>
      </c>
      <c r="B24" s="327" t="s">
        <v>203</v>
      </c>
      <c r="C24" s="327" t="s">
        <v>204</v>
      </c>
      <c r="I24" s="387"/>
      <c r="J24" s="387"/>
      <c r="K24" s="387"/>
      <c r="L24" s="387"/>
      <c r="M24" s="387"/>
      <c r="N24" s="387"/>
      <c r="O24" s="386"/>
    </row>
    <row r="25" spans="1:16" ht="15" x14ac:dyDescent="0.25">
      <c r="A25" s="230" t="s">
        <v>103</v>
      </c>
      <c r="B25" s="349">
        <f>P7+M7</f>
        <v>10522811.140025217</v>
      </c>
      <c r="C25" s="349">
        <f>'Dist. Rev. Reconciliation'!F6</f>
        <v>10942756.350626804</v>
      </c>
      <c r="I25" s="387"/>
      <c r="J25" s="387"/>
      <c r="K25" s="387"/>
      <c r="L25" s="388"/>
      <c r="M25" s="389"/>
      <c r="N25" s="387"/>
      <c r="O25" s="386"/>
    </row>
    <row r="26" spans="1:16" ht="18" customHeight="1" x14ac:dyDescent="0.25">
      <c r="A26" s="230" t="s">
        <v>104</v>
      </c>
      <c r="B26" s="349">
        <f>P8+M8</f>
        <v>3038597.3722385401</v>
      </c>
      <c r="C26" s="349">
        <f>'Dist. Rev. Reconciliation'!F7</f>
        <v>3159861.9655528208</v>
      </c>
      <c r="I26" s="387"/>
      <c r="J26" s="387"/>
      <c r="K26" s="387"/>
      <c r="L26" s="387"/>
      <c r="M26" s="387"/>
      <c r="N26" s="387"/>
      <c r="O26" s="386"/>
    </row>
    <row r="27" spans="1:16" ht="18" customHeight="1" x14ac:dyDescent="0.25">
      <c r="A27" s="230" t="s">
        <v>123</v>
      </c>
      <c r="B27" s="349">
        <f t="shared" ref="B27:B32" si="9">P9</f>
        <v>2489052.937325622</v>
      </c>
      <c r="C27" s="349">
        <f>'Dist. Rev. Reconciliation'!F8</f>
        <v>3083973.1671972256</v>
      </c>
      <c r="I27" s="387"/>
      <c r="J27" s="387"/>
      <c r="K27" s="387"/>
      <c r="L27" s="387"/>
      <c r="M27" s="387"/>
      <c r="N27" s="387"/>
      <c r="O27" s="386"/>
    </row>
    <row r="28" spans="1:16" ht="18" customHeight="1" x14ac:dyDescent="0.2">
      <c r="A28" s="230" t="s">
        <v>124</v>
      </c>
      <c r="B28" s="349">
        <f t="shared" si="9"/>
        <v>1577040.2869902845</v>
      </c>
      <c r="C28" s="349">
        <f>'Dist. Rev. Reconciliation'!F9</f>
        <v>1563698.8888237935</v>
      </c>
      <c r="I28" s="386"/>
      <c r="J28" s="386"/>
      <c r="K28" s="386"/>
      <c r="L28" s="386"/>
      <c r="M28" s="386"/>
      <c r="N28" s="386"/>
      <c r="O28" s="386"/>
    </row>
    <row r="29" spans="1:16" ht="18" customHeight="1" x14ac:dyDescent="0.2">
      <c r="A29" s="230" t="s">
        <v>105</v>
      </c>
      <c r="B29" s="349">
        <f t="shared" si="9"/>
        <v>0</v>
      </c>
      <c r="C29" s="349">
        <f>'Dist. Rev. Reconciliation'!F10</f>
        <v>0</v>
      </c>
      <c r="I29" s="386"/>
      <c r="J29" s="386"/>
      <c r="K29" s="386"/>
      <c r="L29" s="386"/>
      <c r="M29" s="386"/>
      <c r="N29" s="386"/>
      <c r="O29" s="386"/>
    </row>
    <row r="30" spans="1:16" ht="18" customHeight="1" x14ac:dyDescent="0.2">
      <c r="A30" s="230" t="s">
        <v>106</v>
      </c>
      <c r="B30" s="349">
        <f t="shared" si="9"/>
        <v>14701.07037706393</v>
      </c>
      <c r="C30" s="349">
        <f>'Dist. Rev. Reconciliation'!F11</f>
        <v>15287.761900214278</v>
      </c>
      <c r="I30" s="386"/>
      <c r="J30" s="386"/>
      <c r="K30" s="386"/>
      <c r="L30" s="386"/>
      <c r="M30" s="386"/>
      <c r="N30" s="386"/>
      <c r="O30" s="386"/>
    </row>
    <row r="31" spans="1:16" ht="18" customHeight="1" x14ac:dyDescent="0.2">
      <c r="A31" s="230" t="s">
        <v>107</v>
      </c>
      <c r="B31" s="349">
        <f t="shared" si="9"/>
        <v>754027.54483318375</v>
      </c>
      <c r="C31" s="349">
        <f>'Dist. Rev. Reconciliation'!F12</f>
        <v>386561.47382101254</v>
      </c>
    </row>
    <row r="32" spans="1:16" ht="18" customHeight="1" x14ac:dyDescent="0.2">
      <c r="A32" s="230" t="s">
        <v>131</v>
      </c>
      <c r="B32" s="350">
        <f t="shared" si="9"/>
        <v>77145.567927036871</v>
      </c>
      <c r="C32" s="350">
        <f>'Dist. Rev. Reconciliation'!F13</f>
        <v>58473.484141313391</v>
      </c>
    </row>
    <row r="33" spans="1:3" ht="18" customHeight="1" thickBot="1" x14ac:dyDescent="0.25">
      <c r="A33" s="348" t="s">
        <v>31</v>
      </c>
      <c r="B33" s="351">
        <f>SUM(B25:B32)</f>
        <v>18473375.919716947</v>
      </c>
      <c r="C33" s="351">
        <f>SUM(C25:C32)</f>
        <v>19210613.092063185</v>
      </c>
    </row>
    <row r="34" spans="1:3" ht="18" customHeight="1" x14ac:dyDescent="0.2"/>
    <row r="42" spans="1:3" ht="15" customHeight="1" x14ac:dyDescent="0.2"/>
    <row r="43" spans="1:3" ht="15" customHeight="1" x14ac:dyDescent="0.2"/>
    <row r="44" spans="1:3" ht="15" customHeight="1" x14ac:dyDescent="0.2"/>
    <row r="45" spans="1:3" ht="15" customHeight="1" x14ac:dyDescent="0.2"/>
    <row r="46" spans="1:3" ht="15" customHeight="1" x14ac:dyDescent="0.2"/>
    <row r="47" spans="1:3" ht="15" customHeight="1" x14ac:dyDescent="0.2"/>
    <row r="48" spans="1: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</sheetData>
  <mergeCells count="6">
    <mergeCell ref="B23:C23"/>
    <mergeCell ref="A1:M1"/>
    <mergeCell ref="A2:M2"/>
    <mergeCell ref="A5:M5"/>
    <mergeCell ref="A3:M3"/>
    <mergeCell ref="A4:M4"/>
  </mergeCells>
  <phoneticPr fontId="0" type="noConversion"/>
  <pageMargins left="0.35433070866141736" right="0.35433070866141736" top="0.59055118110236227" bottom="0.59055118110236227" header="0.31496062992125984" footer="0.31496062992125984"/>
  <pageSetup scale="55" orientation="landscape" r:id="rId1"/>
  <headerFooter alignWithMargins="0">
    <oddFooter>&amp;R&amp;Z&amp;F &amp;A   &amp;D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85" workbookViewId="0">
      <selection activeCell="H22" sqref="H22"/>
    </sheetView>
  </sheetViews>
  <sheetFormatPr defaultRowHeight="12.75" x14ac:dyDescent="0.2"/>
  <cols>
    <col min="1" max="1" width="25.28515625" bestFit="1" customWidth="1"/>
    <col min="2" max="2" width="18.7109375" style="212" customWidth="1"/>
    <col min="3" max="5" width="18.7109375" customWidth="1"/>
    <col min="6" max="6" width="16.140625" customWidth="1"/>
    <col min="7" max="8" width="15.7109375" customWidth="1"/>
    <col min="9" max="9" width="16.7109375" bestFit="1" customWidth="1"/>
    <col min="10" max="10" width="14.42578125" customWidth="1"/>
    <col min="11" max="11" width="13.85546875" customWidth="1"/>
    <col min="12" max="12" width="15" customWidth="1"/>
    <col min="13" max="13" width="13.28515625" customWidth="1"/>
  </cols>
  <sheetData>
    <row r="1" spans="1:14" x14ac:dyDescent="0.2">
      <c r="A1" s="394">
        <f>+'Revenue Input'!A1</f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4" s="7" customFormat="1" ht="10.5" customHeight="1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4" ht="36" customHeight="1" x14ac:dyDescent="0.4">
      <c r="A3" s="411" t="s">
        <v>89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N3" s="184"/>
    </row>
    <row r="4" spans="1:14" ht="76.5" x14ac:dyDescent="0.2">
      <c r="A4" s="331" t="s">
        <v>15</v>
      </c>
      <c r="B4" s="332" t="s">
        <v>182</v>
      </c>
      <c r="C4" s="327" t="s">
        <v>178</v>
      </c>
      <c r="D4" s="327" t="s">
        <v>179</v>
      </c>
      <c r="E4" s="327" t="s">
        <v>180</v>
      </c>
      <c r="F4" s="327" t="s">
        <v>181</v>
      </c>
      <c r="G4" s="327" t="s">
        <v>183</v>
      </c>
      <c r="H4" s="327" t="s">
        <v>99</v>
      </c>
      <c r="I4" s="327" t="s">
        <v>100</v>
      </c>
      <c r="J4" s="327" t="s">
        <v>101</v>
      </c>
      <c r="K4" s="333" t="s">
        <v>102</v>
      </c>
      <c r="L4" s="334" t="s">
        <v>110</v>
      </c>
      <c r="M4" s="335" t="s">
        <v>111</v>
      </c>
    </row>
    <row r="5" spans="1:14" ht="18" customHeight="1" x14ac:dyDescent="0.2">
      <c r="A5" s="69" t="str">
        <f>'2012 Existing Rates'!A6</f>
        <v>Residential</v>
      </c>
      <c r="B5" s="336">
        <v>12046607.780931167</v>
      </c>
      <c r="C5" s="186">
        <f>'2013 Test Yr On Existing Rates'!K7*'Cost Allocation Study'!$C$13</f>
        <v>10942756.447462264</v>
      </c>
      <c r="D5" s="336">
        <v>1129609.6257347001</v>
      </c>
      <c r="E5" s="213">
        <f>C5+D5</f>
        <v>12072366.073196964</v>
      </c>
      <c r="F5" s="214">
        <f>E5/B5</f>
        <v>1.0021382195497865</v>
      </c>
      <c r="G5" s="337">
        <v>1.0021382115113857</v>
      </c>
      <c r="H5" s="338">
        <f>G5</f>
        <v>1.0021382115113857</v>
      </c>
      <c r="I5" s="91">
        <f t="shared" ref="I5:I12" si="0">B5*H5</f>
        <v>12072365.976361504</v>
      </c>
      <c r="J5" s="91">
        <f t="shared" ref="J5:J12" si="1">D5</f>
        <v>1129609.6257347001</v>
      </c>
      <c r="K5" s="213">
        <f>I5-J5</f>
        <v>10942756.350626804</v>
      </c>
      <c r="L5" s="228">
        <v>0.85</v>
      </c>
      <c r="M5" s="229">
        <v>1.1499999999999999</v>
      </c>
    </row>
    <row r="6" spans="1:14" ht="18" customHeight="1" x14ac:dyDescent="0.2">
      <c r="A6" s="69" t="str">
        <f>'2012 Existing Rates'!A7</f>
        <v>GS &lt; 50 kW</v>
      </c>
      <c r="B6" s="336">
        <v>3302193.2401950755</v>
      </c>
      <c r="C6" s="186">
        <f>'2013 Test Yr On Existing Rates'!K8*'Cost Allocation Study'!$C$13</f>
        <v>3159861.9935153089</v>
      </c>
      <c r="D6" s="336">
        <v>255796.60745938795</v>
      </c>
      <c r="E6" s="213">
        <f t="shared" ref="E6:E12" si="2">C6+D6</f>
        <v>3415658.6009746967</v>
      </c>
      <c r="F6" s="214">
        <f t="shared" ref="F6:F12" si="3">E6/B6</f>
        <v>1.0343606059749908</v>
      </c>
      <c r="G6" s="337">
        <v>1.0343605975071375</v>
      </c>
      <c r="H6" s="338">
        <f>G6</f>
        <v>1.0343605975071375</v>
      </c>
      <c r="I6" s="91">
        <f t="shared" si="0"/>
        <v>3415658.5730122086</v>
      </c>
      <c r="J6" s="91">
        <f t="shared" si="1"/>
        <v>255796.60745938795</v>
      </c>
      <c r="K6" s="213">
        <f t="shared" ref="K6:K12" si="4">I6-J6</f>
        <v>3159861.9655528208</v>
      </c>
      <c r="L6" s="228">
        <v>0.8</v>
      </c>
      <c r="M6" s="229">
        <v>1.2</v>
      </c>
    </row>
    <row r="7" spans="1:14" ht="18" customHeight="1" x14ac:dyDescent="0.2">
      <c r="A7" s="69" t="str">
        <f>'2012 Existing Rates'!A8</f>
        <v>GS &gt;50 to 999 kW</v>
      </c>
      <c r="B7" s="336">
        <v>3846054.7527243984</v>
      </c>
      <c r="C7" s="186">
        <f>'2013 Test Yr On Existing Rates'!K9*'Cost Allocation Study'!$C$13</f>
        <v>2588386.28913467</v>
      </c>
      <c r="D7" s="336">
        <v>266564.10549953033</v>
      </c>
      <c r="E7" s="213">
        <f t="shared" si="2"/>
        <v>2854950.3946342003</v>
      </c>
      <c r="F7" s="214">
        <f t="shared" si="3"/>
        <v>0.7423062275990383</v>
      </c>
      <c r="G7" s="337">
        <v>0.74230622164349602</v>
      </c>
      <c r="H7" s="338">
        <f>(E13-SUM(I5:I6,I8:I12))/B7</f>
        <v>0.8711621357765027</v>
      </c>
      <c r="I7" s="91">
        <f t="shared" si="0"/>
        <v>3350537.2726967558</v>
      </c>
      <c r="J7" s="91">
        <f t="shared" si="1"/>
        <v>266564.10549953033</v>
      </c>
      <c r="K7" s="213">
        <f t="shared" si="4"/>
        <v>3083973.1671972256</v>
      </c>
      <c r="L7" s="228">
        <v>0.8</v>
      </c>
      <c r="M7" s="229">
        <v>1.2</v>
      </c>
    </row>
    <row r="8" spans="1:14" ht="18" customHeight="1" x14ac:dyDescent="0.2">
      <c r="A8" s="69" t="str">
        <f>+'2012 Existing Rates'!A9</f>
        <v>GS &gt;1000 to 4999 kW</v>
      </c>
      <c r="B8" s="336">
        <v>1378291.6071042907</v>
      </c>
      <c r="C8" s="186">
        <f>'2013 Test Yr On Existing Rates'!K10*'Cost Allocation Study'!$C$13</f>
        <v>1639976.9547065462</v>
      </c>
      <c r="D8" s="336">
        <v>90251.039701355345</v>
      </c>
      <c r="E8" s="213">
        <f t="shared" si="2"/>
        <v>1730227.9944079015</v>
      </c>
      <c r="F8" s="214">
        <f t="shared" si="3"/>
        <v>1.2553424728769904</v>
      </c>
      <c r="G8" s="337">
        <v>1.2553424623475735</v>
      </c>
      <c r="H8" s="338">
        <f>M8</f>
        <v>1.2</v>
      </c>
      <c r="I8" s="91">
        <f t="shared" si="0"/>
        <v>1653949.9285251489</v>
      </c>
      <c r="J8" s="91">
        <f t="shared" si="1"/>
        <v>90251.039701355345</v>
      </c>
      <c r="K8" s="213">
        <f t="shared" si="4"/>
        <v>1563698.8888237935</v>
      </c>
      <c r="L8" s="228">
        <v>0.8</v>
      </c>
      <c r="M8" s="229">
        <v>1.2</v>
      </c>
    </row>
    <row r="9" spans="1:14" ht="18" customHeight="1" x14ac:dyDescent="0.2">
      <c r="A9" s="69" t="str">
        <f>'2012 Existing Rates'!A10</f>
        <v>Large Use</v>
      </c>
      <c r="B9" s="336"/>
      <c r="C9" s="186">
        <f>'2013 Test Yr On Existing Rates'!K11*'Cost Allocation Study'!$C$13</f>
        <v>0</v>
      </c>
      <c r="D9" s="336"/>
      <c r="E9" s="213">
        <f t="shared" si="2"/>
        <v>0</v>
      </c>
      <c r="F9" s="214" t="e">
        <f t="shared" si="3"/>
        <v>#DIV/0!</v>
      </c>
      <c r="G9" s="337"/>
      <c r="H9" s="338"/>
      <c r="I9" s="91">
        <f t="shared" si="0"/>
        <v>0</v>
      </c>
      <c r="J9" s="91">
        <f t="shared" si="1"/>
        <v>0</v>
      </c>
      <c r="K9" s="213">
        <f t="shared" si="4"/>
        <v>0</v>
      </c>
      <c r="L9" s="228">
        <v>0.85</v>
      </c>
      <c r="M9" s="229">
        <v>1.1499999999999999</v>
      </c>
    </row>
    <row r="10" spans="1:14" ht="18" customHeight="1" x14ac:dyDescent="0.2">
      <c r="A10" s="69" t="str">
        <f>'2012 Existing Rates'!A11</f>
        <v>Sentinel Lights</v>
      </c>
      <c r="B10" s="336">
        <v>16421.355852753117</v>
      </c>
      <c r="C10" s="186">
        <f>'2013 Test Yr On Existing Rates'!K12*'Cost Allocation Study'!$C$13</f>
        <v>15287.762035499889</v>
      </c>
      <c r="D10" s="336">
        <v>1960.6512607479754</v>
      </c>
      <c r="E10" s="213">
        <f t="shared" si="2"/>
        <v>17248.413296247865</v>
      </c>
      <c r="F10" s="214">
        <f t="shared" si="3"/>
        <v>1.0503647476439095</v>
      </c>
      <c r="G10" s="337">
        <v>1.0503647394055149</v>
      </c>
      <c r="H10" s="338">
        <f>G10</f>
        <v>1.0503647394055149</v>
      </c>
      <c r="I10" s="91">
        <f t="shared" si="0"/>
        <v>17248.413160962253</v>
      </c>
      <c r="J10" s="91">
        <f t="shared" si="1"/>
        <v>1960.6512607479754</v>
      </c>
      <c r="K10" s="213">
        <f t="shared" si="4"/>
        <v>15287.761900214278</v>
      </c>
      <c r="L10" s="228">
        <v>0.8</v>
      </c>
      <c r="M10" s="229">
        <v>1.2</v>
      </c>
    </row>
    <row r="11" spans="1:14" ht="18" customHeight="1" x14ac:dyDescent="0.2">
      <c r="A11" s="69" t="str">
        <f>'2012 Existing Rates'!A12</f>
        <v>Street Lighting</v>
      </c>
      <c r="B11" s="336">
        <v>346396.34590460709</v>
      </c>
      <c r="C11" s="186">
        <f>'2013 Test Yr On Existing Rates'!K13*'Cost Allocation Study'!$C$13</f>
        <v>784119.3449156296</v>
      </c>
      <c r="D11" s="336">
        <v>29114.141264515976</v>
      </c>
      <c r="E11" s="213">
        <f t="shared" si="2"/>
        <v>813233.48618014553</v>
      </c>
      <c r="F11" s="214">
        <f t="shared" si="3"/>
        <v>2.3476964921682493</v>
      </c>
      <c r="G11" s="337">
        <v>2.3476964721366071</v>
      </c>
      <c r="H11" s="338">
        <f>M11</f>
        <v>1.2</v>
      </c>
      <c r="I11" s="91">
        <f t="shared" si="0"/>
        <v>415675.61508552852</v>
      </c>
      <c r="J11" s="91">
        <f t="shared" si="1"/>
        <v>29114.141264515976</v>
      </c>
      <c r="K11" s="213">
        <f>I11-J11</f>
        <v>386561.47382101254</v>
      </c>
      <c r="L11" s="228">
        <v>0.7</v>
      </c>
      <c r="M11" s="229">
        <v>1.2</v>
      </c>
    </row>
    <row r="12" spans="1:14" ht="18" customHeight="1" x14ac:dyDescent="0.2">
      <c r="A12" s="69" t="str">
        <f>'2012 Existing Rates'!A13</f>
        <v>Unmetered and Scattered</v>
      </c>
      <c r="B12" s="336">
        <v>52647.369350896595</v>
      </c>
      <c r="C12" s="186">
        <f>'2013 Test Yr On Existing Rates'!K14*'Cost Allocation Study'!$C$13</f>
        <v>80224.300293267239</v>
      </c>
      <c r="D12" s="336">
        <v>4703.3590797625238</v>
      </c>
      <c r="E12" s="213">
        <f t="shared" si="2"/>
        <v>84927.659373029761</v>
      </c>
      <c r="F12" s="214">
        <f t="shared" si="3"/>
        <v>1.6131415571210004</v>
      </c>
      <c r="G12" s="337">
        <v>1.6131415436364351</v>
      </c>
      <c r="H12" s="338">
        <f>M12</f>
        <v>1.2</v>
      </c>
      <c r="I12" s="91">
        <f t="shared" si="0"/>
        <v>63176.843221075913</v>
      </c>
      <c r="J12" s="91">
        <f t="shared" si="1"/>
        <v>4703.3590797625238</v>
      </c>
      <c r="K12" s="213">
        <f t="shared" si="4"/>
        <v>58473.484141313391</v>
      </c>
      <c r="L12" s="228">
        <v>0.8</v>
      </c>
      <c r="M12" s="229">
        <v>1.2</v>
      </c>
    </row>
    <row r="13" spans="1:14" ht="18" customHeight="1" thickBot="1" x14ac:dyDescent="0.25">
      <c r="A13" s="70" t="s">
        <v>1</v>
      </c>
      <c r="B13" s="211">
        <f>SUM(B5:B12)</f>
        <v>20988612.452063188</v>
      </c>
      <c r="C13" s="71">
        <f>'Revenue Input'!B7</f>
        <v>19210613.092063185</v>
      </c>
      <c r="D13" s="71">
        <f>SUM(D5:D12)</f>
        <v>1777999.5300000003</v>
      </c>
      <c r="E13" s="71">
        <f>SUM(E5:E12)</f>
        <v>20988612.622063182</v>
      </c>
      <c r="F13" s="215"/>
      <c r="G13" s="215"/>
      <c r="H13" s="72"/>
      <c r="I13" s="71">
        <f>SUM(I5:I12)</f>
        <v>20988612.622063182</v>
      </c>
      <c r="J13" s="71">
        <f>SUM(J5:J12)</f>
        <v>1777999.5300000003</v>
      </c>
      <c r="K13" s="71">
        <f>SUM(K5:K12)</f>
        <v>19210613.092063185</v>
      </c>
      <c r="L13" s="213"/>
      <c r="M13" s="230"/>
    </row>
    <row r="14" spans="1:14" ht="13.5" customHeight="1" x14ac:dyDescent="0.2"/>
    <row r="15" spans="1:14" x14ac:dyDescent="0.2">
      <c r="B15" s="212">
        <f>'Revenue Input'!B5</f>
        <v>20988612.622063186</v>
      </c>
      <c r="K15" s="212">
        <f>'Revenue Input'!B7</f>
        <v>19210613.092063185</v>
      </c>
    </row>
    <row r="17" spans="2:11" x14ac:dyDescent="0.2">
      <c r="B17" s="339">
        <f>B13-B15</f>
        <v>-0.16999999806284904</v>
      </c>
      <c r="K17" s="339">
        <f>K13-K15</f>
        <v>0</v>
      </c>
    </row>
  </sheetData>
  <mergeCells count="3">
    <mergeCell ref="A3:K3"/>
    <mergeCell ref="A1:M1"/>
    <mergeCell ref="A2:M2"/>
  </mergeCells>
  <phoneticPr fontId="0" type="noConversion"/>
  <pageMargins left="0.35433070866141736" right="0.35433070866141736" top="0.59055118110236227" bottom="0.59055118110236227" header="0.31496062992125984" footer="0.31496062992125984"/>
  <pageSetup scale="60" orientation="landscape" r:id="rId1"/>
  <headerFooter alignWithMargins="0">
    <oddFooter>&amp;R&amp;Z&amp;F &amp;A  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90" zoomScaleNormal="90" workbookViewId="0">
      <selection activeCell="H17" sqref="H17"/>
    </sheetView>
  </sheetViews>
  <sheetFormatPr defaultRowHeight="12.75" x14ac:dyDescent="0.2"/>
  <cols>
    <col min="1" max="1" width="24.7109375" bestFit="1" customWidth="1"/>
    <col min="2" max="2" width="18.7109375" style="216" bestFit="1" customWidth="1"/>
    <col min="3" max="3" width="17.5703125" customWidth="1"/>
    <col min="4" max="4" width="21" customWidth="1"/>
    <col min="5" max="5" width="19.28515625" customWidth="1"/>
    <col min="6" max="6" width="15.140625" customWidth="1"/>
    <col min="7" max="7" width="23.28515625" bestFit="1" customWidth="1"/>
    <col min="8" max="8" width="15.28515625" customWidth="1"/>
    <col min="9" max="9" width="17.28515625" customWidth="1"/>
  </cols>
  <sheetData>
    <row r="1" spans="1:9" x14ac:dyDescent="0.2">
      <c r="A1" s="412">
        <f>+'Revenue Input'!A1</f>
        <v>0</v>
      </c>
      <c r="B1" s="412"/>
      <c r="C1" s="412"/>
      <c r="D1" s="412"/>
      <c r="E1" s="412"/>
      <c r="F1" s="412"/>
      <c r="G1" s="412"/>
      <c r="H1" s="412"/>
      <c r="I1" s="412"/>
    </row>
    <row r="2" spans="1:9" x14ac:dyDescent="0.2">
      <c r="A2" s="404"/>
      <c r="B2" s="404"/>
      <c r="C2" s="404"/>
      <c r="D2" s="404"/>
      <c r="E2" s="404"/>
      <c r="F2" s="404"/>
      <c r="G2" s="404"/>
      <c r="H2" s="404"/>
      <c r="I2" s="404"/>
    </row>
    <row r="3" spans="1:9" ht="15.75" x14ac:dyDescent="0.25">
      <c r="A3" s="414" t="s">
        <v>184</v>
      </c>
      <c r="B3" s="414"/>
      <c r="C3" s="414"/>
      <c r="D3" s="414"/>
      <c r="E3" s="414"/>
      <c r="F3" s="414"/>
      <c r="G3" s="414"/>
      <c r="H3" s="414"/>
      <c r="I3" s="414"/>
    </row>
    <row r="4" spans="1:9" x14ac:dyDescent="0.2">
      <c r="A4" s="416"/>
      <c r="B4" s="416"/>
      <c r="C4" s="416"/>
      <c r="D4" s="416"/>
      <c r="E4" s="416"/>
      <c r="F4" s="416"/>
      <c r="G4" s="416"/>
      <c r="H4" s="416"/>
      <c r="I4" s="416"/>
    </row>
    <row r="5" spans="1:9" ht="25.5" x14ac:dyDescent="0.2">
      <c r="A5" s="327" t="s">
        <v>0</v>
      </c>
      <c r="B5" s="332" t="s">
        <v>74</v>
      </c>
      <c r="C5" s="327" t="s">
        <v>64</v>
      </c>
      <c r="D5" s="327" t="s">
        <v>2</v>
      </c>
      <c r="E5" s="327" t="s">
        <v>171</v>
      </c>
      <c r="F5" s="327" t="s">
        <v>3</v>
      </c>
      <c r="G5" s="327" t="s">
        <v>4</v>
      </c>
      <c r="H5" s="327" t="s">
        <v>5</v>
      </c>
      <c r="I5" s="327" t="s">
        <v>75</v>
      </c>
    </row>
    <row r="6" spans="1:9" ht="18" customHeight="1" x14ac:dyDescent="0.2">
      <c r="A6" s="84" t="str">
        <f>'Cost Allocation Study'!A5</f>
        <v>Residential</v>
      </c>
      <c r="B6" s="91">
        <f>'Cost Allocation Study'!K5</f>
        <v>10942756.350626804</v>
      </c>
      <c r="C6" s="73">
        <f t="shared" ref="C6:C13" si="0">+B6/$B$14</f>
        <v>0.56962036027615248</v>
      </c>
      <c r="D6" s="340">
        <v>12.63</v>
      </c>
      <c r="E6" s="85">
        <f>+G6/'Forecast Data For2013'!C6</f>
        <v>1.2188206666415496E-2</v>
      </c>
      <c r="F6" s="86">
        <f>+D6*'Forecast Data For2013'!C5*12</f>
        <v>6802165.8372318223</v>
      </c>
      <c r="G6" s="86">
        <f t="shared" ref="G6:G13" si="1">+B6-F6</f>
        <v>4140590.5133949816</v>
      </c>
      <c r="H6" s="87"/>
      <c r="I6" s="198">
        <f>+F6+G6+H6</f>
        <v>10942756.350626804</v>
      </c>
    </row>
    <row r="7" spans="1:9" ht="18" customHeight="1" x14ac:dyDescent="0.2">
      <c r="A7" s="84" t="str">
        <f>'Cost Allocation Study'!A6</f>
        <v>GS &lt; 50 kW</v>
      </c>
      <c r="B7" s="91">
        <f>'Cost Allocation Study'!K6</f>
        <v>3159861.9655528208</v>
      </c>
      <c r="C7" s="73">
        <f t="shared" si="0"/>
        <v>0.16448522233047885</v>
      </c>
      <c r="D7" s="340">
        <v>25.96</v>
      </c>
      <c r="E7" s="85">
        <f>+G7/'Forecast Data For2013'!C8</f>
        <v>1.3398483696214811E-2</v>
      </c>
      <c r="F7" s="86">
        <f>+D7*'Forecast Data For2013'!C7*12</f>
        <v>1399242.3359363596</v>
      </c>
      <c r="G7" s="86">
        <f t="shared" si="1"/>
        <v>1760619.6296164612</v>
      </c>
      <c r="H7" s="87"/>
      <c r="I7" s="198">
        <f t="shared" ref="I7:I13" si="2">+F7+G7+H7</f>
        <v>3159861.9655528208</v>
      </c>
    </row>
    <row r="8" spans="1:9" ht="18" customHeight="1" x14ac:dyDescent="0.2">
      <c r="A8" s="84" t="str">
        <f>'Cost Allocation Study'!A7</f>
        <v>GS &gt;50 to 999 kW</v>
      </c>
      <c r="B8" s="91">
        <f>'Cost Allocation Study'!K7</f>
        <v>3083973.1671972256</v>
      </c>
      <c r="C8" s="73">
        <f t="shared" si="0"/>
        <v>0.16053486436991232</v>
      </c>
      <c r="D8" s="340">
        <f>(276.73+G25)/2</f>
        <v>195.33420748637573</v>
      </c>
      <c r="E8" s="85">
        <f>(+G8+H8)/'Forecast Data For2013'!C10</f>
        <v>2.485719985654375</v>
      </c>
      <c r="F8" s="86">
        <f>+D8*'Forecast Data For2013'!C9*12</f>
        <v>1206792.6209143228</v>
      </c>
      <c r="G8" s="86">
        <f t="shared" si="1"/>
        <v>1877180.5462829028</v>
      </c>
      <c r="H8" s="86">
        <f>-'Transformer Allowance'!C11</f>
        <v>70602</v>
      </c>
      <c r="I8" s="198">
        <f t="shared" si="2"/>
        <v>3154575.1671972256</v>
      </c>
    </row>
    <row r="9" spans="1:9" ht="18" customHeight="1" x14ac:dyDescent="0.2">
      <c r="A9" s="84" t="str">
        <f>'Cost Allocation Study'!A8</f>
        <v>GS &gt;1000 to 4999 kW</v>
      </c>
      <c r="B9" s="91">
        <f>'Cost Allocation Study'!K8</f>
        <v>1563698.8888237935</v>
      </c>
      <c r="C9" s="73">
        <f t="shared" si="0"/>
        <v>8.1397656666659518E-2</v>
      </c>
      <c r="D9" s="340">
        <v>2794.55</v>
      </c>
      <c r="E9" s="85">
        <f>(+G9+H9)/'Forecast Data For2013'!C13</f>
        <v>2.2079494729587563</v>
      </c>
      <c r="F9" s="86">
        <f>+D9*'Forecast Data For2013'!C12*12</f>
        <v>637157.40000000014</v>
      </c>
      <c r="G9" s="86">
        <f t="shared" si="1"/>
        <v>926541.48882379336</v>
      </c>
      <c r="H9" s="86">
        <f>-'Transformer Allowance'!C12</f>
        <v>329598</v>
      </c>
      <c r="I9" s="198">
        <f t="shared" si="2"/>
        <v>1893296.8888237935</v>
      </c>
    </row>
    <row r="10" spans="1:9" ht="18" customHeight="1" x14ac:dyDescent="0.2">
      <c r="A10" s="84" t="str">
        <f>'Cost Allocation Study'!A9</f>
        <v>Large Use</v>
      </c>
      <c r="B10" s="91">
        <f>'Cost Allocation Study'!K9</f>
        <v>0</v>
      </c>
      <c r="C10" s="73">
        <f t="shared" si="0"/>
        <v>0</v>
      </c>
      <c r="D10" s="340"/>
      <c r="E10" s="85" t="e">
        <f>(+G10+H10)/'Forecast Data For2013'!C16</f>
        <v>#DIV/0!</v>
      </c>
      <c r="F10" s="86">
        <f>+D10*'Forecast Data For2013'!C15*12</f>
        <v>0</v>
      </c>
      <c r="G10" s="86">
        <f t="shared" si="1"/>
        <v>0</v>
      </c>
      <c r="H10" s="86">
        <f>-'Transformer Allowance'!C13</f>
        <v>0</v>
      </c>
      <c r="I10" s="198">
        <f t="shared" si="2"/>
        <v>0</v>
      </c>
    </row>
    <row r="11" spans="1:9" ht="18" customHeight="1" x14ac:dyDescent="0.2">
      <c r="A11" s="84" t="str">
        <f>'Cost Allocation Study'!A10</f>
        <v>Sentinel Lights</v>
      </c>
      <c r="B11" s="91">
        <f>'Cost Allocation Study'!K10</f>
        <v>15287.761900214278</v>
      </c>
      <c r="C11" s="73">
        <f t="shared" si="0"/>
        <v>7.9579770968009225E-4</v>
      </c>
      <c r="D11" s="340">
        <f>E28</f>
        <v>6.6554117252591602</v>
      </c>
      <c r="E11" s="85">
        <f>(+G11+H11)/'Forecast Data For2013'!C19</f>
        <v>5.339928001438401</v>
      </c>
      <c r="F11" s="86">
        <f>+D11*'Forecast Data For2013'!C18*12</f>
        <v>13470.959806844065</v>
      </c>
      <c r="G11" s="86">
        <f t="shared" si="1"/>
        <v>1816.8020933702137</v>
      </c>
      <c r="H11" s="87"/>
      <c r="I11" s="198">
        <f t="shared" si="2"/>
        <v>15287.761900214278</v>
      </c>
    </row>
    <row r="12" spans="1:9" ht="18" customHeight="1" x14ac:dyDescent="0.2">
      <c r="A12" s="84" t="str">
        <f>'Cost Allocation Study'!A11</f>
        <v>Street Lighting</v>
      </c>
      <c r="B12" s="91">
        <f>'Cost Allocation Study'!K11</f>
        <v>386561.47382101254</v>
      </c>
      <c r="C12" s="73">
        <f t="shared" si="0"/>
        <v>2.012228719450497E-2</v>
      </c>
      <c r="D12" s="340">
        <f>E29</f>
        <v>1.1073505061915359</v>
      </c>
      <c r="E12" s="85">
        <f>+G12/'Forecast Data For2013'!C22</f>
        <v>6.6958819265590988</v>
      </c>
      <c r="F12" s="86">
        <f>+D12*'Forecast Data For2013'!C21*12</f>
        <v>175627.68573943441</v>
      </c>
      <c r="G12" s="86">
        <f t="shared" si="1"/>
        <v>210933.78808157812</v>
      </c>
      <c r="H12" s="87"/>
      <c r="I12" s="198">
        <f t="shared" si="2"/>
        <v>386561.47382101254</v>
      </c>
    </row>
    <row r="13" spans="1:9" ht="18" customHeight="1" x14ac:dyDescent="0.2">
      <c r="A13" s="84" t="str">
        <f>'Cost Allocation Study'!A12</f>
        <v>Unmetered and Scattered</v>
      </c>
      <c r="B13" s="91">
        <f>'Cost Allocation Study'!K12</f>
        <v>58473.484141313391</v>
      </c>
      <c r="C13" s="73">
        <f t="shared" si="0"/>
        <v>3.0438114526116587E-3</v>
      </c>
      <c r="D13" s="340">
        <f>E30</f>
        <v>6.7534501034700414</v>
      </c>
      <c r="E13" s="85">
        <f>+G13/'Forecast Data For2013'!C25</f>
        <v>9.8535186694849123E-3</v>
      </c>
      <c r="F13" s="86">
        <f>+D13*'Forecast Data For2013'!C24*12</f>
        <v>38521.027295569125</v>
      </c>
      <c r="G13" s="86">
        <f t="shared" si="1"/>
        <v>19952.456845744266</v>
      </c>
      <c r="H13" s="87"/>
      <c r="I13" s="198">
        <f t="shared" si="2"/>
        <v>58473.484141313391</v>
      </c>
    </row>
    <row r="14" spans="1:9" ht="18" customHeight="1" thickBot="1" x14ac:dyDescent="0.25">
      <c r="A14" s="78" t="s">
        <v>1</v>
      </c>
      <c r="B14" s="217">
        <f>SUM(B6:B13)</f>
        <v>19210613.092063185</v>
      </c>
      <c r="C14" s="81">
        <f>SUM(C6:C13)</f>
        <v>0.99999999999999989</v>
      </c>
      <c r="D14" s="82"/>
      <c r="E14" s="83"/>
      <c r="F14" s="80">
        <f>SUM(F6:F13)</f>
        <v>10272977.866924355</v>
      </c>
      <c r="G14" s="80">
        <f>SUM(G6:G13)</f>
        <v>8937635.2251388319</v>
      </c>
      <c r="H14" s="80">
        <f>SUM(H6:H13)</f>
        <v>400200</v>
      </c>
      <c r="I14" s="80">
        <f>SUM(I6:I13)</f>
        <v>19610813.092063185</v>
      </c>
    </row>
    <row r="15" spans="1:9" ht="18" customHeight="1" thickTop="1" thickBot="1" x14ac:dyDescent="0.25">
      <c r="D15" s="415" t="s">
        <v>68</v>
      </c>
      <c r="E15" s="415"/>
      <c r="F15" s="79">
        <f>+F14/I14</f>
        <v>0.52384252599307046</v>
      </c>
      <c r="G15" s="79">
        <f>+G14/I14</f>
        <v>0.45575036502469335</v>
      </c>
      <c r="H15" s="79">
        <f>+H14/I14</f>
        <v>2.0407108982236306E-2</v>
      </c>
      <c r="I15" s="79">
        <f>F15+G15+H15</f>
        <v>1.0000000000000002</v>
      </c>
    </row>
    <row r="16" spans="1:9" ht="18" customHeight="1" x14ac:dyDescent="0.2">
      <c r="D16" s="15"/>
      <c r="E16" s="15"/>
      <c r="F16" s="208"/>
      <c r="G16" s="208"/>
      <c r="H16" s="390"/>
      <c r="I16" s="208"/>
    </row>
    <row r="17" spans="1:9" x14ac:dyDescent="0.2">
      <c r="H17" s="390"/>
    </row>
    <row r="18" spans="1:9" x14ac:dyDescent="0.2">
      <c r="D18" s="49"/>
      <c r="E18" s="49"/>
      <c r="F18" s="16"/>
      <c r="G18" s="16"/>
      <c r="H18" s="390"/>
      <c r="I18" s="16"/>
    </row>
    <row r="19" spans="1:9" x14ac:dyDescent="0.2">
      <c r="H19" s="24"/>
    </row>
    <row r="21" spans="1:9" ht="18" x14ac:dyDescent="0.25">
      <c r="A21" s="413" t="s">
        <v>90</v>
      </c>
      <c r="B21" s="413"/>
      <c r="C21" s="413"/>
      <c r="D21" s="413"/>
      <c r="E21" s="413"/>
      <c r="F21" s="413"/>
      <c r="G21" s="413"/>
    </row>
    <row r="22" spans="1:9" ht="63.75" x14ac:dyDescent="0.2">
      <c r="A22" s="327" t="s">
        <v>0</v>
      </c>
      <c r="B22" s="332" t="s">
        <v>91</v>
      </c>
      <c r="C22" s="327" t="s">
        <v>92</v>
      </c>
      <c r="D22" s="327" t="s">
        <v>31</v>
      </c>
      <c r="E22" s="327" t="s">
        <v>93</v>
      </c>
      <c r="F22" s="327" t="s">
        <v>246</v>
      </c>
      <c r="G22" s="327" t="s">
        <v>76</v>
      </c>
      <c r="H22" s="383" t="s">
        <v>247</v>
      </c>
    </row>
    <row r="23" spans="1:9" ht="18" customHeight="1" x14ac:dyDescent="0.2">
      <c r="A23" s="84" t="str">
        <f t="shared" ref="A23:A30" si="3">A6</f>
        <v>Residential</v>
      </c>
      <c r="B23" s="76">
        <f>'2013 Test Yr On Existing Rates'!O7/'2013 Test Yr On Existing Rates'!P7</f>
        <v>0.4426111438274602</v>
      </c>
      <c r="C23" s="76">
        <f t="shared" ref="C23:C28" si="4">1-B23</f>
        <v>0.55738885617253975</v>
      </c>
      <c r="D23" s="76">
        <f>SUM(B23:C23)</f>
        <v>1</v>
      </c>
      <c r="E23" s="88">
        <f>+B6*C23/'Forecast Data For2013'!C5/12</f>
        <v>11.325076537669036</v>
      </c>
      <c r="F23" s="88">
        <f>+'2012 Existing Rates'!C6-'2013 Test Yr On Existing Rates'!L7+'2013 Test Yr On Existing Rates'!L7</f>
        <v>11.716666666666667</v>
      </c>
      <c r="G23" s="340">
        <v>13.191188247125169</v>
      </c>
      <c r="H23" s="340">
        <v>13.53</v>
      </c>
    </row>
    <row r="24" spans="1:9" ht="18" customHeight="1" x14ac:dyDescent="0.2">
      <c r="A24" s="84" t="str">
        <f t="shared" si="3"/>
        <v>GS &lt; 50 kW</v>
      </c>
      <c r="B24" s="76">
        <f>'2013 Test Yr On Existing Rates'!O8/'2013 Test Yr On Existing Rates'!P8</f>
        <v>0.63983693934529107</v>
      </c>
      <c r="C24" s="76">
        <f t="shared" si="4"/>
        <v>0.36016306065470893</v>
      </c>
      <c r="D24" s="76">
        <f t="shared" ref="D24:D30" si="5">SUM(B24:C24)</f>
        <v>1</v>
      </c>
      <c r="E24" s="88">
        <f>+B7*C24/'Forecast Data For2013'!C7/12</f>
        <v>21.114413918670163</v>
      </c>
      <c r="F24" s="88">
        <f>+'2012 Existing Rates'!C7-'2013 Test Yr On Existing Rates'!L8+'2013 Test Yr On Existing Rates'!L8</f>
        <v>24.681666666666665</v>
      </c>
      <c r="G24" s="340">
        <v>26.293965889421823</v>
      </c>
      <c r="H24" s="340">
        <v>27.25</v>
      </c>
    </row>
    <row r="25" spans="1:9" ht="18" customHeight="1" x14ac:dyDescent="0.2">
      <c r="A25" s="84" t="str">
        <f t="shared" si="3"/>
        <v>GS &gt;50 to 999 kW</v>
      </c>
      <c r="B25" s="76">
        <f>'2013 Test Yr On Existing Rates'!O9/'2013 Test Yr On Existing Rates'!P9</f>
        <v>0.39987657241898245</v>
      </c>
      <c r="C25" s="76">
        <f t="shared" si="4"/>
        <v>0.60012342758101755</v>
      </c>
      <c r="D25" s="76">
        <f t="shared" si="5"/>
        <v>1</v>
      </c>
      <c r="E25" s="88">
        <f>+B8*C25/'Forecast Data For2013'!C9/12</f>
        <v>299.56897307540032</v>
      </c>
      <c r="F25" s="88">
        <f>+'2012 Existing Rates'!C8</f>
        <v>241.78</v>
      </c>
      <c r="G25" s="340">
        <v>113.93841497275145</v>
      </c>
      <c r="H25" s="340">
        <v>311.68</v>
      </c>
    </row>
    <row r="26" spans="1:9" ht="18" customHeight="1" x14ac:dyDescent="0.2">
      <c r="A26" s="84" t="str">
        <f t="shared" si="3"/>
        <v>GS &gt;1000 to 4999 kW</v>
      </c>
      <c r="B26" s="76">
        <f>'2013 Test Yr On Existing Rates'!O10/'2013 Test Yr On Existing Rates'!P10</f>
        <v>0.59597899606230831</v>
      </c>
      <c r="C26" s="76">
        <f t="shared" si="4"/>
        <v>0.40402100393769169</v>
      </c>
      <c r="D26" s="76">
        <f>SUM(B26:C26)</f>
        <v>1</v>
      </c>
      <c r="E26" s="88">
        <f>+B9*C26/'Forecast Data For2013'!C12/12</f>
        <v>2770.9087496440438</v>
      </c>
      <c r="F26" s="88">
        <f>+'2012 Existing Rates'!C9</f>
        <v>2794.55</v>
      </c>
      <c r="G26" s="340">
        <v>526.11037159609089</v>
      </c>
      <c r="H26" s="340">
        <v>2848.01</v>
      </c>
    </row>
    <row r="27" spans="1:9" ht="18" hidden="1" customHeight="1" x14ac:dyDescent="0.2">
      <c r="A27" s="84" t="str">
        <f t="shared" si="3"/>
        <v>Large Use</v>
      </c>
      <c r="B27" s="76" t="e">
        <f>('2013 Test Yr On Existing Rates'!G11-'2013 Test Yr On Existing Rates'!I11)/'2013 Test Yr On Existing Rates'!J11</f>
        <v>#DIV/0!</v>
      </c>
      <c r="C27" s="76" t="e">
        <f t="shared" si="4"/>
        <v>#DIV/0!</v>
      </c>
      <c r="D27" s="76" t="e">
        <f t="shared" si="5"/>
        <v>#DIV/0!</v>
      </c>
      <c r="E27" s="88" t="e">
        <f>+B10*C27/'Forecast Data For2013'!C15/12</f>
        <v>#DIV/0!</v>
      </c>
      <c r="F27" s="88">
        <f>+'2012 Existing Rates'!C10</f>
        <v>0</v>
      </c>
      <c r="G27" s="340"/>
      <c r="H27" s="340"/>
    </row>
    <row r="28" spans="1:9" ht="18" customHeight="1" x14ac:dyDescent="0.2">
      <c r="A28" s="84" t="str">
        <f t="shared" si="3"/>
        <v>Sentinel Lights</v>
      </c>
      <c r="B28" s="76">
        <f>'2013 Test Yr On Existing Rates'!O12/'2013 Test Yr On Existing Rates'!P12</f>
        <v>0.11884029233505722</v>
      </c>
      <c r="C28" s="76">
        <f t="shared" si="4"/>
        <v>0.88115970766494278</v>
      </c>
      <c r="D28" s="76">
        <f t="shared" si="5"/>
        <v>1</v>
      </c>
      <c r="E28" s="88">
        <f>+B11*C28/'Forecast Data For2013'!C18/12</f>
        <v>6.6554117252591602</v>
      </c>
      <c r="F28" s="88">
        <f>+'2012 Existing Rates'!B11</f>
        <v>6.4</v>
      </c>
      <c r="G28" s="340">
        <v>7.7964102373774358</v>
      </c>
      <c r="H28" s="340">
        <v>6.89</v>
      </c>
    </row>
    <row r="29" spans="1:9" ht="18" customHeight="1" x14ac:dyDescent="0.2">
      <c r="A29" s="84" t="str">
        <f t="shared" si="3"/>
        <v>Street Lighting</v>
      </c>
      <c r="B29" s="76">
        <f>'2013 Test Yr On Existing Rates'!O13/'2013 Test Yr On Existing Rates'!P13</f>
        <v>0.54566686637594308</v>
      </c>
      <c r="C29" s="76">
        <f>'2013 Test Yr On Existing Rates'!F13/'2013 Test Yr On Existing Rates'!H13</f>
        <v>0.45433313362405681</v>
      </c>
      <c r="D29" s="76">
        <f t="shared" si="5"/>
        <v>0.99999999999999989</v>
      </c>
      <c r="E29" s="88">
        <f>+B12*C29/'Forecast Data For2013'!C21/12</f>
        <v>1.1073505061915359</v>
      </c>
      <c r="F29" s="88">
        <f>+'2012 Existing Rates'!B12</f>
        <v>2.16</v>
      </c>
      <c r="G29" s="340">
        <v>6.286426803149241</v>
      </c>
      <c r="H29" s="340">
        <v>1.1499999999999999</v>
      </c>
    </row>
    <row r="30" spans="1:9" ht="18" customHeight="1" x14ac:dyDescent="0.2">
      <c r="A30" s="84" t="str">
        <f t="shared" si="3"/>
        <v>Unmetered and Scattered</v>
      </c>
      <c r="B30" s="76">
        <f>'2013 Test Yr On Existing Rates'!O14/'2013 Test Yr On Existing Rates'!P14</f>
        <v>0.34122230167651679</v>
      </c>
      <c r="C30" s="76">
        <f>'2013 Test Yr On Existing Rates'!F14/'2013 Test Yr On Existing Rates'!H14</f>
        <v>0.65877769832348321</v>
      </c>
      <c r="D30" s="76">
        <f t="shared" si="5"/>
        <v>1</v>
      </c>
      <c r="E30" s="88">
        <f>+B13*C30/'Forecast Data For2013'!C24/12</f>
        <v>6.7534501034700414</v>
      </c>
      <c r="F30" s="88">
        <f>+'2012 Existing Rates'!B13</f>
        <v>8.91</v>
      </c>
      <c r="G30" s="340">
        <v>5.6985804221481544</v>
      </c>
      <c r="H30" s="340">
        <v>6.96</v>
      </c>
    </row>
    <row r="31" spans="1:9" ht="18" customHeight="1" x14ac:dyDescent="0.2">
      <c r="A31" s="84"/>
      <c r="B31" s="218"/>
      <c r="C31" s="76"/>
      <c r="D31" s="76"/>
      <c r="E31" s="88"/>
      <c r="F31" s="88"/>
      <c r="G31" s="74"/>
      <c r="H31" s="74"/>
    </row>
    <row r="32" spans="1:9" ht="18" customHeight="1" thickBot="1" x14ac:dyDescent="0.25">
      <c r="A32" s="89" t="s">
        <v>1</v>
      </c>
      <c r="B32" s="219"/>
      <c r="C32" s="90"/>
      <c r="D32" s="90"/>
      <c r="E32" s="90"/>
      <c r="F32" s="90"/>
      <c r="G32" s="90"/>
      <c r="H32" s="90"/>
    </row>
    <row r="33" spans="3:6" ht="13.5" thickTop="1" x14ac:dyDescent="0.2">
      <c r="F33" s="1"/>
    </row>
    <row r="34" spans="3:6" x14ac:dyDescent="0.2">
      <c r="C34" s="9"/>
      <c r="F34" s="57"/>
    </row>
    <row r="35" spans="3:6" x14ac:dyDescent="0.2">
      <c r="F35" s="57"/>
    </row>
  </sheetData>
  <mergeCells count="6">
    <mergeCell ref="A1:I1"/>
    <mergeCell ref="A2:I2"/>
    <mergeCell ref="A21:G21"/>
    <mergeCell ref="A3:I3"/>
    <mergeCell ref="D15:E15"/>
    <mergeCell ref="A4:I4"/>
  </mergeCells>
  <phoneticPr fontId="5" type="noConversion"/>
  <pageMargins left="0.35433070866141736" right="0.35433070866141736" top="0.59055118110236227" bottom="0.59055118110236227" header="0.31496062992125984" footer="0.31496062992125984"/>
  <pageSetup scale="78" orientation="landscape" r:id="rId1"/>
  <headerFooter alignWithMargins="0">
    <oddFooter>&amp;R&amp;Z&amp;F &amp;A  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3"/>
  <sheetViews>
    <sheetView topLeftCell="A68" zoomScaleNormal="100" workbookViewId="0">
      <selection activeCell="C81" sqref="C81"/>
    </sheetView>
  </sheetViews>
  <sheetFormatPr defaultRowHeight="12.75" x14ac:dyDescent="0.2"/>
  <cols>
    <col min="2" max="2" width="1.5703125" customWidth="1"/>
    <col min="3" max="3" width="18.5703125" customWidth="1"/>
    <col min="4" max="4" width="15.85546875" customWidth="1"/>
    <col min="5" max="5" width="1.28515625" customWidth="1"/>
    <col min="6" max="6" width="34" customWidth="1"/>
    <col min="7" max="7" width="11" bestFit="1" customWidth="1"/>
    <col min="8" max="8" width="9.7109375" bestFit="1" customWidth="1"/>
    <col min="9" max="9" width="15.5703125" bestFit="1" customWidth="1"/>
    <col min="10" max="10" width="11" bestFit="1" customWidth="1"/>
    <col min="11" max="11" width="12.7109375" bestFit="1" customWidth="1"/>
    <col min="12" max="12" width="15.5703125" bestFit="1" customWidth="1"/>
    <col min="13" max="13" width="15.140625" bestFit="1" customWidth="1"/>
    <col min="14" max="14" width="13.42578125" bestFit="1" customWidth="1"/>
    <col min="15" max="15" width="14" bestFit="1" customWidth="1"/>
    <col min="16" max="16" width="1.5703125" customWidth="1"/>
  </cols>
  <sheetData>
    <row r="1" spans="1:16" x14ac:dyDescent="0.2">
      <c r="A1" s="7"/>
      <c r="B1" s="434">
        <f>+'Revenue Input'!A1</f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6" x14ac:dyDescent="0.2">
      <c r="A2" s="7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16" x14ac:dyDescent="0.2">
      <c r="A3" s="7"/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</row>
    <row r="4" spans="1:16" x14ac:dyDescent="0.2">
      <c r="A4" s="7"/>
      <c r="B4" s="7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</row>
    <row r="5" spans="1:16" ht="20.25" x14ac:dyDescent="0.3">
      <c r="A5" s="7"/>
      <c r="B5" s="7"/>
      <c r="C5" s="436" t="s">
        <v>86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</row>
    <row r="6" spans="1:16" ht="18" x14ac:dyDescent="0.25">
      <c r="A6" s="7"/>
      <c r="B6" s="7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</row>
    <row r="7" spans="1:16" ht="18" customHeight="1" thickBot="1" x14ac:dyDescent="0.25">
      <c r="A7" s="7"/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</row>
    <row r="8" spans="1:16" ht="21.75" customHeight="1" x14ac:dyDescent="0.35">
      <c r="B8" s="104"/>
      <c r="C8" s="430" t="s">
        <v>35</v>
      </c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94"/>
    </row>
    <row r="9" spans="1:16" ht="21.75" customHeight="1" thickBot="1" x14ac:dyDescent="0.3">
      <c r="B9" s="102"/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95"/>
    </row>
    <row r="10" spans="1:16" ht="21.75" customHeight="1" thickBot="1" x14ac:dyDescent="0.25">
      <c r="B10" s="102"/>
      <c r="C10" s="103"/>
      <c r="D10" s="103"/>
      <c r="E10" s="25"/>
      <c r="F10" s="30"/>
      <c r="G10" s="425" t="s">
        <v>98</v>
      </c>
      <c r="H10" s="426"/>
      <c r="I10" s="427"/>
      <c r="J10" s="425" t="s">
        <v>113</v>
      </c>
      <c r="K10" s="426"/>
      <c r="L10" s="427"/>
      <c r="M10" s="425" t="s">
        <v>43</v>
      </c>
      <c r="N10" s="426"/>
      <c r="O10" s="427"/>
      <c r="P10" s="95"/>
    </row>
    <row r="11" spans="1:16" ht="26.25" thickBot="1" x14ac:dyDescent="0.25">
      <c r="B11" s="102"/>
      <c r="C11" s="25"/>
      <c r="D11" s="25"/>
      <c r="E11" s="27"/>
      <c r="F11" s="31"/>
      <c r="G11" s="144" t="s">
        <v>37</v>
      </c>
      <c r="H11" s="119" t="s">
        <v>38</v>
      </c>
      <c r="I11" s="120" t="s">
        <v>39</v>
      </c>
      <c r="J11" s="144" t="s">
        <v>37</v>
      </c>
      <c r="K11" s="119" t="s">
        <v>38</v>
      </c>
      <c r="L11" s="120" t="s">
        <v>39</v>
      </c>
      <c r="M11" s="146" t="s">
        <v>44</v>
      </c>
      <c r="N11" s="147" t="s">
        <v>45</v>
      </c>
      <c r="O11" s="148" t="s">
        <v>46</v>
      </c>
      <c r="P11" s="95"/>
    </row>
    <row r="12" spans="1:16" ht="21.75" customHeight="1" thickBot="1" x14ac:dyDescent="0.25">
      <c r="B12" s="102"/>
      <c r="C12" s="421" t="s">
        <v>40</v>
      </c>
      <c r="D12" s="422"/>
      <c r="E12" s="25"/>
      <c r="F12" s="128" t="s">
        <v>41</v>
      </c>
      <c r="G12" s="138"/>
      <c r="H12" s="139"/>
      <c r="I12" s="140">
        <f>+'2012 Existing Rates'!$C$6</f>
        <v>11.716666666666667</v>
      </c>
      <c r="J12" s="138"/>
      <c r="K12" s="139"/>
      <c r="L12" s="143">
        <f>'Rate Schedule '!$E$11</f>
        <v>12.63</v>
      </c>
      <c r="M12" s="152">
        <f t="shared" ref="M12:M17" si="0">+L12-I12</f>
        <v>0.913333333333334</v>
      </c>
      <c r="N12" s="153">
        <f t="shared" ref="N12:N22" si="1">+M12/I12</f>
        <v>7.7951635846372741E-2</v>
      </c>
      <c r="O12" s="154" t="e">
        <f>L12/L25</f>
        <v>#REF!</v>
      </c>
      <c r="P12" s="95"/>
    </row>
    <row r="13" spans="1:16" ht="21.75" customHeight="1" thickBot="1" x14ac:dyDescent="0.25">
      <c r="B13" s="102"/>
      <c r="C13" s="98">
        <v>100</v>
      </c>
      <c r="D13" s="99" t="s">
        <v>12</v>
      </c>
      <c r="E13" s="25"/>
      <c r="F13" s="129" t="s">
        <v>42</v>
      </c>
      <c r="G13" s="132">
        <f>+C13</f>
        <v>100</v>
      </c>
      <c r="H13" s="126" t="e">
        <f>'2012 Existing Rates'!#REF!</f>
        <v>#REF!</v>
      </c>
      <c r="I13" s="141" t="e">
        <f>+G13*H13</f>
        <v>#REF!</v>
      </c>
      <c r="J13" s="132">
        <f>+C13</f>
        <v>100</v>
      </c>
      <c r="K13" s="125">
        <f>'Rate Schedule '!$E$12</f>
        <v>1.2200000000000001E-2</v>
      </c>
      <c r="L13" s="145">
        <f>+J13*K13</f>
        <v>1.22</v>
      </c>
      <c r="M13" s="155" t="e">
        <f t="shared" si="0"/>
        <v>#REF!</v>
      </c>
      <c r="N13" s="153" t="e">
        <f t="shared" si="1"/>
        <v>#REF!</v>
      </c>
      <c r="O13" s="156" t="e">
        <f>L13/L25</f>
        <v>#REF!</v>
      </c>
      <c r="P13" s="95"/>
    </row>
    <row r="14" spans="1:16" ht="21.75" customHeight="1" thickBot="1" x14ac:dyDescent="0.25">
      <c r="B14" s="102"/>
      <c r="C14" s="231"/>
      <c r="D14" s="232"/>
      <c r="E14" s="25"/>
      <c r="F14" s="129" t="s">
        <v>115</v>
      </c>
      <c r="G14" s="132">
        <f>G13</f>
        <v>100</v>
      </c>
      <c r="H14" s="126" t="e">
        <f>'2012 Existing Rates'!#REF!</f>
        <v>#REF!</v>
      </c>
      <c r="I14" s="141" t="e">
        <f>+G14*H14</f>
        <v>#REF!</v>
      </c>
      <c r="J14" s="132">
        <f>J13</f>
        <v>100</v>
      </c>
      <c r="K14" s="125" t="e">
        <f>'Rate Schedule '!#REF!</f>
        <v>#REF!</v>
      </c>
      <c r="L14" s="145" t="e">
        <f>+J14*K14</f>
        <v>#REF!</v>
      </c>
      <c r="M14" s="155" t="e">
        <f t="shared" si="0"/>
        <v>#REF!</v>
      </c>
      <c r="N14" s="153" t="e">
        <f t="shared" si="1"/>
        <v>#REF!</v>
      </c>
      <c r="O14" s="156" t="e">
        <f>L14/L25</f>
        <v>#REF!</v>
      </c>
      <c r="P14" s="95"/>
    </row>
    <row r="15" spans="1:16" ht="21.75" customHeight="1" thickBot="1" x14ac:dyDescent="0.25">
      <c r="B15" s="102"/>
      <c r="C15" s="54"/>
      <c r="D15" s="55"/>
      <c r="E15" s="25"/>
      <c r="F15" s="129" t="s">
        <v>79</v>
      </c>
      <c r="G15" s="151"/>
      <c r="H15" s="150"/>
      <c r="I15" s="141" t="e">
        <f>'2012 Existing Rates'!#REF!</f>
        <v>#REF!</v>
      </c>
      <c r="J15" s="151"/>
      <c r="K15" s="150"/>
      <c r="L15" s="145" t="e">
        <f>'Rate Schedule '!#REF!</f>
        <v>#REF!</v>
      </c>
      <c r="M15" s="155" t="e">
        <f t="shared" si="0"/>
        <v>#REF!</v>
      </c>
      <c r="N15" s="153" t="e">
        <f t="shared" si="1"/>
        <v>#REF!</v>
      </c>
      <c r="O15" s="156" t="e">
        <f>L15/L25</f>
        <v>#REF!</v>
      </c>
      <c r="P15" s="95"/>
    </row>
    <row r="16" spans="1:16" ht="21.75" customHeight="1" thickBot="1" x14ac:dyDescent="0.25">
      <c r="B16" s="102"/>
      <c r="C16" s="54"/>
      <c r="D16" s="55"/>
      <c r="E16" s="25"/>
      <c r="F16" s="129" t="s">
        <v>78</v>
      </c>
      <c r="G16" s="132">
        <f>C13</f>
        <v>100</v>
      </c>
      <c r="H16" s="126"/>
      <c r="I16" s="137">
        <f>+G16*H16</f>
        <v>0</v>
      </c>
      <c r="J16" s="132">
        <f>C13</f>
        <v>100</v>
      </c>
      <c r="K16" s="125" t="e">
        <f>'Rate Schedule '!#REF!</f>
        <v>#REF!</v>
      </c>
      <c r="L16" s="145" t="e">
        <f>J16*K16</f>
        <v>#REF!</v>
      </c>
      <c r="M16" s="155" t="e">
        <f t="shared" si="0"/>
        <v>#REF!</v>
      </c>
      <c r="N16" s="153">
        <v>0</v>
      </c>
      <c r="O16" s="156" t="e">
        <f>L16/L25</f>
        <v>#REF!</v>
      </c>
      <c r="P16" s="95"/>
    </row>
    <row r="17" spans="2:16" ht="21.75" customHeight="1" thickBot="1" x14ac:dyDescent="0.25">
      <c r="B17" s="102"/>
      <c r="C17" s="25"/>
      <c r="D17" s="25"/>
      <c r="E17" s="25"/>
      <c r="F17" s="130" t="s">
        <v>114</v>
      </c>
      <c r="G17" s="157">
        <f>+C13</f>
        <v>100</v>
      </c>
      <c r="H17" s="158" t="e">
        <f>+'2012 Existing Rates'!#REF!</f>
        <v>#REF!</v>
      </c>
      <c r="I17" s="159" t="e">
        <f>+G17*H17</f>
        <v>#REF!</v>
      </c>
      <c r="J17" s="157">
        <f>+C13</f>
        <v>100</v>
      </c>
      <c r="K17" s="158" t="e">
        <f>'Rate Schedule '!#REF!</f>
        <v>#REF!</v>
      </c>
      <c r="L17" s="159" t="e">
        <f>+J17*K17</f>
        <v>#REF!</v>
      </c>
      <c r="M17" s="155" t="e">
        <f t="shared" si="0"/>
        <v>#REF!</v>
      </c>
      <c r="N17" s="153" t="e">
        <f t="shared" si="1"/>
        <v>#REF!</v>
      </c>
      <c r="O17" s="156" t="e">
        <f>L17/L25</f>
        <v>#REF!</v>
      </c>
      <c r="P17" s="95"/>
    </row>
    <row r="18" spans="2:16" ht="21.75" customHeight="1" thickBot="1" x14ac:dyDescent="0.25">
      <c r="B18" s="102"/>
      <c r="C18" s="25"/>
      <c r="D18" s="25"/>
      <c r="E18" s="25"/>
      <c r="F18" s="279" t="s">
        <v>116</v>
      </c>
      <c r="G18" s="417"/>
      <c r="H18" s="418"/>
      <c r="I18" s="280" t="e">
        <f>SUM(I12:I17)</f>
        <v>#REF!</v>
      </c>
      <c r="J18" s="417"/>
      <c r="K18" s="418"/>
      <c r="L18" s="280" t="e">
        <f>SUM(L12:L17)</f>
        <v>#REF!</v>
      </c>
      <c r="M18" s="283" t="e">
        <f>SUM(M12:M17)</f>
        <v>#REF!</v>
      </c>
      <c r="N18" s="284" t="e">
        <f t="shared" si="1"/>
        <v>#REF!</v>
      </c>
      <c r="O18" s="285" t="e">
        <f>L18/L25</f>
        <v>#REF!</v>
      </c>
      <c r="P18" s="95"/>
    </row>
    <row r="19" spans="2:16" ht="21.75" customHeight="1" thickBot="1" x14ac:dyDescent="0.25">
      <c r="B19" s="102"/>
      <c r="C19" s="25"/>
      <c r="D19" s="25"/>
      <c r="E19" s="25"/>
      <c r="F19" s="129" t="s">
        <v>117</v>
      </c>
      <c r="G19" s="233" t="e">
        <f>C13*#REF!</f>
        <v>#REF!</v>
      </c>
      <c r="H19" s="234" t="e">
        <f>#REF!</f>
        <v>#REF!</v>
      </c>
      <c r="I19" s="141" t="e">
        <f>+G19*H19</f>
        <v>#REF!</v>
      </c>
      <c r="J19" s="233" t="e">
        <f>'BILL IMPACTS'!C13*#REF!</f>
        <v>#REF!</v>
      </c>
      <c r="K19" s="234" t="e">
        <f>#REF!</f>
        <v>#REF!</v>
      </c>
      <c r="L19" s="141" t="e">
        <f>+J19*K19</f>
        <v>#REF!</v>
      </c>
      <c r="M19" s="235" t="e">
        <f>+L19-I19</f>
        <v>#REF!</v>
      </c>
      <c r="N19" s="153" t="e">
        <f t="shared" si="1"/>
        <v>#REF!</v>
      </c>
      <c r="O19" s="154" t="e">
        <f>L19/L25</f>
        <v>#REF!</v>
      </c>
      <c r="P19" s="95"/>
    </row>
    <row r="20" spans="2:16" ht="21.75" customHeight="1" thickBot="1" x14ac:dyDescent="0.25">
      <c r="B20" s="102"/>
      <c r="C20" s="25"/>
      <c r="D20" s="25"/>
      <c r="E20" s="25"/>
      <c r="F20" s="279" t="s">
        <v>118</v>
      </c>
      <c r="G20" s="417"/>
      <c r="H20" s="418"/>
      <c r="I20" s="280" t="e">
        <f>I18+I19</f>
        <v>#REF!</v>
      </c>
      <c r="J20" s="417"/>
      <c r="K20" s="418"/>
      <c r="L20" s="280" t="e">
        <f>L18+L19</f>
        <v>#REF!</v>
      </c>
      <c r="M20" s="283" t="e">
        <f>+M18+M19</f>
        <v>#REF!</v>
      </c>
      <c r="N20" s="284" t="e">
        <f t="shared" ref="N20:N25" si="2">+M20/I20</f>
        <v>#REF!</v>
      </c>
      <c r="O20" s="286" t="e">
        <f>L20/L25</f>
        <v>#REF!</v>
      </c>
      <c r="P20" s="95"/>
    </row>
    <row r="21" spans="2:16" ht="21.75" customHeight="1" thickBot="1" x14ac:dyDescent="0.25">
      <c r="B21" s="102"/>
      <c r="C21" s="25"/>
      <c r="D21" s="25"/>
      <c r="E21" s="25"/>
      <c r="F21" s="131" t="s">
        <v>47</v>
      </c>
      <c r="G21" s="133" t="e">
        <f>+#REF!*C13</f>
        <v>#REF!</v>
      </c>
      <c r="H21" s="134" t="e">
        <f>#REF!+#REF!</f>
        <v>#REF!</v>
      </c>
      <c r="I21" s="135" t="e">
        <f>+G21*H21</f>
        <v>#REF!</v>
      </c>
      <c r="J21" s="133" t="e">
        <f>J19</f>
        <v>#REF!</v>
      </c>
      <c r="K21" s="134" t="e">
        <f>#REF!+#REF!</f>
        <v>#REF!</v>
      </c>
      <c r="L21" s="162" t="e">
        <f>+J21*K21</f>
        <v>#REF!</v>
      </c>
      <c r="M21" s="273" t="e">
        <f>+L21-I21</f>
        <v>#REF!</v>
      </c>
      <c r="N21" s="153" t="e">
        <f t="shared" si="1"/>
        <v>#REF!</v>
      </c>
      <c r="O21" s="192" t="e">
        <f>L21/L25</f>
        <v>#REF!</v>
      </c>
      <c r="P21" s="95"/>
    </row>
    <row r="22" spans="2:16" ht="21.75" customHeight="1" thickBot="1" x14ac:dyDescent="0.25">
      <c r="B22" s="102"/>
      <c r="C22" s="25"/>
      <c r="D22" s="25"/>
      <c r="E22" s="25"/>
      <c r="F22" s="129" t="s">
        <v>48</v>
      </c>
      <c r="G22" s="142" t="e">
        <f>+#REF!*C13</f>
        <v>#REF!</v>
      </c>
      <c r="H22" s="136" t="e">
        <f>#REF!</f>
        <v>#REF!</v>
      </c>
      <c r="I22" s="137" t="e">
        <f>+G22*H22</f>
        <v>#REF!</v>
      </c>
      <c r="J22" s="142" t="e">
        <f>J21</f>
        <v>#REF!</v>
      </c>
      <c r="K22" s="136" t="e">
        <f>#REF!</f>
        <v>#REF!</v>
      </c>
      <c r="L22" s="159" t="e">
        <f>+J22*K22</f>
        <v>#REF!</v>
      </c>
      <c r="M22" s="274" t="e">
        <f>+L22-I22</f>
        <v>#REF!</v>
      </c>
      <c r="N22" s="153" t="e">
        <f t="shared" si="1"/>
        <v>#REF!</v>
      </c>
      <c r="O22" s="166" t="e">
        <f>L22/L25</f>
        <v>#REF!</v>
      </c>
      <c r="P22" s="95"/>
    </row>
    <row r="23" spans="2:16" ht="21.75" customHeight="1" thickBot="1" x14ac:dyDescent="0.25">
      <c r="B23" s="102"/>
      <c r="C23" s="25"/>
      <c r="D23" s="25"/>
      <c r="E23" s="25"/>
      <c r="F23" s="279" t="s">
        <v>97</v>
      </c>
      <c r="G23" s="417"/>
      <c r="H23" s="418"/>
      <c r="I23" s="280" t="e">
        <f>SUM(I20:I22)</f>
        <v>#REF!</v>
      </c>
      <c r="J23" s="417"/>
      <c r="K23" s="418"/>
      <c r="L23" s="280" t="e">
        <f>SUM(L20:L22)</f>
        <v>#REF!</v>
      </c>
      <c r="M23" s="280" t="e">
        <f>SUM(M20:M22)</f>
        <v>#REF!</v>
      </c>
      <c r="N23" s="284" t="e">
        <f>+M23/I23</f>
        <v>#REF!</v>
      </c>
      <c r="O23" s="286" t="e">
        <f>L23/L25</f>
        <v>#REF!</v>
      </c>
      <c r="P23" s="194"/>
    </row>
    <row r="24" spans="2:16" ht="21.75" customHeight="1" thickBot="1" x14ac:dyDescent="0.25">
      <c r="B24" s="102"/>
      <c r="C24" s="25"/>
      <c r="D24" s="25"/>
      <c r="E24" s="25"/>
      <c r="F24" s="188" t="s">
        <v>170</v>
      </c>
      <c r="G24" s="189"/>
      <c r="H24" s="193">
        <v>0.13</v>
      </c>
      <c r="I24" s="190" t="e">
        <f>I23*H24</f>
        <v>#REF!</v>
      </c>
      <c r="J24" s="189"/>
      <c r="K24" s="193">
        <v>0.13</v>
      </c>
      <c r="L24" s="191" t="e">
        <f>L23*K24</f>
        <v>#REF!</v>
      </c>
      <c r="M24" s="160" t="e">
        <f>+L24-I24</f>
        <v>#REF!</v>
      </c>
      <c r="N24" s="164" t="e">
        <f t="shared" si="2"/>
        <v>#REF!</v>
      </c>
      <c r="O24" s="166" t="e">
        <f>L24/L25</f>
        <v>#REF!</v>
      </c>
      <c r="P24" s="95"/>
    </row>
    <row r="25" spans="2:16" s="240" customFormat="1" ht="21.75" customHeight="1" thickBot="1" x14ac:dyDescent="0.25">
      <c r="B25" s="236"/>
      <c r="C25" s="237"/>
      <c r="D25" s="237"/>
      <c r="E25" s="238"/>
      <c r="F25" s="281" t="s">
        <v>49</v>
      </c>
      <c r="G25" s="428"/>
      <c r="H25" s="429"/>
      <c r="I25" s="282" t="e">
        <f>I23+I24</f>
        <v>#REF!</v>
      </c>
      <c r="J25" s="428"/>
      <c r="K25" s="429"/>
      <c r="L25" s="282" t="e">
        <f>L23+L24</f>
        <v>#REF!</v>
      </c>
      <c r="M25" s="282" t="e">
        <f>M23+M24</f>
        <v>#REF!</v>
      </c>
      <c r="N25" s="287" t="e">
        <f t="shared" si="2"/>
        <v>#REF!</v>
      </c>
      <c r="O25" s="288" t="e">
        <f>O23+O24</f>
        <v>#REF!</v>
      </c>
      <c r="P25" s="239"/>
    </row>
    <row r="26" spans="2:16" ht="9.75" customHeight="1" thickBot="1" x14ac:dyDescent="0.4">
      <c r="B26" s="96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97"/>
    </row>
    <row r="27" spans="2:16" ht="18" customHeight="1" thickBot="1" x14ac:dyDescent="0.25"/>
    <row r="28" spans="2:16" ht="21.75" customHeight="1" x14ac:dyDescent="0.35">
      <c r="B28" s="104"/>
      <c r="C28" s="430" t="s">
        <v>35</v>
      </c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94"/>
    </row>
    <row r="29" spans="2:16" ht="21.75" customHeight="1" thickBot="1" x14ac:dyDescent="0.3">
      <c r="B29" s="102"/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95"/>
    </row>
    <row r="30" spans="2:16" ht="21.75" customHeight="1" thickBot="1" x14ac:dyDescent="0.25">
      <c r="B30" s="102"/>
      <c r="C30" s="103"/>
      <c r="D30" s="103"/>
      <c r="E30" s="25"/>
      <c r="F30" s="30"/>
      <c r="G30" s="425" t="s">
        <v>98</v>
      </c>
      <c r="H30" s="426"/>
      <c r="I30" s="427"/>
      <c r="J30" s="425" t="s">
        <v>113</v>
      </c>
      <c r="K30" s="426"/>
      <c r="L30" s="427"/>
      <c r="M30" s="425" t="s">
        <v>43</v>
      </c>
      <c r="N30" s="426"/>
      <c r="O30" s="427"/>
      <c r="P30" s="95"/>
    </row>
    <row r="31" spans="2:16" ht="26.25" thickBot="1" x14ac:dyDescent="0.25">
      <c r="B31" s="102"/>
      <c r="C31" s="25"/>
      <c r="D31" s="25"/>
      <c r="E31" s="27"/>
      <c r="F31" s="31"/>
      <c r="G31" s="144" t="s">
        <v>37</v>
      </c>
      <c r="H31" s="119" t="s">
        <v>38</v>
      </c>
      <c r="I31" s="120" t="s">
        <v>39</v>
      </c>
      <c r="J31" s="144" t="s">
        <v>37</v>
      </c>
      <c r="K31" s="119" t="s">
        <v>38</v>
      </c>
      <c r="L31" s="120" t="s">
        <v>39</v>
      </c>
      <c r="M31" s="146" t="s">
        <v>44</v>
      </c>
      <c r="N31" s="147" t="s">
        <v>45</v>
      </c>
      <c r="O31" s="148" t="s">
        <v>46</v>
      </c>
      <c r="P31" s="95"/>
    </row>
    <row r="32" spans="2:16" ht="21.75" customHeight="1" thickBot="1" x14ac:dyDescent="0.25">
      <c r="B32" s="102"/>
      <c r="C32" s="421" t="s">
        <v>40</v>
      </c>
      <c r="D32" s="422"/>
      <c r="E32" s="25"/>
      <c r="F32" s="128" t="s">
        <v>41</v>
      </c>
      <c r="G32" s="138"/>
      <c r="H32" s="139"/>
      <c r="I32" s="140">
        <f>+'2012 Existing Rates'!$C$6</f>
        <v>11.716666666666667</v>
      </c>
      <c r="J32" s="138"/>
      <c r="K32" s="139"/>
      <c r="L32" s="143">
        <f>'Rate Schedule '!$E$11</f>
        <v>12.63</v>
      </c>
      <c r="M32" s="152">
        <f t="shared" ref="M32:M37" si="3">+L32-I32</f>
        <v>0.913333333333334</v>
      </c>
      <c r="N32" s="153">
        <f t="shared" ref="N32:N40" si="4">+M32/I32</f>
        <v>7.7951635846372741E-2</v>
      </c>
      <c r="O32" s="154" t="e">
        <f>L32/L45</f>
        <v>#REF!</v>
      </c>
      <c r="P32" s="95"/>
    </row>
    <row r="33" spans="2:16" ht="21.75" customHeight="1" thickBot="1" x14ac:dyDescent="0.25">
      <c r="B33" s="102"/>
      <c r="C33" s="98">
        <v>250</v>
      </c>
      <c r="D33" s="99" t="s">
        <v>12</v>
      </c>
      <c r="E33" s="25"/>
      <c r="F33" s="129" t="s">
        <v>42</v>
      </c>
      <c r="G33" s="132">
        <f>+C33</f>
        <v>250</v>
      </c>
      <c r="H33" s="126" t="e">
        <f>'2012 Existing Rates'!#REF!</f>
        <v>#REF!</v>
      </c>
      <c r="I33" s="141" t="e">
        <f>+G33*H33</f>
        <v>#REF!</v>
      </c>
      <c r="J33" s="132">
        <f>+C33</f>
        <v>250</v>
      </c>
      <c r="K33" s="125">
        <f>'Rate Schedule '!$E$12</f>
        <v>1.2200000000000001E-2</v>
      </c>
      <c r="L33" s="145">
        <f>+J33*K33</f>
        <v>3.0500000000000003</v>
      </c>
      <c r="M33" s="155" t="e">
        <f t="shared" si="3"/>
        <v>#REF!</v>
      </c>
      <c r="N33" s="153" t="e">
        <f t="shared" si="4"/>
        <v>#REF!</v>
      </c>
      <c r="O33" s="156" t="e">
        <f>L33/L45</f>
        <v>#REF!</v>
      </c>
      <c r="P33" s="95"/>
    </row>
    <row r="34" spans="2:16" ht="21.75" customHeight="1" thickBot="1" x14ac:dyDescent="0.25">
      <c r="B34" s="102"/>
      <c r="C34" s="231"/>
      <c r="D34" s="232"/>
      <c r="E34" s="25"/>
      <c r="F34" s="129" t="s">
        <v>115</v>
      </c>
      <c r="G34" s="132">
        <f>G33</f>
        <v>250</v>
      </c>
      <c r="H34" s="126" t="e">
        <f>'2012 Existing Rates'!#REF!</f>
        <v>#REF!</v>
      </c>
      <c r="I34" s="141" t="e">
        <f>+G34*H34</f>
        <v>#REF!</v>
      </c>
      <c r="J34" s="132">
        <f>J33</f>
        <v>250</v>
      </c>
      <c r="K34" s="125" t="e">
        <f>'Rate Schedule '!#REF!</f>
        <v>#REF!</v>
      </c>
      <c r="L34" s="145" t="e">
        <f>+J34*K34</f>
        <v>#REF!</v>
      </c>
      <c r="M34" s="155" t="e">
        <f t="shared" si="3"/>
        <v>#REF!</v>
      </c>
      <c r="N34" s="153" t="e">
        <f t="shared" si="4"/>
        <v>#REF!</v>
      </c>
      <c r="O34" s="156" t="e">
        <f>L34/L45</f>
        <v>#REF!</v>
      </c>
      <c r="P34" s="95"/>
    </row>
    <row r="35" spans="2:16" ht="21.75" customHeight="1" thickBot="1" x14ac:dyDescent="0.25">
      <c r="B35" s="102"/>
      <c r="C35" s="54"/>
      <c r="D35" s="55"/>
      <c r="E35" s="25"/>
      <c r="F35" s="129" t="s">
        <v>79</v>
      </c>
      <c r="G35" s="151"/>
      <c r="H35" s="150"/>
      <c r="I35" s="141" t="e">
        <f>'2012 Existing Rates'!#REF!</f>
        <v>#REF!</v>
      </c>
      <c r="J35" s="151"/>
      <c r="K35" s="150"/>
      <c r="L35" s="145" t="e">
        <f>'Rate Schedule '!#REF!</f>
        <v>#REF!</v>
      </c>
      <c r="M35" s="155" t="e">
        <f t="shared" si="3"/>
        <v>#REF!</v>
      </c>
      <c r="N35" s="153" t="e">
        <f t="shared" si="4"/>
        <v>#REF!</v>
      </c>
      <c r="O35" s="156" t="e">
        <f>L35/L45</f>
        <v>#REF!</v>
      </c>
      <c r="P35" s="95"/>
    </row>
    <row r="36" spans="2:16" ht="21.75" customHeight="1" thickBot="1" x14ac:dyDescent="0.25">
      <c r="B36" s="102"/>
      <c r="C36" s="54"/>
      <c r="D36" s="55"/>
      <c r="E36" s="25"/>
      <c r="F36" s="129" t="s">
        <v>78</v>
      </c>
      <c r="G36" s="132">
        <f>C33</f>
        <v>250</v>
      </c>
      <c r="H36" s="126"/>
      <c r="I36" s="137">
        <f>+G36*H36</f>
        <v>0</v>
      </c>
      <c r="J36" s="132">
        <f>C33</f>
        <v>250</v>
      </c>
      <c r="K36" s="125" t="e">
        <f>'Rate Schedule '!#REF!</f>
        <v>#REF!</v>
      </c>
      <c r="L36" s="145" t="e">
        <f>J36*K36</f>
        <v>#REF!</v>
      </c>
      <c r="M36" s="155" t="e">
        <f t="shared" si="3"/>
        <v>#REF!</v>
      </c>
      <c r="N36" s="153">
        <v>0</v>
      </c>
      <c r="O36" s="156" t="e">
        <f>L36/L45</f>
        <v>#REF!</v>
      </c>
      <c r="P36" s="95"/>
    </row>
    <row r="37" spans="2:16" ht="21.75" customHeight="1" thickBot="1" x14ac:dyDescent="0.25">
      <c r="B37" s="102"/>
      <c r="C37" s="25"/>
      <c r="D37" s="25"/>
      <c r="E37" s="25"/>
      <c r="F37" s="130" t="s">
        <v>114</v>
      </c>
      <c r="G37" s="157">
        <f>+C33</f>
        <v>250</v>
      </c>
      <c r="H37" s="158" t="e">
        <f>+'2012 Existing Rates'!#REF!</f>
        <v>#REF!</v>
      </c>
      <c r="I37" s="159" t="e">
        <f>+G37*H37</f>
        <v>#REF!</v>
      </c>
      <c r="J37" s="157">
        <f>+C33</f>
        <v>250</v>
      </c>
      <c r="K37" s="158" t="e">
        <f>'Rate Schedule '!#REF!</f>
        <v>#REF!</v>
      </c>
      <c r="L37" s="159" t="e">
        <f>+J37*K37</f>
        <v>#REF!</v>
      </c>
      <c r="M37" s="155" t="e">
        <f t="shared" si="3"/>
        <v>#REF!</v>
      </c>
      <c r="N37" s="153" t="e">
        <f t="shared" si="4"/>
        <v>#REF!</v>
      </c>
      <c r="O37" s="156" t="e">
        <f>L37/L45</f>
        <v>#REF!</v>
      </c>
      <c r="P37" s="95"/>
    </row>
    <row r="38" spans="2:16" ht="21.75" customHeight="1" thickBot="1" x14ac:dyDescent="0.25">
      <c r="B38" s="102"/>
      <c r="C38" s="25"/>
      <c r="D38" s="25"/>
      <c r="E38" s="25"/>
      <c r="F38" s="279" t="s">
        <v>116</v>
      </c>
      <c r="G38" s="417"/>
      <c r="H38" s="418"/>
      <c r="I38" s="280" t="e">
        <f>SUM(I32:I37)</f>
        <v>#REF!</v>
      </c>
      <c r="J38" s="417"/>
      <c r="K38" s="418"/>
      <c r="L38" s="280" t="e">
        <f>SUM(L32:L37)</f>
        <v>#REF!</v>
      </c>
      <c r="M38" s="283" t="e">
        <f t="shared" ref="M38:M44" si="5">+L38-I38</f>
        <v>#REF!</v>
      </c>
      <c r="N38" s="284" t="e">
        <f t="shared" si="4"/>
        <v>#REF!</v>
      </c>
      <c r="O38" s="285" t="e">
        <f>L38/L45</f>
        <v>#REF!</v>
      </c>
      <c r="P38" s="95"/>
    </row>
    <row r="39" spans="2:16" ht="21.75" customHeight="1" thickBot="1" x14ac:dyDescent="0.25">
      <c r="B39" s="102"/>
      <c r="C39" s="25"/>
      <c r="D39" s="25"/>
      <c r="E39" s="25"/>
      <c r="F39" s="129" t="s">
        <v>117</v>
      </c>
      <c r="G39" s="233" t="e">
        <f>C33*#REF!</f>
        <v>#REF!</v>
      </c>
      <c r="H39" s="234" t="e">
        <f>#REF!</f>
        <v>#REF!</v>
      </c>
      <c r="I39" s="141" t="e">
        <f>+G39*H39</f>
        <v>#REF!</v>
      </c>
      <c r="J39" s="233" t="e">
        <f>'BILL IMPACTS'!C33*#REF!</f>
        <v>#REF!</v>
      </c>
      <c r="K39" s="234" t="e">
        <f>#REF!</f>
        <v>#REF!</v>
      </c>
      <c r="L39" s="141" t="e">
        <f>+J39*K39</f>
        <v>#REF!</v>
      </c>
      <c r="M39" s="235" t="e">
        <f t="shared" si="5"/>
        <v>#REF!</v>
      </c>
      <c r="N39" s="153" t="e">
        <f t="shared" si="4"/>
        <v>#REF!</v>
      </c>
      <c r="O39" s="154" t="e">
        <f>L39/L45</f>
        <v>#REF!</v>
      </c>
      <c r="P39" s="95"/>
    </row>
    <row r="40" spans="2:16" ht="21.75" customHeight="1" thickBot="1" x14ac:dyDescent="0.25">
      <c r="B40" s="102"/>
      <c r="C40" s="25"/>
      <c r="D40" s="25"/>
      <c r="E40" s="25"/>
      <c r="F40" s="279" t="s">
        <v>118</v>
      </c>
      <c r="G40" s="417"/>
      <c r="H40" s="418"/>
      <c r="I40" s="280" t="e">
        <f>I38+I39</f>
        <v>#REF!</v>
      </c>
      <c r="J40" s="417"/>
      <c r="K40" s="418"/>
      <c r="L40" s="280" t="e">
        <f>L38+L39</f>
        <v>#REF!</v>
      </c>
      <c r="M40" s="283" t="e">
        <f t="shared" si="5"/>
        <v>#REF!</v>
      </c>
      <c r="N40" s="284" t="e">
        <f t="shared" si="4"/>
        <v>#REF!</v>
      </c>
      <c r="O40" s="286" t="e">
        <f>L40/L45</f>
        <v>#REF!</v>
      </c>
      <c r="P40" s="95"/>
    </row>
    <row r="41" spans="2:16" ht="21.75" customHeight="1" thickBot="1" x14ac:dyDescent="0.25">
      <c r="B41" s="102"/>
      <c r="C41" s="25"/>
      <c r="D41" s="25"/>
      <c r="E41" s="25"/>
      <c r="F41" s="131" t="s">
        <v>47</v>
      </c>
      <c r="G41" s="133" t="e">
        <f>+#REF!*C33</f>
        <v>#REF!</v>
      </c>
      <c r="H41" s="134" t="e">
        <f>#REF!+#REF!</f>
        <v>#REF!</v>
      </c>
      <c r="I41" s="135" t="e">
        <f>+G41*H41</f>
        <v>#REF!</v>
      </c>
      <c r="J41" s="133" t="e">
        <f>J39</f>
        <v>#REF!</v>
      </c>
      <c r="K41" s="134" t="e">
        <f>#REF!+#REF!</f>
        <v>#REF!</v>
      </c>
      <c r="L41" s="162" t="e">
        <f>+J41*K41</f>
        <v>#REF!</v>
      </c>
      <c r="M41" s="273" t="e">
        <f t="shared" si="5"/>
        <v>#REF!</v>
      </c>
      <c r="N41" s="153" t="e">
        <f>+M41/I41</f>
        <v>#REF!</v>
      </c>
      <c r="O41" s="192" t="e">
        <f>L41/L45</f>
        <v>#REF!</v>
      </c>
      <c r="P41" s="95"/>
    </row>
    <row r="42" spans="2:16" ht="21.75" customHeight="1" thickBot="1" x14ac:dyDescent="0.25">
      <c r="B42" s="102"/>
      <c r="C42" s="25"/>
      <c r="D42" s="25"/>
      <c r="E42" s="25"/>
      <c r="F42" s="129" t="s">
        <v>48</v>
      </c>
      <c r="G42" s="142" t="e">
        <f>+#REF!*C33</f>
        <v>#REF!</v>
      </c>
      <c r="H42" s="136" t="e">
        <f>#REF!</f>
        <v>#REF!</v>
      </c>
      <c r="I42" s="137" t="e">
        <f>+G42*H42</f>
        <v>#REF!</v>
      </c>
      <c r="J42" s="142" t="e">
        <f>J41</f>
        <v>#REF!</v>
      </c>
      <c r="K42" s="136" t="e">
        <f>#REF!</f>
        <v>#REF!</v>
      </c>
      <c r="L42" s="159" t="e">
        <f>+J42*K42</f>
        <v>#REF!</v>
      </c>
      <c r="M42" s="274" t="e">
        <f t="shared" si="5"/>
        <v>#REF!</v>
      </c>
      <c r="N42" s="153" t="e">
        <f>+M42/I42</f>
        <v>#REF!</v>
      </c>
      <c r="O42" s="166" t="e">
        <f>L42/L45</f>
        <v>#REF!</v>
      </c>
      <c r="P42" s="95"/>
    </row>
    <row r="43" spans="2:16" ht="21.75" customHeight="1" thickBot="1" x14ac:dyDescent="0.25">
      <c r="B43" s="102"/>
      <c r="C43" s="25"/>
      <c r="D43" s="25"/>
      <c r="E43" s="25"/>
      <c r="F43" s="279" t="s">
        <v>97</v>
      </c>
      <c r="G43" s="417"/>
      <c r="H43" s="418"/>
      <c r="I43" s="280" t="e">
        <f>SUM(I40:I42)</f>
        <v>#REF!</v>
      </c>
      <c r="J43" s="417"/>
      <c r="K43" s="418"/>
      <c r="L43" s="280" t="e">
        <f>SUM(L40:L42)</f>
        <v>#REF!</v>
      </c>
      <c r="M43" s="280" t="e">
        <f t="shared" si="5"/>
        <v>#REF!</v>
      </c>
      <c r="N43" s="284" t="e">
        <f>+M43/I43</f>
        <v>#REF!</v>
      </c>
      <c r="O43" s="286" t="e">
        <f>L43/L45</f>
        <v>#REF!</v>
      </c>
      <c r="P43" s="194"/>
    </row>
    <row r="44" spans="2:16" ht="21.75" customHeight="1" thickBot="1" x14ac:dyDescent="0.25">
      <c r="B44" s="102"/>
      <c r="C44" s="25"/>
      <c r="D44" s="25"/>
      <c r="E44" s="25"/>
      <c r="F44" s="188" t="s">
        <v>170</v>
      </c>
      <c r="G44" s="189"/>
      <c r="H44" s="193">
        <v>0.13</v>
      </c>
      <c r="I44" s="190" t="e">
        <f>I43*H44</f>
        <v>#REF!</v>
      </c>
      <c r="J44" s="189"/>
      <c r="K44" s="193">
        <v>0.13</v>
      </c>
      <c r="L44" s="191" t="e">
        <f>L43*K44</f>
        <v>#REF!</v>
      </c>
      <c r="M44" s="160" t="e">
        <f t="shared" si="5"/>
        <v>#REF!</v>
      </c>
      <c r="N44" s="164" t="e">
        <f>+M44/I44</f>
        <v>#REF!</v>
      </c>
      <c r="O44" s="166" t="e">
        <f>L44/L45</f>
        <v>#REF!</v>
      </c>
      <c r="P44" s="95"/>
    </row>
    <row r="45" spans="2:16" s="240" customFormat="1" ht="21.75" customHeight="1" thickBot="1" x14ac:dyDescent="0.25">
      <c r="B45" s="236"/>
      <c r="C45" s="237"/>
      <c r="D45" s="237"/>
      <c r="E45" s="238"/>
      <c r="F45" s="281" t="s">
        <v>49</v>
      </c>
      <c r="G45" s="428"/>
      <c r="H45" s="429"/>
      <c r="I45" s="282" t="e">
        <f>I43+I44</f>
        <v>#REF!</v>
      </c>
      <c r="J45" s="428"/>
      <c r="K45" s="429"/>
      <c r="L45" s="282" t="e">
        <f>L43+L44</f>
        <v>#REF!</v>
      </c>
      <c r="M45" s="282" t="e">
        <f>M43+M44</f>
        <v>#REF!</v>
      </c>
      <c r="N45" s="287" t="e">
        <f>+M45/I45</f>
        <v>#REF!</v>
      </c>
      <c r="O45" s="288" t="e">
        <f>O43+O44</f>
        <v>#REF!</v>
      </c>
      <c r="P45" s="239"/>
    </row>
    <row r="46" spans="2:16" ht="9.75" customHeight="1" thickBot="1" x14ac:dyDescent="0.4">
      <c r="B46" s="96"/>
      <c r="C46" s="431"/>
      <c r="D46" s="431"/>
      <c r="E46" s="431"/>
      <c r="F46" s="431"/>
      <c r="G46" s="431"/>
      <c r="H46" s="431"/>
      <c r="I46" s="431"/>
      <c r="J46" s="431"/>
      <c r="K46" s="431"/>
      <c r="L46" s="431"/>
      <c r="M46" s="431"/>
      <c r="N46" s="431"/>
      <c r="O46" s="431"/>
      <c r="P46" s="97"/>
    </row>
    <row r="47" spans="2:16" ht="21.75" customHeight="1" thickBot="1" x14ac:dyDescent="0.25"/>
    <row r="48" spans="2:16" ht="21.75" customHeight="1" x14ac:dyDescent="0.35">
      <c r="B48" s="104"/>
      <c r="C48" s="430" t="s">
        <v>35</v>
      </c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94"/>
    </row>
    <row r="49" spans="2:16" ht="21.75" customHeight="1" thickBot="1" x14ac:dyDescent="0.3">
      <c r="B49" s="102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95"/>
    </row>
    <row r="50" spans="2:16" ht="21.75" customHeight="1" thickBot="1" x14ac:dyDescent="0.25">
      <c r="B50" s="102"/>
      <c r="C50" s="103"/>
      <c r="D50" s="103"/>
      <c r="E50" s="25"/>
      <c r="F50" s="30"/>
      <c r="G50" s="425" t="s">
        <v>98</v>
      </c>
      <c r="H50" s="426"/>
      <c r="I50" s="427"/>
      <c r="J50" s="425" t="s">
        <v>113</v>
      </c>
      <c r="K50" s="426"/>
      <c r="L50" s="427"/>
      <c r="M50" s="425" t="s">
        <v>43</v>
      </c>
      <c r="N50" s="426"/>
      <c r="O50" s="427"/>
      <c r="P50" s="95"/>
    </row>
    <row r="51" spans="2:16" ht="26.25" thickBot="1" x14ac:dyDescent="0.25">
      <c r="B51" s="102"/>
      <c r="C51" s="25"/>
      <c r="D51" s="25"/>
      <c r="E51" s="27"/>
      <c r="F51" s="31"/>
      <c r="G51" s="144" t="s">
        <v>37</v>
      </c>
      <c r="H51" s="119" t="s">
        <v>38</v>
      </c>
      <c r="I51" s="120" t="s">
        <v>39</v>
      </c>
      <c r="J51" s="144" t="s">
        <v>37</v>
      </c>
      <c r="K51" s="119" t="s">
        <v>38</v>
      </c>
      <c r="L51" s="120" t="s">
        <v>39</v>
      </c>
      <c r="M51" s="146" t="s">
        <v>44</v>
      </c>
      <c r="N51" s="147" t="s">
        <v>45</v>
      </c>
      <c r="O51" s="148" t="s">
        <v>46</v>
      </c>
      <c r="P51" s="95"/>
    </row>
    <row r="52" spans="2:16" ht="21.75" customHeight="1" thickBot="1" x14ac:dyDescent="0.25">
      <c r="B52" s="102"/>
      <c r="C52" s="421" t="s">
        <v>40</v>
      </c>
      <c r="D52" s="422"/>
      <c r="E52" s="25"/>
      <c r="F52" s="128" t="s">
        <v>41</v>
      </c>
      <c r="G52" s="138"/>
      <c r="H52" s="139"/>
      <c r="I52" s="140">
        <f>+'2012 Existing Rates'!$C$6</f>
        <v>11.716666666666667</v>
      </c>
      <c r="J52" s="138"/>
      <c r="K52" s="139"/>
      <c r="L52" s="143">
        <f>'Rate Schedule '!$E$11</f>
        <v>12.63</v>
      </c>
      <c r="M52" s="152">
        <f t="shared" ref="M52:M57" si="6">+L52-I52</f>
        <v>0.913333333333334</v>
      </c>
      <c r="N52" s="153">
        <f>+M52/I52</f>
        <v>7.7951635846372741E-2</v>
      </c>
      <c r="O52" s="154" t="e">
        <f>L52/L65</f>
        <v>#REF!</v>
      </c>
      <c r="P52" s="95"/>
    </row>
    <row r="53" spans="2:16" ht="21.75" customHeight="1" thickBot="1" x14ac:dyDescent="0.25">
      <c r="B53" s="102"/>
      <c r="C53" s="98">
        <v>500</v>
      </c>
      <c r="D53" s="99" t="s">
        <v>12</v>
      </c>
      <c r="E53" s="25"/>
      <c r="F53" s="129" t="s">
        <v>42</v>
      </c>
      <c r="G53" s="132">
        <f>+C53</f>
        <v>500</v>
      </c>
      <c r="H53" s="126" t="e">
        <f>'2012 Existing Rates'!#REF!</f>
        <v>#REF!</v>
      </c>
      <c r="I53" s="141" t="e">
        <f>+G53*H53</f>
        <v>#REF!</v>
      </c>
      <c r="J53" s="132">
        <f>+C53</f>
        <v>500</v>
      </c>
      <c r="K53" s="125">
        <f>'Rate Schedule '!$E$12</f>
        <v>1.2200000000000001E-2</v>
      </c>
      <c r="L53" s="145">
        <f>+J53*K53</f>
        <v>6.1000000000000005</v>
      </c>
      <c r="M53" s="155" t="e">
        <f t="shared" si="6"/>
        <v>#REF!</v>
      </c>
      <c r="N53" s="153" t="e">
        <f>+M53/I53</f>
        <v>#REF!</v>
      </c>
      <c r="O53" s="156" t="e">
        <f>L53/L65</f>
        <v>#REF!</v>
      </c>
      <c r="P53" s="95"/>
    </row>
    <row r="54" spans="2:16" ht="21.75" customHeight="1" thickBot="1" x14ac:dyDescent="0.25">
      <c r="B54" s="102"/>
      <c r="C54" s="231"/>
      <c r="D54" s="232"/>
      <c r="E54" s="25"/>
      <c r="F54" s="129" t="s">
        <v>115</v>
      </c>
      <c r="G54" s="132">
        <f>G53</f>
        <v>500</v>
      </c>
      <c r="H54" s="126" t="e">
        <f>'2012 Existing Rates'!#REF!</f>
        <v>#REF!</v>
      </c>
      <c r="I54" s="141" t="e">
        <f>+G54*H54</f>
        <v>#REF!</v>
      </c>
      <c r="J54" s="132">
        <f>J53</f>
        <v>500</v>
      </c>
      <c r="K54" s="125" t="e">
        <f>'Rate Schedule '!#REF!</f>
        <v>#REF!</v>
      </c>
      <c r="L54" s="145" t="e">
        <f>+J54*K54</f>
        <v>#REF!</v>
      </c>
      <c r="M54" s="155" t="e">
        <f t="shared" si="6"/>
        <v>#REF!</v>
      </c>
      <c r="N54" s="153" t="e">
        <f>+M54/I54</f>
        <v>#REF!</v>
      </c>
      <c r="O54" s="156" t="e">
        <f>L54/L65</f>
        <v>#REF!</v>
      </c>
      <c r="P54" s="95"/>
    </row>
    <row r="55" spans="2:16" ht="21.75" customHeight="1" thickBot="1" x14ac:dyDescent="0.25">
      <c r="B55" s="102"/>
      <c r="C55" s="54"/>
      <c r="D55" s="55"/>
      <c r="E55" s="25"/>
      <c r="F55" s="129" t="s">
        <v>79</v>
      </c>
      <c r="G55" s="151"/>
      <c r="H55" s="150"/>
      <c r="I55" s="141" t="e">
        <f>'2012 Existing Rates'!#REF!</f>
        <v>#REF!</v>
      </c>
      <c r="J55" s="151"/>
      <c r="K55" s="150"/>
      <c r="L55" s="145" t="e">
        <f>'Rate Schedule '!#REF!</f>
        <v>#REF!</v>
      </c>
      <c r="M55" s="155" t="e">
        <f t="shared" si="6"/>
        <v>#REF!</v>
      </c>
      <c r="N55" s="153" t="e">
        <f>+M55/I55</f>
        <v>#REF!</v>
      </c>
      <c r="O55" s="156" t="e">
        <f>L55/L65</f>
        <v>#REF!</v>
      </c>
      <c r="P55" s="95"/>
    </row>
    <row r="56" spans="2:16" ht="21.75" customHeight="1" thickBot="1" x14ac:dyDescent="0.25">
      <c r="B56" s="102"/>
      <c r="C56" s="54"/>
      <c r="D56" s="55"/>
      <c r="E56" s="25"/>
      <c r="F56" s="129" t="s">
        <v>78</v>
      </c>
      <c r="G56" s="132">
        <f>C53</f>
        <v>500</v>
      </c>
      <c r="H56" s="126"/>
      <c r="I56" s="137">
        <f>+G56*H56</f>
        <v>0</v>
      </c>
      <c r="J56" s="132">
        <f>C53</f>
        <v>500</v>
      </c>
      <c r="K56" s="125" t="e">
        <f>'Rate Schedule '!#REF!</f>
        <v>#REF!</v>
      </c>
      <c r="L56" s="145" t="e">
        <f>J56*K56</f>
        <v>#REF!</v>
      </c>
      <c r="M56" s="155" t="e">
        <f t="shared" si="6"/>
        <v>#REF!</v>
      </c>
      <c r="N56" s="153">
        <v>0</v>
      </c>
      <c r="O56" s="156" t="e">
        <f>L56/L65</f>
        <v>#REF!</v>
      </c>
      <c r="P56" s="95"/>
    </row>
    <row r="57" spans="2:16" ht="21.75" customHeight="1" thickBot="1" x14ac:dyDescent="0.25">
      <c r="B57" s="102"/>
      <c r="C57" s="25"/>
      <c r="D57" s="25"/>
      <c r="E57" s="25"/>
      <c r="F57" s="130" t="s">
        <v>114</v>
      </c>
      <c r="G57" s="157">
        <f>+C53</f>
        <v>500</v>
      </c>
      <c r="H57" s="158" t="e">
        <f>+'2012 Existing Rates'!#REF!</f>
        <v>#REF!</v>
      </c>
      <c r="I57" s="159" t="e">
        <f>+G57*H57</f>
        <v>#REF!</v>
      </c>
      <c r="J57" s="157">
        <f>+C53</f>
        <v>500</v>
      </c>
      <c r="K57" s="158" t="e">
        <f>'Rate Schedule '!#REF!</f>
        <v>#REF!</v>
      </c>
      <c r="L57" s="159" t="e">
        <f>+J57*K57</f>
        <v>#REF!</v>
      </c>
      <c r="M57" s="155" t="e">
        <f t="shared" si="6"/>
        <v>#REF!</v>
      </c>
      <c r="N57" s="153" t="e">
        <f t="shared" ref="N57:N65" si="7">+M57/I57</f>
        <v>#REF!</v>
      </c>
      <c r="O57" s="156" t="e">
        <f>L57/L65</f>
        <v>#REF!</v>
      </c>
      <c r="P57" s="95"/>
    </row>
    <row r="58" spans="2:16" ht="21.75" customHeight="1" thickBot="1" x14ac:dyDescent="0.25">
      <c r="B58" s="102"/>
      <c r="C58" s="25"/>
      <c r="D58" s="25"/>
      <c r="E58" s="25"/>
      <c r="F58" s="279" t="s">
        <v>116</v>
      </c>
      <c r="G58" s="417"/>
      <c r="H58" s="418"/>
      <c r="I58" s="280" t="e">
        <f>SUM(I52:I57)</f>
        <v>#REF!</v>
      </c>
      <c r="J58" s="417"/>
      <c r="K58" s="418"/>
      <c r="L58" s="280" t="e">
        <f>SUM(L52:L57)</f>
        <v>#REF!</v>
      </c>
      <c r="M58" s="283" t="e">
        <f t="shared" ref="M58:M64" si="8">+L58-I58</f>
        <v>#REF!</v>
      </c>
      <c r="N58" s="284" t="e">
        <f t="shared" si="7"/>
        <v>#REF!</v>
      </c>
      <c r="O58" s="285" t="e">
        <f>L58/L65</f>
        <v>#REF!</v>
      </c>
      <c r="P58" s="95"/>
    </row>
    <row r="59" spans="2:16" ht="21.75" customHeight="1" thickBot="1" x14ac:dyDescent="0.25">
      <c r="B59" s="102"/>
      <c r="C59" s="25"/>
      <c r="D59" s="25"/>
      <c r="E59" s="25"/>
      <c r="F59" s="129" t="s">
        <v>117</v>
      </c>
      <c r="G59" s="233" t="e">
        <f>C53*#REF!</f>
        <v>#REF!</v>
      </c>
      <c r="H59" s="234" t="e">
        <f>#REF!</f>
        <v>#REF!</v>
      </c>
      <c r="I59" s="141" t="e">
        <f>+G59*H59</f>
        <v>#REF!</v>
      </c>
      <c r="J59" s="233" t="e">
        <f>'BILL IMPACTS'!C53*#REF!</f>
        <v>#REF!</v>
      </c>
      <c r="K59" s="234" t="e">
        <f>#REF!</f>
        <v>#REF!</v>
      </c>
      <c r="L59" s="141" t="e">
        <f>+J59*K59</f>
        <v>#REF!</v>
      </c>
      <c r="M59" s="235" t="e">
        <f t="shared" si="8"/>
        <v>#REF!</v>
      </c>
      <c r="N59" s="153" t="e">
        <f t="shared" si="7"/>
        <v>#REF!</v>
      </c>
      <c r="O59" s="154" t="e">
        <f>L59/L65</f>
        <v>#REF!</v>
      </c>
      <c r="P59" s="95"/>
    </row>
    <row r="60" spans="2:16" ht="21.75" customHeight="1" thickBot="1" x14ac:dyDescent="0.25">
      <c r="B60" s="102"/>
      <c r="C60" s="25"/>
      <c r="D60" s="25"/>
      <c r="E60" s="25"/>
      <c r="F60" s="279" t="s">
        <v>118</v>
      </c>
      <c r="G60" s="417"/>
      <c r="H60" s="418"/>
      <c r="I60" s="280" t="e">
        <f>I58+I59</f>
        <v>#REF!</v>
      </c>
      <c r="J60" s="417"/>
      <c r="K60" s="418"/>
      <c r="L60" s="280" t="e">
        <f>L58+L59</f>
        <v>#REF!</v>
      </c>
      <c r="M60" s="283" t="e">
        <f t="shared" si="8"/>
        <v>#REF!</v>
      </c>
      <c r="N60" s="284" t="e">
        <f t="shared" si="7"/>
        <v>#REF!</v>
      </c>
      <c r="O60" s="286" t="e">
        <f>L60/L65</f>
        <v>#REF!</v>
      </c>
      <c r="P60" s="95"/>
    </row>
    <row r="61" spans="2:16" ht="21.75" customHeight="1" thickBot="1" x14ac:dyDescent="0.25">
      <c r="B61" s="102"/>
      <c r="C61" s="25"/>
      <c r="D61" s="25"/>
      <c r="E61" s="25"/>
      <c r="F61" s="131" t="s">
        <v>47</v>
      </c>
      <c r="G61" s="133" t="e">
        <f>+#REF!*C53</f>
        <v>#REF!</v>
      </c>
      <c r="H61" s="134" t="e">
        <f>#REF!+#REF!</f>
        <v>#REF!</v>
      </c>
      <c r="I61" s="135" t="e">
        <f>+G61*H61</f>
        <v>#REF!</v>
      </c>
      <c r="J61" s="133" t="e">
        <f>J59</f>
        <v>#REF!</v>
      </c>
      <c r="K61" s="134" t="e">
        <f>#REF!+#REF!</f>
        <v>#REF!</v>
      </c>
      <c r="L61" s="162" t="e">
        <f>+J61*K61</f>
        <v>#REF!</v>
      </c>
      <c r="M61" s="273" t="e">
        <f t="shared" si="8"/>
        <v>#REF!</v>
      </c>
      <c r="N61" s="153" t="e">
        <f t="shared" si="7"/>
        <v>#REF!</v>
      </c>
      <c r="O61" s="192" t="e">
        <f>L61/L65</f>
        <v>#REF!</v>
      </c>
      <c r="P61" s="95"/>
    </row>
    <row r="62" spans="2:16" ht="21.75" customHeight="1" thickBot="1" x14ac:dyDescent="0.25">
      <c r="B62" s="102"/>
      <c r="C62" s="25"/>
      <c r="D62" s="25"/>
      <c r="E62" s="25"/>
      <c r="F62" s="129" t="s">
        <v>48</v>
      </c>
      <c r="G62" s="142" t="e">
        <f>+#REF!*C53</f>
        <v>#REF!</v>
      </c>
      <c r="H62" s="136" t="e">
        <f>#REF!</f>
        <v>#REF!</v>
      </c>
      <c r="I62" s="137" t="e">
        <f>+G62*H62</f>
        <v>#REF!</v>
      </c>
      <c r="J62" s="142" t="e">
        <f>J61</f>
        <v>#REF!</v>
      </c>
      <c r="K62" s="136" t="e">
        <f>#REF!</f>
        <v>#REF!</v>
      </c>
      <c r="L62" s="159" t="e">
        <f>+J62*K62</f>
        <v>#REF!</v>
      </c>
      <c r="M62" s="274" t="e">
        <f t="shared" si="8"/>
        <v>#REF!</v>
      </c>
      <c r="N62" s="153" t="e">
        <f t="shared" si="7"/>
        <v>#REF!</v>
      </c>
      <c r="O62" s="166" t="e">
        <f>L62/L65</f>
        <v>#REF!</v>
      </c>
      <c r="P62" s="95"/>
    </row>
    <row r="63" spans="2:16" ht="21.75" customHeight="1" thickBot="1" x14ac:dyDescent="0.25">
      <c r="B63" s="102"/>
      <c r="C63" s="25"/>
      <c r="D63" s="25"/>
      <c r="E63" s="25"/>
      <c r="F63" s="279" t="s">
        <v>97</v>
      </c>
      <c r="G63" s="417"/>
      <c r="H63" s="418"/>
      <c r="I63" s="280" t="e">
        <f>SUM(I60:I62)</f>
        <v>#REF!</v>
      </c>
      <c r="J63" s="417"/>
      <c r="K63" s="418"/>
      <c r="L63" s="280" t="e">
        <f>SUM(L60:L62)</f>
        <v>#REF!</v>
      </c>
      <c r="M63" s="280" t="e">
        <f t="shared" si="8"/>
        <v>#REF!</v>
      </c>
      <c r="N63" s="284" t="e">
        <f t="shared" si="7"/>
        <v>#REF!</v>
      </c>
      <c r="O63" s="286" t="e">
        <f>L63/L65</f>
        <v>#REF!</v>
      </c>
      <c r="P63" s="194"/>
    </row>
    <row r="64" spans="2:16" ht="21.75" customHeight="1" thickBot="1" x14ac:dyDescent="0.25">
      <c r="B64" s="102"/>
      <c r="C64" s="25"/>
      <c r="D64" s="25"/>
      <c r="E64" s="25"/>
      <c r="F64" s="188" t="s">
        <v>170</v>
      </c>
      <c r="G64" s="189"/>
      <c r="H64" s="193">
        <v>0.13</v>
      </c>
      <c r="I64" s="190" t="e">
        <f>I63*H64</f>
        <v>#REF!</v>
      </c>
      <c r="J64" s="189"/>
      <c r="K64" s="193">
        <v>0.13</v>
      </c>
      <c r="L64" s="191" t="e">
        <f>L63*K64</f>
        <v>#REF!</v>
      </c>
      <c r="M64" s="160" t="e">
        <f t="shared" si="8"/>
        <v>#REF!</v>
      </c>
      <c r="N64" s="164" t="e">
        <f t="shared" si="7"/>
        <v>#REF!</v>
      </c>
      <c r="O64" s="166" t="e">
        <f>L64/L65</f>
        <v>#REF!</v>
      </c>
      <c r="P64" s="95"/>
    </row>
    <row r="65" spans="2:16" s="240" customFormat="1" ht="21.75" customHeight="1" thickBot="1" x14ac:dyDescent="0.25">
      <c r="B65" s="236"/>
      <c r="C65" s="237"/>
      <c r="D65" s="237"/>
      <c r="E65" s="238"/>
      <c r="F65" s="281" t="s">
        <v>49</v>
      </c>
      <c r="G65" s="428"/>
      <c r="H65" s="429"/>
      <c r="I65" s="282" t="e">
        <f>I63+I64</f>
        <v>#REF!</v>
      </c>
      <c r="J65" s="428"/>
      <c r="K65" s="429"/>
      <c r="L65" s="282" t="e">
        <f>L63+L64</f>
        <v>#REF!</v>
      </c>
      <c r="M65" s="282" t="e">
        <f>M63+M64</f>
        <v>#REF!</v>
      </c>
      <c r="N65" s="287" t="e">
        <f t="shared" si="7"/>
        <v>#REF!</v>
      </c>
      <c r="O65" s="288" t="e">
        <f>O63+O64</f>
        <v>#REF!</v>
      </c>
      <c r="P65" s="239"/>
    </row>
    <row r="66" spans="2:16" ht="9.75" customHeight="1" thickBot="1" x14ac:dyDescent="0.4">
      <c r="B66" s="96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1"/>
      <c r="N66" s="431"/>
      <c r="O66" s="431"/>
      <c r="P66" s="97"/>
    </row>
    <row r="67" spans="2:16" ht="18" customHeight="1" thickBot="1" x14ac:dyDescent="0.25"/>
    <row r="68" spans="2:16" ht="6.95" customHeight="1" thickBot="1" x14ac:dyDescent="0.4">
      <c r="B68" s="104"/>
      <c r="C68" s="420"/>
      <c r="D68" s="420"/>
      <c r="E68" s="420"/>
      <c r="F68" s="420"/>
      <c r="G68" s="420"/>
      <c r="H68" s="420"/>
      <c r="I68" s="420"/>
      <c r="J68" s="420"/>
      <c r="K68" s="420"/>
      <c r="L68" s="420"/>
      <c r="M68" s="420"/>
      <c r="N68" s="420"/>
      <c r="O68" s="420"/>
      <c r="P68" s="94"/>
    </row>
    <row r="69" spans="2:16" ht="21.75" customHeight="1" x14ac:dyDescent="0.35">
      <c r="B69" s="104"/>
      <c r="C69" s="430" t="s">
        <v>35</v>
      </c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94"/>
    </row>
    <row r="70" spans="2:16" ht="21.75" customHeight="1" thickBot="1" x14ac:dyDescent="0.3">
      <c r="B70" s="102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95"/>
    </row>
    <row r="71" spans="2:16" ht="21.75" customHeight="1" thickBot="1" x14ac:dyDescent="0.25">
      <c r="B71" s="102"/>
      <c r="C71" s="103"/>
      <c r="D71" s="103"/>
      <c r="E71" s="25"/>
      <c r="F71" s="30"/>
      <c r="G71" s="425" t="str">
        <f>$G$10</f>
        <v>2010 BILL</v>
      </c>
      <c r="H71" s="426"/>
      <c r="I71" s="427"/>
      <c r="J71" s="425" t="str">
        <f>$J$10</f>
        <v>2011 BILL</v>
      </c>
      <c r="K71" s="426"/>
      <c r="L71" s="427"/>
      <c r="M71" s="425" t="s">
        <v>43</v>
      </c>
      <c r="N71" s="426"/>
      <c r="O71" s="427"/>
      <c r="P71" s="95"/>
    </row>
    <row r="72" spans="2:16" ht="26.25" thickBot="1" x14ac:dyDescent="0.25">
      <c r="B72" s="102"/>
      <c r="C72" s="25"/>
      <c r="D72" s="25"/>
      <c r="E72" s="27"/>
      <c r="F72" s="31"/>
      <c r="G72" s="144" t="s">
        <v>37</v>
      </c>
      <c r="H72" s="119" t="s">
        <v>38</v>
      </c>
      <c r="I72" s="120" t="s">
        <v>39</v>
      </c>
      <c r="J72" s="144" t="s">
        <v>37</v>
      </c>
      <c r="K72" s="119" t="s">
        <v>38</v>
      </c>
      <c r="L72" s="120" t="s">
        <v>39</v>
      </c>
      <c r="M72" s="146" t="s">
        <v>50</v>
      </c>
      <c r="N72" s="147" t="s">
        <v>51</v>
      </c>
      <c r="O72" s="148" t="s">
        <v>46</v>
      </c>
      <c r="P72" s="95"/>
    </row>
    <row r="73" spans="2:16" ht="21.75" customHeight="1" thickBot="1" x14ac:dyDescent="0.25">
      <c r="B73" s="102"/>
      <c r="C73" s="421" t="s">
        <v>40</v>
      </c>
      <c r="D73" s="422"/>
      <c r="E73" s="25"/>
      <c r="F73" s="128" t="s">
        <v>41</v>
      </c>
      <c r="G73" s="138"/>
      <c r="H73" s="139"/>
      <c r="I73" s="140">
        <f>+'2012 Existing Rates'!$C$6</f>
        <v>11.716666666666667</v>
      </c>
      <c r="J73" s="138"/>
      <c r="K73" s="139"/>
      <c r="L73" s="143">
        <f>'Rate Schedule '!$E$11</f>
        <v>12.63</v>
      </c>
      <c r="M73" s="152">
        <f t="shared" ref="M73:M78" si="9">+L73-I73</f>
        <v>0.913333333333334</v>
      </c>
      <c r="N73" s="153">
        <f>+M73/I73</f>
        <v>7.7951635846372741E-2</v>
      </c>
      <c r="O73" s="154" t="e">
        <f>L73/L86</f>
        <v>#REF!</v>
      </c>
      <c r="P73" s="95"/>
    </row>
    <row r="74" spans="2:16" ht="21.75" customHeight="1" thickBot="1" x14ac:dyDescent="0.25">
      <c r="B74" s="102"/>
      <c r="C74" s="98">
        <v>800</v>
      </c>
      <c r="D74" s="99" t="s">
        <v>12</v>
      </c>
      <c r="E74" s="25"/>
      <c r="F74" s="129" t="s">
        <v>42</v>
      </c>
      <c r="G74" s="132">
        <f>+C74</f>
        <v>800</v>
      </c>
      <c r="H74" s="126" t="e">
        <f>'2012 Existing Rates'!#REF!</f>
        <v>#REF!</v>
      </c>
      <c r="I74" s="141" t="e">
        <f>+G74*H74</f>
        <v>#REF!</v>
      </c>
      <c r="J74" s="132">
        <f>+C74</f>
        <v>800</v>
      </c>
      <c r="K74" s="125">
        <f>'Rate Schedule '!$E$12</f>
        <v>1.2200000000000001E-2</v>
      </c>
      <c r="L74" s="145">
        <f>+J74*K74</f>
        <v>9.76</v>
      </c>
      <c r="M74" s="155" t="e">
        <f t="shared" si="9"/>
        <v>#REF!</v>
      </c>
      <c r="N74" s="153" t="e">
        <f>+M74/I74</f>
        <v>#REF!</v>
      </c>
      <c r="O74" s="156" t="e">
        <f>L74/L86</f>
        <v>#REF!</v>
      </c>
      <c r="P74" s="95"/>
    </row>
    <row r="75" spans="2:16" ht="21.75" customHeight="1" thickBot="1" x14ac:dyDescent="0.25">
      <c r="B75" s="102"/>
      <c r="C75" s="231"/>
      <c r="D75" s="232"/>
      <c r="E75" s="25"/>
      <c r="F75" s="129" t="s">
        <v>115</v>
      </c>
      <c r="G75" s="132">
        <f>G74</f>
        <v>800</v>
      </c>
      <c r="H75" s="126" t="e">
        <f>'2012 Existing Rates'!#REF!</f>
        <v>#REF!</v>
      </c>
      <c r="I75" s="141" t="e">
        <f>+G75*H75</f>
        <v>#REF!</v>
      </c>
      <c r="J75" s="132">
        <f>J74</f>
        <v>800</v>
      </c>
      <c r="K75" s="125" t="e">
        <f>'Rate Schedule '!#REF!</f>
        <v>#REF!</v>
      </c>
      <c r="L75" s="145" t="e">
        <f>+J75*K75</f>
        <v>#REF!</v>
      </c>
      <c r="M75" s="155" t="e">
        <f t="shared" si="9"/>
        <v>#REF!</v>
      </c>
      <c r="N75" s="153" t="e">
        <f>+M75/I75</f>
        <v>#REF!</v>
      </c>
      <c r="O75" s="156" t="e">
        <f>L75/L86</f>
        <v>#REF!</v>
      </c>
      <c r="P75" s="95"/>
    </row>
    <row r="76" spans="2:16" ht="21.75" customHeight="1" thickBot="1" x14ac:dyDescent="0.25">
      <c r="B76" s="102"/>
      <c r="C76" s="54"/>
      <c r="D76" s="55"/>
      <c r="E76" s="25"/>
      <c r="F76" s="129" t="s">
        <v>79</v>
      </c>
      <c r="G76" s="151"/>
      <c r="H76" s="150"/>
      <c r="I76" s="141" t="e">
        <f>'2012 Existing Rates'!#REF!</f>
        <v>#REF!</v>
      </c>
      <c r="J76" s="151"/>
      <c r="K76" s="150"/>
      <c r="L76" s="145" t="e">
        <f>'Rate Schedule '!#REF!</f>
        <v>#REF!</v>
      </c>
      <c r="M76" s="155" t="e">
        <f t="shared" si="9"/>
        <v>#REF!</v>
      </c>
      <c r="N76" s="153" t="e">
        <f>+M76/I76</f>
        <v>#REF!</v>
      </c>
      <c r="O76" s="156" t="e">
        <f>L76/L86</f>
        <v>#REF!</v>
      </c>
      <c r="P76" s="95"/>
    </row>
    <row r="77" spans="2:16" ht="21.75" customHeight="1" thickBot="1" x14ac:dyDescent="0.25">
      <c r="B77" s="102"/>
      <c r="C77" s="54"/>
      <c r="D77" s="55"/>
      <c r="E77" s="25"/>
      <c r="F77" s="129" t="s">
        <v>78</v>
      </c>
      <c r="G77" s="132">
        <f>C74</f>
        <v>800</v>
      </c>
      <c r="H77" s="126"/>
      <c r="I77" s="137">
        <f>+G77*H77</f>
        <v>0</v>
      </c>
      <c r="J77" s="132">
        <f>C74</f>
        <v>800</v>
      </c>
      <c r="K77" s="125" t="e">
        <f>'Rate Schedule '!#REF!</f>
        <v>#REF!</v>
      </c>
      <c r="L77" s="145" t="e">
        <f>J77*K77</f>
        <v>#REF!</v>
      </c>
      <c r="M77" s="155" t="e">
        <f t="shared" si="9"/>
        <v>#REF!</v>
      </c>
      <c r="N77" s="153">
        <v>0</v>
      </c>
      <c r="O77" s="156" t="e">
        <f>L77/L86</f>
        <v>#REF!</v>
      </c>
      <c r="P77" s="95"/>
    </row>
    <row r="78" spans="2:16" ht="21.75" customHeight="1" thickBot="1" x14ac:dyDescent="0.25">
      <c r="B78" s="102"/>
      <c r="C78" s="25"/>
      <c r="D78" s="25"/>
      <c r="E78" s="25"/>
      <c r="F78" s="130" t="s">
        <v>114</v>
      </c>
      <c r="G78" s="157">
        <f>+C74</f>
        <v>800</v>
      </c>
      <c r="H78" s="158" t="e">
        <f>+'2012 Existing Rates'!#REF!</f>
        <v>#REF!</v>
      </c>
      <c r="I78" s="159" t="e">
        <f>+G78*H78</f>
        <v>#REF!</v>
      </c>
      <c r="J78" s="157">
        <f>+C74</f>
        <v>800</v>
      </c>
      <c r="K78" s="158" t="e">
        <f>'Rate Schedule '!#REF!</f>
        <v>#REF!</v>
      </c>
      <c r="L78" s="159" t="e">
        <f>+J78*K78</f>
        <v>#REF!</v>
      </c>
      <c r="M78" s="155" t="e">
        <f t="shared" si="9"/>
        <v>#REF!</v>
      </c>
      <c r="N78" s="153" t="e">
        <f t="shared" ref="N78:N86" si="10">+M78/I78</f>
        <v>#REF!</v>
      </c>
      <c r="O78" s="156" t="e">
        <f>L78/L86</f>
        <v>#REF!</v>
      </c>
      <c r="P78" s="95"/>
    </row>
    <row r="79" spans="2:16" ht="21.75" customHeight="1" thickBot="1" x14ac:dyDescent="0.25">
      <c r="B79" s="102"/>
      <c r="C79" s="25"/>
      <c r="D79" s="25"/>
      <c r="E79" s="25"/>
      <c r="F79" s="279" t="s">
        <v>116</v>
      </c>
      <c r="G79" s="417"/>
      <c r="H79" s="418"/>
      <c r="I79" s="280" t="e">
        <f>SUM(I73:I78)</f>
        <v>#REF!</v>
      </c>
      <c r="J79" s="417"/>
      <c r="K79" s="418"/>
      <c r="L79" s="280" t="e">
        <f>SUM(L73:L78)</f>
        <v>#REF!</v>
      </c>
      <c r="M79" s="283" t="e">
        <f t="shared" ref="M79:M85" si="11">+L79-I79</f>
        <v>#REF!</v>
      </c>
      <c r="N79" s="284" t="e">
        <f t="shared" si="10"/>
        <v>#REF!</v>
      </c>
      <c r="O79" s="285" t="e">
        <f>L79/L86</f>
        <v>#REF!</v>
      </c>
      <c r="P79" s="95"/>
    </row>
    <row r="80" spans="2:16" ht="21.75" customHeight="1" thickBot="1" x14ac:dyDescent="0.25">
      <c r="B80" s="102"/>
      <c r="C80" s="25"/>
      <c r="D80" s="25"/>
      <c r="E80" s="25"/>
      <c r="F80" s="129" t="s">
        <v>117</v>
      </c>
      <c r="G80" s="233" t="e">
        <f>C74*#REF!</f>
        <v>#REF!</v>
      </c>
      <c r="H80" s="234" t="e">
        <f>#REF!</f>
        <v>#REF!</v>
      </c>
      <c r="I80" s="141" t="e">
        <f>+G80*H80</f>
        <v>#REF!</v>
      </c>
      <c r="J80" s="233" t="e">
        <f>'BILL IMPACTS'!C74*#REF!</f>
        <v>#REF!</v>
      </c>
      <c r="K80" s="234" t="e">
        <f>#REF!</f>
        <v>#REF!</v>
      </c>
      <c r="L80" s="141" t="e">
        <f>+J80*K80</f>
        <v>#REF!</v>
      </c>
      <c r="M80" s="235" t="e">
        <f t="shared" si="11"/>
        <v>#REF!</v>
      </c>
      <c r="N80" s="153" t="e">
        <f t="shared" si="10"/>
        <v>#REF!</v>
      </c>
      <c r="O80" s="154" t="e">
        <f>L80/L86</f>
        <v>#REF!</v>
      </c>
      <c r="P80" s="95"/>
    </row>
    <row r="81" spans="2:16" ht="21.75" customHeight="1" thickBot="1" x14ac:dyDescent="0.25">
      <c r="B81" s="102"/>
      <c r="C81" s="25"/>
      <c r="D81" s="25"/>
      <c r="E81" s="25"/>
      <c r="F81" s="279" t="s">
        <v>118</v>
      </c>
      <c r="G81" s="417"/>
      <c r="H81" s="418"/>
      <c r="I81" s="280" t="e">
        <f>I79+I80</f>
        <v>#REF!</v>
      </c>
      <c r="J81" s="417"/>
      <c r="K81" s="418"/>
      <c r="L81" s="280" t="e">
        <f>L79+L80</f>
        <v>#REF!</v>
      </c>
      <c r="M81" s="283" t="e">
        <f t="shared" si="11"/>
        <v>#REF!</v>
      </c>
      <c r="N81" s="284" t="e">
        <f t="shared" si="10"/>
        <v>#REF!</v>
      </c>
      <c r="O81" s="286" t="e">
        <f>L81/L86</f>
        <v>#REF!</v>
      </c>
      <c r="P81" s="95"/>
    </row>
    <row r="82" spans="2:16" ht="21.75" customHeight="1" thickBot="1" x14ac:dyDescent="0.25">
      <c r="B82" s="102"/>
      <c r="C82" s="25"/>
      <c r="D82" s="25"/>
      <c r="E82" s="25"/>
      <c r="F82" s="131" t="s">
        <v>47</v>
      </c>
      <c r="G82" s="133" t="e">
        <f>+#REF!*C74</f>
        <v>#REF!</v>
      </c>
      <c r="H82" s="134" t="e">
        <f>#REF!+#REF!</f>
        <v>#REF!</v>
      </c>
      <c r="I82" s="135" t="e">
        <f>+G82*H82</f>
        <v>#REF!</v>
      </c>
      <c r="J82" s="133" t="e">
        <f>J80</f>
        <v>#REF!</v>
      </c>
      <c r="K82" s="134" t="e">
        <f>#REF!+#REF!</f>
        <v>#REF!</v>
      </c>
      <c r="L82" s="162" t="e">
        <f>+J82*K82</f>
        <v>#REF!</v>
      </c>
      <c r="M82" s="273" t="e">
        <f t="shared" si="11"/>
        <v>#REF!</v>
      </c>
      <c r="N82" s="153" t="e">
        <f t="shared" si="10"/>
        <v>#REF!</v>
      </c>
      <c r="O82" s="192" t="e">
        <f>L82/L86</f>
        <v>#REF!</v>
      </c>
      <c r="P82" s="95"/>
    </row>
    <row r="83" spans="2:16" ht="21.75" customHeight="1" thickBot="1" x14ac:dyDescent="0.25">
      <c r="B83" s="102"/>
      <c r="C83" s="25"/>
      <c r="D83" s="25"/>
      <c r="E83" s="25"/>
      <c r="F83" s="129" t="s">
        <v>48</v>
      </c>
      <c r="G83" s="142" t="e">
        <f>+#REF!*C74</f>
        <v>#REF!</v>
      </c>
      <c r="H83" s="136" t="e">
        <f>#REF!</f>
        <v>#REF!</v>
      </c>
      <c r="I83" s="137" t="e">
        <f>+G83*H83</f>
        <v>#REF!</v>
      </c>
      <c r="J83" s="142" t="e">
        <f>J82</f>
        <v>#REF!</v>
      </c>
      <c r="K83" s="136" t="e">
        <f>#REF!</f>
        <v>#REF!</v>
      </c>
      <c r="L83" s="159" t="e">
        <f>+J83*K83</f>
        <v>#REF!</v>
      </c>
      <c r="M83" s="274" t="e">
        <f t="shared" si="11"/>
        <v>#REF!</v>
      </c>
      <c r="N83" s="153" t="e">
        <f t="shared" si="10"/>
        <v>#REF!</v>
      </c>
      <c r="O83" s="166" t="e">
        <f>L83/L86</f>
        <v>#REF!</v>
      </c>
      <c r="P83" s="95"/>
    </row>
    <row r="84" spans="2:16" ht="21.75" customHeight="1" thickBot="1" x14ac:dyDescent="0.25">
      <c r="B84" s="102"/>
      <c r="C84" s="25"/>
      <c r="D84" s="25"/>
      <c r="E84" s="25"/>
      <c r="F84" s="279" t="s">
        <v>97</v>
      </c>
      <c r="G84" s="417"/>
      <c r="H84" s="418"/>
      <c r="I84" s="280" t="e">
        <f>SUM(I81:I83)</f>
        <v>#REF!</v>
      </c>
      <c r="J84" s="417"/>
      <c r="K84" s="418"/>
      <c r="L84" s="280" t="e">
        <f>SUM(L81:L83)</f>
        <v>#REF!</v>
      </c>
      <c r="M84" s="280" t="e">
        <f t="shared" si="11"/>
        <v>#REF!</v>
      </c>
      <c r="N84" s="284" t="e">
        <f t="shared" si="10"/>
        <v>#REF!</v>
      </c>
      <c r="O84" s="286" t="e">
        <f>L84/L86</f>
        <v>#REF!</v>
      </c>
      <c r="P84" s="194"/>
    </row>
    <row r="85" spans="2:16" ht="21.75" customHeight="1" thickBot="1" x14ac:dyDescent="0.25">
      <c r="B85" s="102"/>
      <c r="C85" s="25"/>
      <c r="D85" s="25"/>
      <c r="E85" s="25"/>
      <c r="F85" s="188" t="s">
        <v>170</v>
      </c>
      <c r="G85" s="189"/>
      <c r="H85" s="193">
        <v>0.13</v>
      </c>
      <c r="I85" s="190" t="e">
        <f>I84*H85</f>
        <v>#REF!</v>
      </c>
      <c r="J85" s="189"/>
      <c r="K85" s="193">
        <v>0.13</v>
      </c>
      <c r="L85" s="191" t="e">
        <f>L84*K85</f>
        <v>#REF!</v>
      </c>
      <c r="M85" s="160" t="e">
        <f t="shared" si="11"/>
        <v>#REF!</v>
      </c>
      <c r="N85" s="164" t="e">
        <f t="shared" si="10"/>
        <v>#REF!</v>
      </c>
      <c r="O85" s="166" t="e">
        <f>L85/L86</f>
        <v>#REF!</v>
      </c>
      <c r="P85" s="95"/>
    </row>
    <row r="86" spans="2:16" s="240" customFormat="1" ht="21.75" customHeight="1" thickBot="1" x14ac:dyDescent="0.25">
      <c r="B86" s="236"/>
      <c r="C86" s="237"/>
      <c r="D86" s="237"/>
      <c r="E86" s="238"/>
      <c r="F86" s="281" t="s">
        <v>49</v>
      </c>
      <c r="G86" s="428"/>
      <c r="H86" s="429"/>
      <c r="I86" s="282" t="e">
        <f>I84+I85</f>
        <v>#REF!</v>
      </c>
      <c r="J86" s="428"/>
      <c r="K86" s="429"/>
      <c r="L86" s="282" t="e">
        <f>L84+L85</f>
        <v>#REF!</v>
      </c>
      <c r="M86" s="282" t="e">
        <f>M84+M85</f>
        <v>#REF!</v>
      </c>
      <c r="N86" s="287" t="e">
        <f t="shared" si="10"/>
        <v>#REF!</v>
      </c>
      <c r="O86" s="288" t="e">
        <f>O84+O85</f>
        <v>#REF!</v>
      </c>
      <c r="P86" s="239"/>
    </row>
    <row r="87" spans="2:16" ht="18" customHeight="1" x14ac:dyDescent="0.2">
      <c r="B87" s="102"/>
      <c r="C87" s="25"/>
      <c r="D87" s="25"/>
      <c r="E87" s="29"/>
      <c r="P87" s="95"/>
    </row>
    <row r="88" spans="2:16" ht="6.95" customHeight="1" thickBot="1" x14ac:dyDescent="0.25">
      <c r="B88" s="96"/>
      <c r="C88" s="108"/>
      <c r="D88" s="108"/>
      <c r="E88" s="108"/>
      <c r="F88" s="109"/>
      <c r="G88" s="110"/>
      <c r="H88" s="111"/>
      <c r="I88" s="112"/>
      <c r="J88" s="110"/>
      <c r="K88" s="113"/>
      <c r="L88" s="112"/>
      <c r="M88" s="117"/>
      <c r="N88" s="115"/>
      <c r="O88" s="116"/>
      <c r="P88" s="97"/>
    </row>
    <row r="89" spans="2:16" ht="18" customHeight="1" thickBot="1" x14ac:dyDescent="0.25"/>
    <row r="90" spans="2:16" ht="18" customHeight="1" thickBot="1" x14ac:dyDescent="0.4">
      <c r="B90" s="104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94"/>
    </row>
    <row r="91" spans="2:16" ht="21.75" customHeight="1" x14ac:dyDescent="0.35">
      <c r="B91" s="104"/>
      <c r="C91" s="430" t="s">
        <v>35</v>
      </c>
      <c r="D91" s="430"/>
      <c r="E91" s="430"/>
      <c r="F91" s="430"/>
      <c r="G91" s="430"/>
      <c r="H91" s="430"/>
      <c r="I91" s="430"/>
      <c r="J91" s="430"/>
      <c r="K91" s="430"/>
      <c r="L91" s="430"/>
      <c r="M91" s="430"/>
      <c r="N91" s="430"/>
      <c r="O91" s="430"/>
      <c r="P91" s="94"/>
    </row>
    <row r="92" spans="2:16" ht="21.75" customHeight="1" thickBot="1" x14ac:dyDescent="0.3">
      <c r="B92" s="102"/>
      <c r="C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95"/>
    </row>
    <row r="93" spans="2:16" ht="21.75" customHeight="1" thickBot="1" x14ac:dyDescent="0.25">
      <c r="B93" s="102"/>
      <c r="C93" s="103"/>
      <c r="D93" s="103"/>
      <c r="E93" s="25"/>
      <c r="F93" s="30"/>
      <c r="G93" s="425" t="str">
        <f>$G$10</f>
        <v>2010 BILL</v>
      </c>
      <c r="H93" s="426"/>
      <c r="I93" s="427"/>
      <c r="J93" s="425" t="str">
        <f>$J$10</f>
        <v>2011 BILL</v>
      </c>
      <c r="K93" s="426"/>
      <c r="L93" s="427"/>
      <c r="M93" s="425" t="s">
        <v>43</v>
      </c>
      <c r="N93" s="426"/>
      <c r="O93" s="427"/>
      <c r="P93" s="95"/>
    </row>
    <row r="94" spans="2:16" ht="26.25" thickBot="1" x14ac:dyDescent="0.25">
      <c r="B94" s="102"/>
      <c r="C94" s="25"/>
      <c r="D94" s="25"/>
      <c r="E94" s="27"/>
      <c r="F94" s="31"/>
      <c r="G94" s="144" t="s">
        <v>37</v>
      </c>
      <c r="H94" s="119" t="s">
        <v>38</v>
      </c>
      <c r="I94" s="120" t="s">
        <v>39</v>
      </c>
      <c r="J94" s="144" t="s">
        <v>37</v>
      </c>
      <c r="K94" s="119" t="s">
        <v>38</v>
      </c>
      <c r="L94" s="120" t="s">
        <v>39</v>
      </c>
      <c r="M94" s="146" t="s">
        <v>50</v>
      </c>
      <c r="N94" s="147" t="s">
        <v>51</v>
      </c>
      <c r="O94" s="148" t="s">
        <v>46</v>
      </c>
      <c r="P94" s="95"/>
    </row>
    <row r="95" spans="2:16" ht="21.75" customHeight="1" thickBot="1" x14ac:dyDescent="0.25">
      <c r="B95" s="102"/>
      <c r="C95" s="421" t="s">
        <v>40</v>
      </c>
      <c r="D95" s="422"/>
      <c r="E95" s="25"/>
      <c r="F95" s="128" t="s">
        <v>41</v>
      </c>
      <c r="G95" s="138"/>
      <c r="H95" s="139"/>
      <c r="I95" s="140">
        <f>+'2012 Existing Rates'!$C$6</f>
        <v>11.716666666666667</v>
      </c>
      <c r="J95" s="138"/>
      <c r="K95" s="139"/>
      <c r="L95" s="143">
        <f>'Rate Schedule '!$E$11</f>
        <v>12.63</v>
      </c>
      <c r="M95" s="152">
        <f t="shared" ref="M95:M100" si="12">+L95-I95</f>
        <v>0.913333333333334</v>
      </c>
      <c r="N95" s="153">
        <f>+M95/I95</f>
        <v>7.7951635846372741E-2</v>
      </c>
      <c r="O95" s="154" t="e">
        <f>L95/L108</f>
        <v>#REF!</v>
      </c>
      <c r="P95" s="95"/>
    </row>
    <row r="96" spans="2:16" ht="21.75" customHeight="1" thickBot="1" x14ac:dyDescent="0.25">
      <c r="B96" s="102"/>
      <c r="C96" s="98">
        <v>1000</v>
      </c>
      <c r="D96" s="99" t="s">
        <v>12</v>
      </c>
      <c r="E96" s="25"/>
      <c r="F96" s="129" t="s">
        <v>42</v>
      </c>
      <c r="G96" s="132">
        <f>+C96</f>
        <v>1000</v>
      </c>
      <c r="H96" s="126" t="e">
        <f>'2012 Existing Rates'!#REF!</f>
        <v>#REF!</v>
      </c>
      <c r="I96" s="141" t="e">
        <f>+G96*H96</f>
        <v>#REF!</v>
      </c>
      <c r="J96" s="132">
        <f>+C96</f>
        <v>1000</v>
      </c>
      <c r="K96" s="125">
        <f>'Rate Schedule '!$E$12</f>
        <v>1.2200000000000001E-2</v>
      </c>
      <c r="L96" s="145">
        <f>+J96*K96</f>
        <v>12.200000000000001</v>
      </c>
      <c r="M96" s="155" t="e">
        <f t="shared" si="12"/>
        <v>#REF!</v>
      </c>
      <c r="N96" s="153" t="e">
        <f>+M96/I96</f>
        <v>#REF!</v>
      </c>
      <c r="O96" s="156" t="e">
        <f>L96/L108</f>
        <v>#REF!</v>
      </c>
      <c r="P96" s="95"/>
    </row>
    <row r="97" spans="2:16" ht="21.75" customHeight="1" thickBot="1" x14ac:dyDescent="0.25">
      <c r="B97" s="102"/>
      <c r="C97" s="231"/>
      <c r="D97" s="232"/>
      <c r="E97" s="25"/>
      <c r="F97" s="129" t="s">
        <v>115</v>
      </c>
      <c r="G97" s="132">
        <f>G96</f>
        <v>1000</v>
      </c>
      <c r="H97" s="126" t="e">
        <f>'2012 Existing Rates'!#REF!</f>
        <v>#REF!</v>
      </c>
      <c r="I97" s="141" t="e">
        <f>+G97*H97</f>
        <v>#REF!</v>
      </c>
      <c r="J97" s="132">
        <f>J96</f>
        <v>1000</v>
      </c>
      <c r="K97" s="125" t="e">
        <f>'Rate Schedule '!#REF!</f>
        <v>#REF!</v>
      </c>
      <c r="L97" s="145" t="e">
        <f>+J97*K97</f>
        <v>#REF!</v>
      </c>
      <c r="M97" s="155" t="e">
        <f t="shared" si="12"/>
        <v>#REF!</v>
      </c>
      <c r="N97" s="153" t="e">
        <f>+M97/I97</f>
        <v>#REF!</v>
      </c>
      <c r="O97" s="156" t="e">
        <f>L97/L108</f>
        <v>#REF!</v>
      </c>
      <c r="P97" s="95"/>
    </row>
    <row r="98" spans="2:16" ht="21.75" customHeight="1" thickBot="1" x14ac:dyDescent="0.25">
      <c r="B98" s="102"/>
      <c r="C98" s="54"/>
      <c r="D98" s="55"/>
      <c r="E98" s="25"/>
      <c r="F98" s="129" t="s">
        <v>79</v>
      </c>
      <c r="G98" s="151"/>
      <c r="H98" s="150"/>
      <c r="I98" s="141" t="e">
        <f>'2012 Existing Rates'!#REF!</f>
        <v>#REF!</v>
      </c>
      <c r="J98" s="151"/>
      <c r="K98" s="150"/>
      <c r="L98" s="145" t="e">
        <f>'Rate Schedule '!#REF!</f>
        <v>#REF!</v>
      </c>
      <c r="M98" s="155" t="e">
        <f t="shared" si="12"/>
        <v>#REF!</v>
      </c>
      <c r="N98" s="153" t="e">
        <f>+M98/I98</f>
        <v>#REF!</v>
      </c>
      <c r="O98" s="156" t="e">
        <f>L98/L108</f>
        <v>#REF!</v>
      </c>
      <c r="P98" s="95"/>
    </row>
    <row r="99" spans="2:16" ht="21.75" customHeight="1" thickBot="1" x14ac:dyDescent="0.25">
      <c r="B99" s="102"/>
      <c r="C99" s="54"/>
      <c r="D99" s="55"/>
      <c r="E99" s="25"/>
      <c r="F99" s="129" t="s">
        <v>78</v>
      </c>
      <c r="G99" s="132">
        <f>C96</f>
        <v>1000</v>
      </c>
      <c r="H99" s="126"/>
      <c r="I99" s="137">
        <f>+G99*H99</f>
        <v>0</v>
      </c>
      <c r="J99" s="132">
        <f>C96</f>
        <v>1000</v>
      </c>
      <c r="K99" s="125" t="e">
        <f>'Rate Schedule '!#REF!</f>
        <v>#REF!</v>
      </c>
      <c r="L99" s="145" t="e">
        <f>J99*K99</f>
        <v>#REF!</v>
      </c>
      <c r="M99" s="155" t="e">
        <f t="shared" si="12"/>
        <v>#REF!</v>
      </c>
      <c r="N99" s="153">
        <v>0</v>
      </c>
      <c r="O99" s="156" t="e">
        <f>L99/L108</f>
        <v>#REF!</v>
      </c>
      <c r="P99" s="95"/>
    </row>
    <row r="100" spans="2:16" ht="21.75" customHeight="1" thickBot="1" x14ac:dyDescent="0.25">
      <c r="B100" s="102"/>
      <c r="C100" s="25"/>
      <c r="D100" s="25"/>
      <c r="E100" s="25"/>
      <c r="F100" s="130" t="s">
        <v>114</v>
      </c>
      <c r="G100" s="157">
        <f>+C96</f>
        <v>1000</v>
      </c>
      <c r="H100" s="158" t="e">
        <f>+'2012 Existing Rates'!#REF!</f>
        <v>#REF!</v>
      </c>
      <c r="I100" s="159" t="e">
        <f>+G100*H100</f>
        <v>#REF!</v>
      </c>
      <c r="J100" s="157">
        <f>+C96</f>
        <v>1000</v>
      </c>
      <c r="K100" s="158" t="e">
        <f>'Rate Schedule '!#REF!</f>
        <v>#REF!</v>
      </c>
      <c r="L100" s="159" t="e">
        <f>+J100*K100</f>
        <v>#REF!</v>
      </c>
      <c r="M100" s="155" t="e">
        <f t="shared" si="12"/>
        <v>#REF!</v>
      </c>
      <c r="N100" s="153" t="e">
        <f t="shared" ref="N100:N108" si="13">+M100/I100</f>
        <v>#REF!</v>
      </c>
      <c r="O100" s="156" t="e">
        <f>L100/L108</f>
        <v>#REF!</v>
      </c>
      <c r="P100" s="95"/>
    </row>
    <row r="101" spans="2:16" ht="21.75" customHeight="1" thickBot="1" x14ac:dyDescent="0.25">
      <c r="B101" s="102"/>
      <c r="C101" s="25"/>
      <c r="D101" s="25"/>
      <c r="E101" s="25"/>
      <c r="F101" s="279" t="s">
        <v>116</v>
      </c>
      <c r="G101" s="417"/>
      <c r="H101" s="418"/>
      <c r="I101" s="280" t="e">
        <f>SUM(I95:I100)</f>
        <v>#REF!</v>
      </c>
      <c r="J101" s="417"/>
      <c r="K101" s="418"/>
      <c r="L101" s="280" t="e">
        <f>SUM(L95:L100)</f>
        <v>#REF!</v>
      </c>
      <c r="M101" s="283" t="e">
        <f t="shared" ref="M101:M107" si="14">+L101-I101</f>
        <v>#REF!</v>
      </c>
      <c r="N101" s="284" t="e">
        <f t="shared" si="13"/>
        <v>#REF!</v>
      </c>
      <c r="O101" s="285" t="e">
        <f>L101/L108</f>
        <v>#REF!</v>
      </c>
      <c r="P101" s="95"/>
    </row>
    <row r="102" spans="2:16" ht="21.75" customHeight="1" thickBot="1" x14ac:dyDescent="0.25">
      <c r="B102" s="102"/>
      <c r="C102" s="25"/>
      <c r="D102" s="25"/>
      <c r="E102" s="25"/>
      <c r="F102" s="129" t="s">
        <v>117</v>
      </c>
      <c r="G102" s="233" t="e">
        <f>C96*#REF!</f>
        <v>#REF!</v>
      </c>
      <c r="H102" s="234" t="e">
        <f>#REF!</f>
        <v>#REF!</v>
      </c>
      <c r="I102" s="141" t="e">
        <f>+G102*H102</f>
        <v>#REF!</v>
      </c>
      <c r="J102" s="233" t="e">
        <f>'BILL IMPACTS'!C96*#REF!</f>
        <v>#REF!</v>
      </c>
      <c r="K102" s="234" t="e">
        <f>#REF!</f>
        <v>#REF!</v>
      </c>
      <c r="L102" s="141" t="e">
        <f>+J102*K102</f>
        <v>#REF!</v>
      </c>
      <c r="M102" s="235" t="e">
        <f t="shared" si="14"/>
        <v>#REF!</v>
      </c>
      <c r="N102" s="153" t="e">
        <f t="shared" si="13"/>
        <v>#REF!</v>
      </c>
      <c r="O102" s="154" t="e">
        <f>L102/L108</f>
        <v>#REF!</v>
      </c>
      <c r="P102" s="95"/>
    </row>
    <row r="103" spans="2:16" ht="21.75" customHeight="1" thickBot="1" x14ac:dyDescent="0.25">
      <c r="B103" s="102"/>
      <c r="C103" s="25"/>
      <c r="D103" s="25"/>
      <c r="E103" s="25"/>
      <c r="F103" s="279" t="s">
        <v>118</v>
      </c>
      <c r="G103" s="417"/>
      <c r="H103" s="418"/>
      <c r="I103" s="280" t="e">
        <f>I101+I102</f>
        <v>#REF!</v>
      </c>
      <c r="J103" s="417"/>
      <c r="K103" s="418"/>
      <c r="L103" s="280" t="e">
        <f>L101+L102</f>
        <v>#REF!</v>
      </c>
      <c r="M103" s="283" t="e">
        <f t="shared" si="14"/>
        <v>#REF!</v>
      </c>
      <c r="N103" s="284" t="e">
        <f t="shared" si="13"/>
        <v>#REF!</v>
      </c>
      <c r="O103" s="286" t="e">
        <f>L103/L108</f>
        <v>#REF!</v>
      </c>
      <c r="P103" s="95"/>
    </row>
    <row r="104" spans="2:16" ht="21.75" customHeight="1" thickBot="1" x14ac:dyDescent="0.25">
      <c r="B104" s="102"/>
      <c r="C104" s="25"/>
      <c r="D104" s="25"/>
      <c r="E104" s="25"/>
      <c r="F104" s="131" t="s">
        <v>47</v>
      </c>
      <c r="G104" s="133" t="e">
        <f>+#REF!*C96</f>
        <v>#REF!</v>
      </c>
      <c r="H104" s="134" t="e">
        <f>#REF!+#REF!</f>
        <v>#REF!</v>
      </c>
      <c r="I104" s="135" t="e">
        <f>+G104*H104</f>
        <v>#REF!</v>
      </c>
      <c r="J104" s="133" t="e">
        <f>J102</f>
        <v>#REF!</v>
      </c>
      <c r="K104" s="134" t="e">
        <f>#REF!+#REF!</f>
        <v>#REF!</v>
      </c>
      <c r="L104" s="162" t="e">
        <f>+J104*K104</f>
        <v>#REF!</v>
      </c>
      <c r="M104" s="273" t="e">
        <f t="shared" si="14"/>
        <v>#REF!</v>
      </c>
      <c r="N104" s="153" t="e">
        <f t="shared" si="13"/>
        <v>#REF!</v>
      </c>
      <c r="O104" s="192" t="e">
        <f>L104/L108</f>
        <v>#REF!</v>
      </c>
      <c r="P104" s="95"/>
    </row>
    <row r="105" spans="2:16" ht="21.75" customHeight="1" thickBot="1" x14ac:dyDescent="0.25">
      <c r="B105" s="102"/>
      <c r="C105" s="25"/>
      <c r="D105" s="25"/>
      <c r="E105" s="25"/>
      <c r="F105" s="129" t="s">
        <v>48</v>
      </c>
      <c r="G105" s="142" t="e">
        <f>+#REF!*C96</f>
        <v>#REF!</v>
      </c>
      <c r="H105" s="136" t="e">
        <f>#REF!</f>
        <v>#REF!</v>
      </c>
      <c r="I105" s="137" t="e">
        <f>+G105*H105</f>
        <v>#REF!</v>
      </c>
      <c r="J105" s="142" t="e">
        <f>J104</f>
        <v>#REF!</v>
      </c>
      <c r="K105" s="136" t="e">
        <f>#REF!</f>
        <v>#REF!</v>
      </c>
      <c r="L105" s="159" t="e">
        <f>+J105*K105</f>
        <v>#REF!</v>
      </c>
      <c r="M105" s="274" t="e">
        <f t="shared" si="14"/>
        <v>#REF!</v>
      </c>
      <c r="N105" s="153" t="e">
        <f t="shared" si="13"/>
        <v>#REF!</v>
      </c>
      <c r="O105" s="166" t="e">
        <f>L105/L108</f>
        <v>#REF!</v>
      </c>
      <c r="P105" s="95"/>
    </row>
    <row r="106" spans="2:16" ht="21.75" customHeight="1" thickBot="1" x14ac:dyDescent="0.25">
      <c r="B106" s="102"/>
      <c r="C106" s="25"/>
      <c r="D106" s="25"/>
      <c r="E106" s="25"/>
      <c r="F106" s="279" t="s">
        <v>97</v>
      </c>
      <c r="G106" s="417"/>
      <c r="H106" s="418"/>
      <c r="I106" s="280" t="e">
        <f>SUM(I103:I105)</f>
        <v>#REF!</v>
      </c>
      <c r="J106" s="417"/>
      <c r="K106" s="418"/>
      <c r="L106" s="280" t="e">
        <f>SUM(L103:L105)</f>
        <v>#REF!</v>
      </c>
      <c r="M106" s="280" t="e">
        <f t="shared" si="14"/>
        <v>#REF!</v>
      </c>
      <c r="N106" s="284" t="e">
        <f t="shared" si="13"/>
        <v>#REF!</v>
      </c>
      <c r="O106" s="286" t="e">
        <f>L106/L108</f>
        <v>#REF!</v>
      </c>
      <c r="P106" s="194"/>
    </row>
    <row r="107" spans="2:16" ht="21.75" customHeight="1" thickBot="1" x14ac:dyDescent="0.25">
      <c r="B107" s="102"/>
      <c r="C107" s="25"/>
      <c r="D107" s="25"/>
      <c r="E107" s="25"/>
      <c r="F107" s="188" t="s">
        <v>170</v>
      </c>
      <c r="G107" s="189"/>
      <c r="H107" s="193">
        <v>0.13</v>
      </c>
      <c r="I107" s="190" t="e">
        <f>I106*H107</f>
        <v>#REF!</v>
      </c>
      <c r="J107" s="189"/>
      <c r="K107" s="193">
        <v>0.13</v>
      </c>
      <c r="L107" s="191" t="e">
        <f>L106*K107</f>
        <v>#REF!</v>
      </c>
      <c r="M107" s="160" t="e">
        <f t="shared" si="14"/>
        <v>#REF!</v>
      </c>
      <c r="N107" s="164" t="e">
        <f t="shared" si="13"/>
        <v>#REF!</v>
      </c>
      <c r="O107" s="166" t="e">
        <f>L107/L108</f>
        <v>#REF!</v>
      </c>
      <c r="P107" s="95"/>
    </row>
    <row r="108" spans="2:16" s="240" customFormat="1" ht="21.75" customHeight="1" thickBot="1" x14ac:dyDescent="0.25">
      <c r="B108" s="236"/>
      <c r="C108" s="237"/>
      <c r="D108" s="237"/>
      <c r="E108" s="238"/>
      <c r="F108" s="281" t="s">
        <v>49</v>
      </c>
      <c r="G108" s="428"/>
      <c r="H108" s="429"/>
      <c r="I108" s="282" t="e">
        <f>I106+I107</f>
        <v>#REF!</v>
      </c>
      <c r="J108" s="428"/>
      <c r="K108" s="429"/>
      <c r="L108" s="282" t="e">
        <f>L106+L107</f>
        <v>#REF!</v>
      </c>
      <c r="M108" s="282" t="e">
        <f>M106+M107</f>
        <v>#REF!</v>
      </c>
      <c r="N108" s="287" t="e">
        <f t="shared" si="13"/>
        <v>#REF!</v>
      </c>
      <c r="O108" s="288" t="e">
        <f>O106+O107</f>
        <v>#REF!</v>
      </c>
      <c r="P108" s="239"/>
    </row>
    <row r="109" spans="2:16" ht="18" customHeight="1" x14ac:dyDescent="0.2">
      <c r="B109" s="102"/>
      <c r="P109" s="95"/>
    </row>
    <row r="110" spans="2:16" ht="6.75" customHeight="1" thickBot="1" x14ac:dyDescent="0.25">
      <c r="B110" s="96"/>
      <c r="C110" s="108"/>
      <c r="D110" s="108"/>
      <c r="E110" s="108"/>
      <c r="F110" s="109"/>
      <c r="G110" s="110"/>
      <c r="H110" s="111"/>
      <c r="I110" s="112"/>
      <c r="J110" s="110"/>
      <c r="K110" s="113"/>
      <c r="L110" s="112"/>
      <c r="M110" s="117"/>
      <c r="N110" s="115"/>
      <c r="O110" s="116"/>
      <c r="P110" s="97"/>
    </row>
    <row r="111" spans="2:16" ht="18" customHeight="1" thickBot="1" x14ac:dyDescent="0.25"/>
    <row r="112" spans="2:16" ht="18" customHeight="1" thickBot="1" x14ac:dyDescent="0.4">
      <c r="B112" s="104"/>
      <c r="C112" s="420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0"/>
      <c r="O112" s="420"/>
      <c r="P112" s="94"/>
    </row>
    <row r="113" spans="2:16" ht="21.75" customHeight="1" x14ac:dyDescent="0.35">
      <c r="B113" s="104"/>
      <c r="C113" s="430" t="s">
        <v>35</v>
      </c>
      <c r="D113" s="430"/>
      <c r="E113" s="430"/>
      <c r="F113" s="430"/>
      <c r="G113" s="430"/>
      <c r="H113" s="430"/>
      <c r="I113" s="430"/>
      <c r="J113" s="430"/>
      <c r="K113" s="430"/>
      <c r="L113" s="430"/>
      <c r="M113" s="430"/>
      <c r="N113" s="430"/>
      <c r="O113" s="430"/>
      <c r="P113" s="94"/>
    </row>
    <row r="114" spans="2:16" ht="21.75" customHeight="1" thickBot="1" x14ac:dyDescent="0.3">
      <c r="B114" s="102"/>
      <c r="C114" s="419"/>
      <c r="D114" s="419"/>
      <c r="E114" s="419"/>
      <c r="F114" s="419"/>
      <c r="G114" s="419"/>
      <c r="H114" s="419"/>
      <c r="I114" s="419"/>
      <c r="J114" s="419"/>
      <c r="K114" s="419"/>
      <c r="L114" s="419"/>
      <c r="M114" s="419"/>
      <c r="N114" s="419"/>
      <c r="O114" s="419"/>
      <c r="P114" s="95"/>
    </row>
    <row r="115" spans="2:16" ht="21.75" customHeight="1" thickBot="1" x14ac:dyDescent="0.25">
      <c r="B115" s="102"/>
      <c r="C115" s="103"/>
      <c r="D115" s="103"/>
      <c r="E115" s="25"/>
      <c r="F115" s="30"/>
      <c r="G115" s="425" t="str">
        <f>$G$10</f>
        <v>2010 BILL</v>
      </c>
      <c r="H115" s="426"/>
      <c r="I115" s="427"/>
      <c r="J115" s="425" t="str">
        <f>$J$10</f>
        <v>2011 BILL</v>
      </c>
      <c r="K115" s="426"/>
      <c r="L115" s="427"/>
      <c r="M115" s="425" t="s">
        <v>43</v>
      </c>
      <c r="N115" s="426"/>
      <c r="O115" s="427"/>
      <c r="P115" s="95"/>
    </row>
    <row r="116" spans="2:16" ht="26.25" thickBot="1" x14ac:dyDescent="0.25">
      <c r="B116" s="102"/>
      <c r="C116" s="25"/>
      <c r="D116" s="25"/>
      <c r="E116" s="27"/>
      <c r="F116" s="31"/>
      <c r="G116" s="144" t="s">
        <v>37</v>
      </c>
      <c r="H116" s="119" t="s">
        <v>38</v>
      </c>
      <c r="I116" s="120" t="s">
        <v>39</v>
      </c>
      <c r="J116" s="144" t="s">
        <v>37</v>
      </c>
      <c r="K116" s="119" t="s">
        <v>38</v>
      </c>
      <c r="L116" s="120" t="s">
        <v>39</v>
      </c>
      <c r="M116" s="146" t="s">
        <v>50</v>
      </c>
      <c r="N116" s="147" t="s">
        <v>51</v>
      </c>
      <c r="O116" s="148" t="s">
        <v>46</v>
      </c>
      <c r="P116" s="95"/>
    </row>
    <row r="117" spans="2:16" ht="21.75" customHeight="1" thickBot="1" x14ac:dyDescent="0.25">
      <c r="B117" s="102"/>
      <c r="C117" s="421" t="s">
        <v>40</v>
      </c>
      <c r="D117" s="422"/>
      <c r="E117" s="25"/>
      <c r="F117" s="128" t="s">
        <v>41</v>
      </c>
      <c r="G117" s="138"/>
      <c r="H117" s="139"/>
      <c r="I117" s="140">
        <f>+'2012 Existing Rates'!$C$6</f>
        <v>11.716666666666667</v>
      </c>
      <c r="J117" s="138"/>
      <c r="K117" s="139"/>
      <c r="L117" s="143">
        <f>'Rate Schedule '!$E$11</f>
        <v>12.63</v>
      </c>
      <c r="M117" s="152">
        <f t="shared" ref="M117:M122" si="15">+L117-I117</f>
        <v>0.913333333333334</v>
      </c>
      <c r="N117" s="153">
        <f>+M117/I117</f>
        <v>7.7951635846372741E-2</v>
      </c>
      <c r="O117" s="154" t="e">
        <f>L117/L130</f>
        <v>#REF!</v>
      </c>
      <c r="P117" s="95"/>
    </row>
    <row r="118" spans="2:16" ht="21.75" customHeight="1" thickBot="1" x14ac:dyDescent="0.25">
      <c r="B118" s="102"/>
      <c r="C118" s="98">
        <v>1500</v>
      </c>
      <c r="D118" s="99" t="s">
        <v>12</v>
      </c>
      <c r="E118" s="25"/>
      <c r="F118" s="129" t="s">
        <v>42</v>
      </c>
      <c r="G118" s="132">
        <f>+C118</f>
        <v>1500</v>
      </c>
      <c r="H118" s="126" t="e">
        <f>'2012 Existing Rates'!#REF!</f>
        <v>#REF!</v>
      </c>
      <c r="I118" s="141" t="e">
        <f>+G118*H118</f>
        <v>#REF!</v>
      </c>
      <c r="J118" s="132">
        <f>+C118</f>
        <v>1500</v>
      </c>
      <c r="K118" s="125">
        <f>'Rate Schedule '!$E$12</f>
        <v>1.2200000000000001E-2</v>
      </c>
      <c r="L118" s="145">
        <f>+J118*K118</f>
        <v>18.3</v>
      </c>
      <c r="M118" s="155" t="e">
        <f t="shared" si="15"/>
        <v>#REF!</v>
      </c>
      <c r="N118" s="153" t="e">
        <f>+M118/I118</f>
        <v>#REF!</v>
      </c>
      <c r="O118" s="156" t="e">
        <f>L118/L130</f>
        <v>#REF!</v>
      </c>
      <c r="P118" s="95"/>
    </row>
    <row r="119" spans="2:16" ht="21.75" customHeight="1" thickBot="1" x14ac:dyDescent="0.25">
      <c r="B119" s="102"/>
      <c r="C119" s="231"/>
      <c r="D119" s="232"/>
      <c r="E119" s="25"/>
      <c r="F119" s="129" t="s">
        <v>115</v>
      </c>
      <c r="G119" s="132">
        <f>G118</f>
        <v>1500</v>
      </c>
      <c r="H119" s="126" t="e">
        <f>'2012 Existing Rates'!#REF!</f>
        <v>#REF!</v>
      </c>
      <c r="I119" s="141" t="e">
        <f>+G119*H119</f>
        <v>#REF!</v>
      </c>
      <c r="J119" s="132">
        <f>J118</f>
        <v>1500</v>
      </c>
      <c r="K119" s="125" t="e">
        <f>'Rate Schedule '!#REF!</f>
        <v>#REF!</v>
      </c>
      <c r="L119" s="145" t="e">
        <f>+J119*K119</f>
        <v>#REF!</v>
      </c>
      <c r="M119" s="155" t="e">
        <f t="shared" si="15"/>
        <v>#REF!</v>
      </c>
      <c r="N119" s="153" t="e">
        <f>+M119/I119</f>
        <v>#REF!</v>
      </c>
      <c r="O119" s="156" t="e">
        <f>L119/L130</f>
        <v>#REF!</v>
      </c>
      <c r="P119" s="95"/>
    </row>
    <row r="120" spans="2:16" ht="21.75" customHeight="1" thickBot="1" x14ac:dyDescent="0.25">
      <c r="B120" s="102"/>
      <c r="C120" s="54"/>
      <c r="D120" s="55"/>
      <c r="E120" s="25"/>
      <c r="F120" s="129" t="s">
        <v>79</v>
      </c>
      <c r="G120" s="151"/>
      <c r="H120" s="150"/>
      <c r="I120" s="141" t="e">
        <f>'2012 Existing Rates'!#REF!</f>
        <v>#REF!</v>
      </c>
      <c r="J120" s="151"/>
      <c r="K120" s="150"/>
      <c r="L120" s="145" t="e">
        <f>'Rate Schedule '!#REF!</f>
        <v>#REF!</v>
      </c>
      <c r="M120" s="155" t="e">
        <f t="shared" si="15"/>
        <v>#REF!</v>
      </c>
      <c r="N120" s="153" t="e">
        <f>+M120/I120</f>
        <v>#REF!</v>
      </c>
      <c r="O120" s="156" t="e">
        <f>L120/L130</f>
        <v>#REF!</v>
      </c>
      <c r="P120" s="95"/>
    </row>
    <row r="121" spans="2:16" ht="21.75" customHeight="1" thickBot="1" x14ac:dyDescent="0.25">
      <c r="B121" s="102"/>
      <c r="C121" s="54"/>
      <c r="D121" s="55"/>
      <c r="E121" s="25"/>
      <c r="F121" s="129" t="s">
        <v>78</v>
      </c>
      <c r="G121" s="132">
        <f>C118</f>
        <v>1500</v>
      </c>
      <c r="H121" s="126"/>
      <c r="I121" s="137">
        <f>+G121*H121</f>
        <v>0</v>
      </c>
      <c r="J121" s="132">
        <f>C118</f>
        <v>1500</v>
      </c>
      <c r="K121" s="125" t="e">
        <f>'Rate Schedule '!#REF!</f>
        <v>#REF!</v>
      </c>
      <c r="L121" s="145" t="e">
        <f>J121*K121</f>
        <v>#REF!</v>
      </c>
      <c r="M121" s="155" t="e">
        <f t="shared" si="15"/>
        <v>#REF!</v>
      </c>
      <c r="N121" s="153">
        <v>0</v>
      </c>
      <c r="O121" s="156" t="e">
        <f>L121/L130</f>
        <v>#REF!</v>
      </c>
      <c r="P121" s="95"/>
    </row>
    <row r="122" spans="2:16" ht="21.75" customHeight="1" thickBot="1" x14ac:dyDescent="0.25">
      <c r="B122" s="102"/>
      <c r="C122" s="25"/>
      <c r="D122" s="25"/>
      <c r="E122" s="25"/>
      <c r="F122" s="130" t="s">
        <v>114</v>
      </c>
      <c r="G122" s="157">
        <f>+C118</f>
        <v>1500</v>
      </c>
      <c r="H122" s="158" t="e">
        <f>+'2012 Existing Rates'!#REF!</f>
        <v>#REF!</v>
      </c>
      <c r="I122" s="159" t="e">
        <f>+G122*H122</f>
        <v>#REF!</v>
      </c>
      <c r="J122" s="157">
        <f>+C118</f>
        <v>1500</v>
      </c>
      <c r="K122" s="158" t="e">
        <f>'Rate Schedule '!#REF!</f>
        <v>#REF!</v>
      </c>
      <c r="L122" s="159" t="e">
        <f>+J122*K122</f>
        <v>#REF!</v>
      </c>
      <c r="M122" s="155" t="e">
        <f t="shared" si="15"/>
        <v>#REF!</v>
      </c>
      <c r="N122" s="153" t="e">
        <f t="shared" ref="N122:N130" si="16">+M122/I122</f>
        <v>#REF!</v>
      </c>
      <c r="O122" s="156" t="e">
        <f>L122/L130</f>
        <v>#REF!</v>
      </c>
      <c r="P122" s="95"/>
    </row>
    <row r="123" spans="2:16" ht="21.75" customHeight="1" thickBot="1" x14ac:dyDescent="0.25">
      <c r="B123" s="102"/>
      <c r="C123" s="25"/>
      <c r="D123" s="25"/>
      <c r="E123" s="25"/>
      <c r="F123" s="279" t="s">
        <v>116</v>
      </c>
      <c r="G123" s="417"/>
      <c r="H123" s="418"/>
      <c r="I123" s="280" t="e">
        <f>SUM(I117:I122)</f>
        <v>#REF!</v>
      </c>
      <c r="J123" s="417"/>
      <c r="K123" s="418"/>
      <c r="L123" s="280" t="e">
        <f>SUM(L117:L122)</f>
        <v>#REF!</v>
      </c>
      <c r="M123" s="283" t="e">
        <f t="shared" ref="M123:M129" si="17">+L123-I123</f>
        <v>#REF!</v>
      </c>
      <c r="N123" s="284" t="e">
        <f t="shared" si="16"/>
        <v>#REF!</v>
      </c>
      <c r="O123" s="285" t="e">
        <f>L123/L130</f>
        <v>#REF!</v>
      </c>
      <c r="P123" s="95"/>
    </row>
    <row r="124" spans="2:16" ht="21.75" customHeight="1" thickBot="1" x14ac:dyDescent="0.25">
      <c r="B124" s="102"/>
      <c r="C124" s="25"/>
      <c r="D124" s="25"/>
      <c r="E124" s="25"/>
      <c r="F124" s="129" t="s">
        <v>117</v>
      </c>
      <c r="G124" s="233" t="e">
        <f>C118*#REF!</f>
        <v>#REF!</v>
      </c>
      <c r="H124" s="234" t="e">
        <f>#REF!</f>
        <v>#REF!</v>
      </c>
      <c r="I124" s="141" t="e">
        <f>+G124*H124</f>
        <v>#REF!</v>
      </c>
      <c r="J124" s="233" t="e">
        <f>'BILL IMPACTS'!C118*#REF!</f>
        <v>#REF!</v>
      </c>
      <c r="K124" s="234" t="e">
        <f>#REF!</f>
        <v>#REF!</v>
      </c>
      <c r="L124" s="141" t="e">
        <f>+J124*K124</f>
        <v>#REF!</v>
      </c>
      <c r="M124" s="235" t="e">
        <f t="shared" si="17"/>
        <v>#REF!</v>
      </c>
      <c r="N124" s="153" t="e">
        <f t="shared" si="16"/>
        <v>#REF!</v>
      </c>
      <c r="O124" s="154" t="e">
        <f>L124/L130</f>
        <v>#REF!</v>
      </c>
      <c r="P124" s="95"/>
    </row>
    <row r="125" spans="2:16" ht="21.75" customHeight="1" thickBot="1" x14ac:dyDescent="0.25">
      <c r="B125" s="102"/>
      <c r="C125" s="25"/>
      <c r="D125" s="25"/>
      <c r="E125" s="25"/>
      <c r="F125" s="279" t="s">
        <v>118</v>
      </c>
      <c r="G125" s="417"/>
      <c r="H125" s="418"/>
      <c r="I125" s="280" t="e">
        <f>I123+I124</f>
        <v>#REF!</v>
      </c>
      <c r="J125" s="417"/>
      <c r="K125" s="418"/>
      <c r="L125" s="280" t="e">
        <f>L123+L124</f>
        <v>#REF!</v>
      </c>
      <c r="M125" s="283" t="e">
        <f t="shared" si="17"/>
        <v>#REF!</v>
      </c>
      <c r="N125" s="284" t="e">
        <f t="shared" si="16"/>
        <v>#REF!</v>
      </c>
      <c r="O125" s="286" t="e">
        <f>L125/L130</f>
        <v>#REF!</v>
      </c>
      <c r="P125" s="95"/>
    </row>
    <row r="126" spans="2:16" ht="21.75" customHeight="1" thickBot="1" x14ac:dyDescent="0.25">
      <c r="B126" s="102"/>
      <c r="C126" s="25"/>
      <c r="D126" s="25"/>
      <c r="E126" s="25"/>
      <c r="F126" s="131" t="s">
        <v>47</v>
      </c>
      <c r="G126" s="133" t="e">
        <f>+#REF!*C118</f>
        <v>#REF!</v>
      </c>
      <c r="H126" s="134" t="e">
        <f>#REF!+#REF!</f>
        <v>#REF!</v>
      </c>
      <c r="I126" s="135" t="e">
        <f>+G126*H126</f>
        <v>#REF!</v>
      </c>
      <c r="J126" s="133" t="e">
        <f>J124</f>
        <v>#REF!</v>
      </c>
      <c r="K126" s="134" t="e">
        <f>#REF!+#REF!</f>
        <v>#REF!</v>
      </c>
      <c r="L126" s="162" t="e">
        <f>+J126*K126</f>
        <v>#REF!</v>
      </c>
      <c r="M126" s="273" t="e">
        <f t="shared" si="17"/>
        <v>#REF!</v>
      </c>
      <c r="N126" s="153" t="e">
        <f t="shared" si="16"/>
        <v>#REF!</v>
      </c>
      <c r="O126" s="192" t="e">
        <f>L126/L130</f>
        <v>#REF!</v>
      </c>
      <c r="P126" s="95"/>
    </row>
    <row r="127" spans="2:16" ht="21.75" customHeight="1" thickBot="1" x14ac:dyDescent="0.25">
      <c r="B127" s="102"/>
      <c r="C127" s="25"/>
      <c r="D127" s="25"/>
      <c r="E127" s="25"/>
      <c r="F127" s="129" t="s">
        <v>48</v>
      </c>
      <c r="G127" s="142" t="e">
        <f>+#REF!*C118</f>
        <v>#REF!</v>
      </c>
      <c r="H127" s="136" t="e">
        <f>#REF!</f>
        <v>#REF!</v>
      </c>
      <c r="I127" s="137" t="e">
        <f>+G127*H127</f>
        <v>#REF!</v>
      </c>
      <c r="J127" s="142" t="e">
        <f>J126</f>
        <v>#REF!</v>
      </c>
      <c r="K127" s="136" t="e">
        <f>#REF!</f>
        <v>#REF!</v>
      </c>
      <c r="L127" s="159" t="e">
        <f>+J127*K127</f>
        <v>#REF!</v>
      </c>
      <c r="M127" s="274" t="e">
        <f t="shared" si="17"/>
        <v>#REF!</v>
      </c>
      <c r="N127" s="153" t="e">
        <f t="shared" si="16"/>
        <v>#REF!</v>
      </c>
      <c r="O127" s="166" t="e">
        <f>L127/L130</f>
        <v>#REF!</v>
      </c>
      <c r="P127" s="95"/>
    </row>
    <row r="128" spans="2:16" ht="21.75" customHeight="1" thickBot="1" x14ac:dyDescent="0.25">
      <c r="B128" s="102"/>
      <c r="C128" s="25"/>
      <c r="D128" s="25"/>
      <c r="E128" s="25"/>
      <c r="F128" s="279" t="s">
        <v>97</v>
      </c>
      <c r="G128" s="417"/>
      <c r="H128" s="418"/>
      <c r="I128" s="280" t="e">
        <f>SUM(I125:I127)</f>
        <v>#REF!</v>
      </c>
      <c r="J128" s="417"/>
      <c r="K128" s="418"/>
      <c r="L128" s="280" t="e">
        <f>SUM(L125:L127)</f>
        <v>#REF!</v>
      </c>
      <c r="M128" s="280" t="e">
        <f t="shared" si="17"/>
        <v>#REF!</v>
      </c>
      <c r="N128" s="284" t="e">
        <f t="shared" si="16"/>
        <v>#REF!</v>
      </c>
      <c r="O128" s="286" t="e">
        <f>L128/L130</f>
        <v>#REF!</v>
      </c>
      <c r="P128" s="194"/>
    </row>
    <row r="129" spans="2:16" ht="21.75" customHeight="1" thickBot="1" x14ac:dyDescent="0.25">
      <c r="B129" s="102"/>
      <c r="C129" s="25"/>
      <c r="D129" s="25"/>
      <c r="E129" s="25"/>
      <c r="F129" s="188" t="s">
        <v>170</v>
      </c>
      <c r="G129" s="189"/>
      <c r="H129" s="193">
        <v>0.13</v>
      </c>
      <c r="I129" s="190" t="e">
        <f>I128*H129</f>
        <v>#REF!</v>
      </c>
      <c r="J129" s="189"/>
      <c r="K129" s="193">
        <v>0.13</v>
      </c>
      <c r="L129" s="191" t="e">
        <f>L128*K129</f>
        <v>#REF!</v>
      </c>
      <c r="M129" s="160" t="e">
        <f t="shared" si="17"/>
        <v>#REF!</v>
      </c>
      <c r="N129" s="164" t="e">
        <f t="shared" si="16"/>
        <v>#REF!</v>
      </c>
      <c r="O129" s="166" t="e">
        <f>L129/L130</f>
        <v>#REF!</v>
      </c>
      <c r="P129" s="95"/>
    </row>
    <row r="130" spans="2:16" s="240" customFormat="1" ht="21.75" customHeight="1" thickBot="1" x14ac:dyDescent="0.25">
      <c r="B130" s="236"/>
      <c r="C130" s="237"/>
      <c r="D130" s="237"/>
      <c r="E130" s="238"/>
      <c r="F130" s="281" t="s">
        <v>49</v>
      </c>
      <c r="G130" s="428"/>
      <c r="H130" s="429"/>
      <c r="I130" s="282" t="e">
        <f>I128+I129</f>
        <v>#REF!</v>
      </c>
      <c r="J130" s="428"/>
      <c r="K130" s="429"/>
      <c r="L130" s="282" t="e">
        <f>L128+L129</f>
        <v>#REF!</v>
      </c>
      <c r="M130" s="282" t="e">
        <f>M128+M129</f>
        <v>#REF!</v>
      </c>
      <c r="N130" s="287" t="e">
        <f t="shared" si="16"/>
        <v>#REF!</v>
      </c>
      <c r="O130" s="288" t="e">
        <f>O128+O129</f>
        <v>#REF!</v>
      </c>
      <c r="P130" s="239"/>
    </row>
    <row r="131" spans="2:16" ht="18" customHeight="1" x14ac:dyDescent="0.2">
      <c r="B131" s="102"/>
      <c r="C131" s="25"/>
      <c r="D131" s="25"/>
      <c r="E131" s="29"/>
      <c r="P131" s="95"/>
    </row>
    <row r="132" spans="2:16" ht="7.5" customHeight="1" thickBot="1" x14ac:dyDescent="0.25">
      <c r="B132" s="96"/>
      <c r="C132" s="108"/>
      <c r="D132" s="108"/>
      <c r="E132" s="108"/>
      <c r="F132" s="109"/>
      <c r="G132" s="110"/>
      <c r="H132" s="111"/>
      <c r="I132" s="112"/>
      <c r="J132" s="110"/>
      <c r="K132" s="113"/>
      <c r="L132" s="112"/>
      <c r="M132" s="117"/>
      <c r="N132" s="115"/>
      <c r="O132" s="116"/>
      <c r="P132" s="97"/>
    </row>
    <row r="133" spans="2:16" ht="18" customHeight="1" thickBot="1" x14ac:dyDescent="0.25"/>
    <row r="134" spans="2:16" ht="18" customHeight="1" thickBot="1" x14ac:dyDescent="0.4">
      <c r="B134" s="104"/>
      <c r="C134" s="420"/>
      <c r="D134" s="420"/>
      <c r="E134" s="420"/>
      <c r="F134" s="420"/>
      <c r="G134" s="420"/>
      <c r="H134" s="420"/>
      <c r="I134" s="420"/>
      <c r="J134" s="420"/>
      <c r="K134" s="420"/>
      <c r="L134" s="420"/>
      <c r="M134" s="420"/>
      <c r="N134" s="420"/>
      <c r="O134" s="420"/>
      <c r="P134" s="94"/>
    </row>
    <row r="135" spans="2:16" ht="21.75" customHeight="1" x14ac:dyDescent="0.35">
      <c r="B135" s="104"/>
      <c r="C135" s="430" t="s">
        <v>35</v>
      </c>
      <c r="D135" s="430"/>
      <c r="E135" s="430"/>
      <c r="F135" s="430"/>
      <c r="G135" s="430"/>
      <c r="H135" s="430"/>
      <c r="I135" s="430"/>
      <c r="J135" s="430"/>
      <c r="K135" s="430"/>
      <c r="L135" s="430"/>
      <c r="M135" s="430"/>
      <c r="N135" s="430"/>
      <c r="O135" s="430"/>
      <c r="P135" s="94"/>
    </row>
    <row r="136" spans="2:16" ht="21.75" customHeight="1" thickBot="1" x14ac:dyDescent="0.3">
      <c r="B136" s="102"/>
      <c r="C136" s="419"/>
      <c r="D136" s="419"/>
      <c r="E136" s="419"/>
      <c r="F136" s="419"/>
      <c r="G136" s="419"/>
      <c r="H136" s="419"/>
      <c r="I136" s="419"/>
      <c r="J136" s="419"/>
      <c r="K136" s="419"/>
      <c r="L136" s="419"/>
      <c r="M136" s="419"/>
      <c r="N136" s="419"/>
      <c r="O136" s="419"/>
      <c r="P136" s="95"/>
    </row>
    <row r="137" spans="2:16" ht="21.75" customHeight="1" thickBot="1" x14ac:dyDescent="0.25">
      <c r="B137" s="102"/>
      <c r="C137" s="103"/>
      <c r="D137" s="103"/>
      <c r="E137" s="25"/>
      <c r="F137" s="30"/>
      <c r="G137" s="425" t="str">
        <f>$G$10</f>
        <v>2010 BILL</v>
      </c>
      <c r="H137" s="426"/>
      <c r="I137" s="427"/>
      <c r="J137" s="425" t="str">
        <f>$J$10</f>
        <v>2011 BILL</v>
      </c>
      <c r="K137" s="426"/>
      <c r="L137" s="427"/>
      <c r="M137" s="425" t="s">
        <v>43</v>
      </c>
      <c r="N137" s="426"/>
      <c r="O137" s="427"/>
      <c r="P137" s="95"/>
    </row>
    <row r="138" spans="2:16" ht="26.25" thickBot="1" x14ac:dyDescent="0.25">
      <c r="B138" s="102"/>
      <c r="C138" s="25"/>
      <c r="D138" s="25"/>
      <c r="E138" s="27"/>
      <c r="F138" s="31"/>
      <c r="G138" s="144" t="s">
        <v>37</v>
      </c>
      <c r="H138" s="119" t="s">
        <v>38</v>
      </c>
      <c r="I138" s="120" t="s">
        <v>39</v>
      </c>
      <c r="J138" s="144" t="s">
        <v>37</v>
      </c>
      <c r="K138" s="119" t="s">
        <v>38</v>
      </c>
      <c r="L138" s="120" t="s">
        <v>39</v>
      </c>
      <c r="M138" s="146" t="s">
        <v>50</v>
      </c>
      <c r="N138" s="147" t="s">
        <v>51</v>
      </c>
      <c r="O138" s="148" t="s">
        <v>46</v>
      </c>
      <c r="P138" s="95"/>
    </row>
    <row r="139" spans="2:16" ht="21.75" customHeight="1" thickBot="1" x14ac:dyDescent="0.25">
      <c r="B139" s="102"/>
      <c r="C139" s="421" t="s">
        <v>40</v>
      </c>
      <c r="D139" s="422"/>
      <c r="E139" s="25"/>
      <c r="F139" s="128" t="s">
        <v>41</v>
      </c>
      <c r="G139" s="138"/>
      <c r="H139" s="139"/>
      <c r="I139" s="140">
        <f>+'2012 Existing Rates'!$C$6</f>
        <v>11.716666666666667</v>
      </c>
      <c r="J139" s="138"/>
      <c r="K139" s="139"/>
      <c r="L139" s="143">
        <f>'Rate Schedule '!$E$11</f>
        <v>12.63</v>
      </c>
      <c r="M139" s="152">
        <f t="shared" ref="M139:M144" si="18">+L139-I139</f>
        <v>0.913333333333334</v>
      </c>
      <c r="N139" s="153">
        <f>+M139/I139</f>
        <v>7.7951635846372741E-2</v>
      </c>
      <c r="O139" s="154" t="e">
        <f>L139/L152</f>
        <v>#REF!</v>
      </c>
      <c r="P139" s="95"/>
    </row>
    <row r="140" spans="2:16" ht="21.75" customHeight="1" thickBot="1" x14ac:dyDescent="0.25">
      <c r="B140" s="102"/>
      <c r="C140" s="98">
        <v>2000</v>
      </c>
      <c r="D140" s="99" t="s">
        <v>12</v>
      </c>
      <c r="E140" s="25"/>
      <c r="F140" s="129" t="s">
        <v>42</v>
      </c>
      <c r="G140" s="132">
        <f>+C140</f>
        <v>2000</v>
      </c>
      <c r="H140" s="126" t="e">
        <f>'2012 Existing Rates'!#REF!</f>
        <v>#REF!</v>
      </c>
      <c r="I140" s="141" t="e">
        <f>+G140*H140</f>
        <v>#REF!</v>
      </c>
      <c r="J140" s="132">
        <f>+C140</f>
        <v>2000</v>
      </c>
      <c r="K140" s="125">
        <f>'Rate Schedule '!$E$12</f>
        <v>1.2200000000000001E-2</v>
      </c>
      <c r="L140" s="145">
        <f>+J140*K140</f>
        <v>24.400000000000002</v>
      </c>
      <c r="M140" s="155" t="e">
        <f t="shared" si="18"/>
        <v>#REF!</v>
      </c>
      <c r="N140" s="153" t="e">
        <f>+M140/I140</f>
        <v>#REF!</v>
      </c>
      <c r="O140" s="156" t="e">
        <f>L140/L152</f>
        <v>#REF!</v>
      </c>
      <c r="P140" s="95"/>
    </row>
    <row r="141" spans="2:16" ht="21.75" customHeight="1" thickBot="1" x14ac:dyDescent="0.25">
      <c r="B141" s="102"/>
      <c r="C141" s="231"/>
      <c r="D141" s="232"/>
      <c r="E141" s="25"/>
      <c r="F141" s="129" t="s">
        <v>115</v>
      </c>
      <c r="G141" s="132">
        <f>G140</f>
        <v>2000</v>
      </c>
      <c r="H141" s="126" t="e">
        <f>'2012 Existing Rates'!#REF!</f>
        <v>#REF!</v>
      </c>
      <c r="I141" s="141" t="e">
        <f>+G141*H141</f>
        <v>#REF!</v>
      </c>
      <c r="J141" s="132">
        <f>J140</f>
        <v>2000</v>
      </c>
      <c r="K141" s="125" t="e">
        <f>'Rate Schedule '!#REF!</f>
        <v>#REF!</v>
      </c>
      <c r="L141" s="145" t="e">
        <f>+J141*K141</f>
        <v>#REF!</v>
      </c>
      <c r="M141" s="155" t="e">
        <f t="shared" si="18"/>
        <v>#REF!</v>
      </c>
      <c r="N141" s="153" t="e">
        <f>+M141/I141</f>
        <v>#REF!</v>
      </c>
      <c r="O141" s="156" t="e">
        <f>L141/L152</f>
        <v>#REF!</v>
      </c>
      <c r="P141" s="95"/>
    </row>
    <row r="142" spans="2:16" ht="21.75" customHeight="1" thickBot="1" x14ac:dyDescent="0.25">
      <c r="B142" s="102"/>
      <c r="C142" s="54"/>
      <c r="D142" s="55"/>
      <c r="E142" s="25"/>
      <c r="F142" s="129" t="s">
        <v>79</v>
      </c>
      <c r="G142" s="151"/>
      <c r="H142" s="150"/>
      <c r="I142" s="141" t="e">
        <f>'2012 Existing Rates'!#REF!</f>
        <v>#REF!</v>
      </c>
      <c r="J142" s="151"/>
      <c r="K142" s="150"/>
      <c r="L142" s="145" t="e">
        <f>'Rate Schedule '!#REF!</f>
        <v>#REF!</v>
      </c>
      <c r="M142" s="155" t="e">
        <f t="shared" si="18"/>
        <v>#REF!</v>
      </c>
      <c r="N142" s="153" t="e">
        <f>+M142/I142</f>
        <v>#REF!</v>
      </c>
      <c r="O142" s="156" t="e">
        <f>L142/L152</f>
        <v>#REF!</v>
      </c>
      <c r="P142" s="95"/>
    </row>
    <row r="143" spans="2:16" ht="21.75" customHeight="1" thickBot="1" x14ac:dyDescent="0.25">
      <c r="B143" s="102"/>
      <c r="C143" s="54"/>
      <c r="D143" s="55"/>
      <c r="E143" s="25"/>
      <c r="F143" s="129" t="s">
        <v>78</v>
      </c>
      <c r="G143" s="132">
        <f>C140</f>
        <v>2000</v>
      </c>
      <c r="H143" s="126"/>
      <c r="I143" s="137">
        <f>+G143*H143</f>
        <v>0</v>
      </c>
      <c r="J143" s="132">
        <f>C140</f>
        <v>2000</v>
      </c>
      <c r="K143" s="125" t="e">
        <f>'Rate Schedule '!#REF!</f>
        <v>#REF!</v>
      </c>
      <c r="L143" s="145" t="e">
        <f>J143*K143</f>
        <v>#REF!</v>
      </c>
      <c r="M143" s="155" t="e">
        <f t="shared" si="18"/>
        <v>#REF!</v>
      </c>
      <c r="N143" s="153">
        <v>0</v>
      </c>
      <c r="O143" s="156" t="e">
        <f>L143/L152</f>
        <v>#REF!</v>
      </c>
      <c r="P143" s="95"/>
    </row>
    <row r="144" spans="2:16" ht="21.75" customHeight="1" thickBot="1" x14ac:dyDescent="0.25">
      <c r="B144" s="102"/>
      <c r="C144" s="25"/>
      <c r="D144" s="25"/>
      <c r="E144" s="25"/>
      <c r="F144" s="130" t="s">
        <v>114</v>
      </c>
      <c r="G144" s="157">
        <f>+C140</f>
        <v>2000</v>
      </c>
      <c r="H144" s="158" t="e">
        <f>+'2012 Existing Rates'!#REF!</f>
        <v>#REF!</v>
      </c>
      <c r="I144" s="159" t="e">
        <f>+G144*H144</f>
        <v>#REF!</v>
      </c>
      <c r="J144" s="157">
        <f>+C140</f>
        <v>2000</v>
      </c>
      <c r="K144" s="158" t="e">
        <f>'Rate Schedule '!#REF!</f>
        <v>#REF!</v>
      </c>
      <c r="L144" s="159" t="e">
        <f>+J144*K144</f>
        <v>#REF!</v>
      </c>
      <c r="M144" s="155" t="e">
        <f t="shared" si="18"/>
        <v>#REF!</v>
      </c>
      <c r="N144" s="153" t="e">
        <f t="shared" ref="N144:N152" si="19">+M144/I144</f>
        <v>#REF!</v>
      </c>
      <c r="O144" s="156" t="e">
        <f>L144/L152</f>
        <v>#REF!</v>
      </c>
      <c r="P144" s="95"/>
    </row>
    <row r="145" spans="2:16" ht="21.75" customHeight="1" thickBot="1" x14ac:dyDescent="0.25">
      <c r="B145" s="102"/>
      <c r="C145" s="25"/>
      <c r="D145" s="25"/>
      <c r="E145" s="25"/>
      <c r="F145" s="279" t="s">
        <v>116</v>
      </c>
      <c r="G145" s="417"/>
      <c r="H145" s="418"/>
      <c r="I145" s="280" t="e">
        <f>SUM(I139:I144)</f>
        <v>#REF!</v>
      </c>
      <c r="J145" s="417"/>
      <c r="K145" s="418"/>
      <c r="L145" s="280" t="e">
        <f>SUM(L139:L144)</f>
        <v>#REF!</v>
      </c>
      <c r="M145" s="283" t="e">
        <f t="shared" ref="M145:M151" si="20">+L145-I145</f>
        <v>#REF!</v>
      </c>
      <c r="N145" s="284" t="e">
        <f t="shared" si="19"/>
        <v>#REF!</v>
      </c>
      <c r="O145" s="285" t="e">
        <f>L145/L152</f>
        <v>#REF!</v>
      </c>
      <c r="P145" s="95"/>
    </row>
    <row r="146" spans="2:16" ht="21.75" customHeight="1" thickBot="1" x14ac:dyDescent="0.25">
      <c r="B146" s="102"/>
      <c r="C146" s="25"/>
      <c r="D146" s="25"/>
      <c r="E146" s="25"/>
      <c r="F146" s="129" t="s">
        <v>117</v>
      </c>
      <c r="G146" s="233" t="e">
        <f>C140*#REF!</f>
        <v>#REF!</v>
      </c>
      <c r="H146" s="234" t="e">
        <f>#REF!</f>
        <v>#REF!</v>
      </c>
      <c r="I146" s="141" t="e">
        <f>+G146*H146</f>
        <v>#REF!</v>
      </c>
      <c r="J146" s="233" t="e">
        <f>'BILL IMPACTS'!C140*#REF!</f>
        <v>#REF!</v>
      </c>
      <c r="K146" s="234" t="e">
        <f>#REF!</f>
        <v>#REF!</v>
      </c>
      <c r="L146" s="141" t="e">
        <f>+J146*K146</f>
        <v>#REF!</v>
      </c>
      <c r="M146" s="235" t="e">
        <f t="shared" si="20"/>
        <v>#REF!</v>
      </c>
      <c r="N146" s="153" t="e">
        <f t="shared" si="19"/>
        <v>#REF!</v>
      </c>
      <c r="O146" s="154" t="e">
        <f>L146/L152</f>
        <v>#REF!</v>
      </c>
      <c r="P146" s="95"/>
    </row>
    <row r="147" spans="2:16" ht="21.75" customHeight="1" thickBot="1" x14ac:dyDescent="0.25">
      <c r="B147" s="102"/>
      <c r="C147" s="25"/>
      <c r="D147" s="25"/>
      <c r="E147" s="25"/>
      <c r="F147" s="279" t="s">
        <v>118</v>
      </c>
      <c r="G147" s="417"/>
      <c r="H147" s="418"/>
      <c r="I147" s="280" t="e">
        <f>I145+I146</f>
        <v>#REF!</v>
      </c>
      <c r="J147" s="417"/>
      <c r="K147" s="418"/>
      <c r="L147" s="280" t="e">
        <f>L145+L146</f>
        <v>#REF!</v>
      </c>
      <c r="M147" s="283" t="e">
        <f t="shared" si="20"/>
        <v>#REF!</v>
      </c>
      <c r="N147" s="284" t="e">
        <f t="shared" si="19"/>
        <v>#REF!</v>
      </c>
      <c r="O147" s="286" t="e">
        <f>L147/L152</f>
        <v>#REF!</v>
      </c>
      <c r="P147" s="95"/>
    </row>
    <row r="148" spans="2:16" ht="21.75" customHeight="1" thickBot="1" x14ac:dyDescent="0.25">
      <c r="B148" s="102"/>
      <c r="C148" s="25"/>
      <c r="D148" s="25"/>
      <c r="E148" s="25"/>
      <c r="F148" s="131" t="s">
        <v>47</v>
      </c>
      <c r="G148" s="133" t="e">
        <f>+#REF!*C140</f>
        <v>#REF!</v>
      </c>
      <c r="H148" s="134" t="e">
        <f>#REF!+#REF!</f>
        <v>#REF!</v>
      </c>
      <c r="I148" s="135" t="e">
        <f>+G148*H148</f>
        <v>#REF!</v>
      </c>
      <c r="J148" s="133" t="e">
        <f>J146</f>
        <v>#REF!</v>
      </c>
      <c r="K148" s="134" t="e">
        <f>#REF!+#REF!</f>
        <v>#REF!</v>
      </c>
      <c r="L148" s="162" t="e">
        <f>+J148*K148</f>
        <v>#REF!</v>
      </c>
      <c r="M148" s="273" t="e">
        <f t="shared" si="20"/>
        <v>#REF!</v>
      </c>
      <c r="N148" s="153" t="e">
        <f t="shared" si="19"/>
        <v>#REF!</v>
      </c>
      <c r="O148" s="192" t="e">
        <f>L148/L152</f>
        <v>#REF!</v>
      </c>
      <c r="P148" s="95"/>
    </row>
    <row r="149" spans="2:16" ht="21.75" customHeight="1" thickBot="1" x14ac:dyDescent="0.25">
      <c r="B149" s="102"/>
      <c r="C149" s="25"/>
      <c r="D149" s="25"/>
      <c r="E149" s="25"/>
      <c r="F149" s="129" t="s">
        <v>48</v>
      </c>
      <c r="G149" s="142" t="e">
        <f>+#REF!*C140</f>
        <v>#REF!</v>
      </c>
      <c r="H149" s="136" t="e">
        <f>#REF!</f>
        <v>#REF!</v>
      </c>
      <c r="I149" s="137" t="e">
        <f>+G149*H149</f>
        <v>#REF!</v>
      </c>
      <c r="J149" s="142" t="e">
        <f>J148</f>
        <v>#REF!</v>
      </c>
      <c r="K149" s="136" t="e">
        <f>#REF!</f>
        <v>#REF!</v>
      </c>
      <c r="L149" s="159" t="e">
        <f>+J149*K149</f>
        <v>#REF!</v>
      </c>
      <c r="M149" s="274" t="e">
        <f t="shared" si="20"/>
        <v>#REF!</v>
      </c>
      <c r="N149" s="153" t="e">
        <f t="shared" si="19"/>
        <v>#REF!</v>
      </c>
      <c r="O149" s="166" t="e">
        <f>L149/L152</f>
        <v>#REF!</v>
      </c>
      <c r="P149" s="95"/>
    </row>
    <row r="150" spans="2:16" ht="21.75" customHeight="1" thickBot="1" x14ac:dyDescent="0.25">
      <c r="B150" s="102"/>
      <c r="C150" s="25"/>
      <c r="D150" s="25"/>
      <c r="E150" s="25"/>
      <c r="F150" s="279" t="s">
        <v>97</v>
      </c>
      <c r="G150" s="417"/>
      <c r="H150" s="418"/>
      <c r="I150" s="280" t="e">
        <f>SUM(I147:I149)</f>
        <v>#REF!</v>
      </c>
      <c r="J150" s="417"/>
      <c r="K150" s="418"/>
      <c r="L150" s="280" t="e">
        <f>SUM(L147:L149)</f>
        <v>#REF!</v>
      </c>
      <c r="M150" s="280" t="e">
        <f t="shared" si="20"/>
        <v>#REF!</v>
      </c>
      <c r="N150" s="284" t="e">
        <f t="shared" si="19"/>
        <v>#REF!</v>
      </c>
      <c r="O150" s="286" t="e">
        <f>L150/L152</f>
        <v>#REF!</v>
      </c>
      <c r="P150" s="194"/>
    </row>
    <row r="151" spans="2:16" ht="21.75" customHeight="1" thickBot="1" x14ac:dyDescent="0.25">
      <c r="B151" s="102"/>
      <c r="C151" s="25"/>
      <c r="D151" s="25"/>
      <c r="E151" s="25"/>
      <c r="F151" s="188" t="s">
        <v>170</v>
      </c>
      <c r="G151" s="189"/>
      <c r="H151" s="193">
        <v>0.13</v>
      </c>
      <c r="I151" s="190" t="e">
        <f>I150*H151</f>
        <v>#REF!</v>
      </c>
      <c r="J151" s="189"/>
      <c r="K151" s="193">
        <v>0.13</v>
      </c>
      <c r="L151" s="191" t="e">
        <f>L150*K151</f>
        <v>#REF!</v>
      </c>
      <c r="M151" s="160" t="e">
        <f t="shared" si="20"/>
        <v>#REF!</v>
      </c>
      <c r="N151" s="164" t="e">
        <f t="shared" si="19"/>
        <v>#REF!</v>
      </c>
      <c r="O151" s="166" t="e">
        <f>L151/L152</f>
        <v>#REF!</v>
      </c>
      <c r="P151" s="95"/>
    </row>
    <row r="152" spans="2:16" s="240" customFormat="1" ht="21.75" customHeight="1" thickBot="1" x14ac:dyDescent="0.25">
      <c r="B152" s="236"/>
      <c r="C152" s="237"/>
      <c r="D152" s="237"/>
      <c r="E152" s="238"/>
      <c r="F152" s="281" t="s">
        <v>49</v>
      </c>
      <c r="G152" s="428"/>
      <c r="H152" s="429"/>
      <c r="I152" s="282" t="e">
        <f>I150+I151</f>
        <v>#REF!</v>
      </c>
      <c r="J152" s="428"/>
      <c r="K152" s="429"/>
      <c r="L152" s="282" t="e">
        <f>L150+L151</f>
        <v>#REF!</v>
      </c>
      <c r="M152" s="282" t="e">
        <f>M150+M151</f>
        <v>#REF!</v>
      </c>
      <c r="N152" s="287" t="e">
        <f t="shared" si="19"/>
        <v>#REF!</v>
      </c>
      <c r="O152" s="288" t="e">
        <f>O150+O151</f>
        <v>#REF!</v>
      </c>
      <c r="P152" s="239"/>
    </row>
    <row r="153" spans="2:16" ht="18" customHeight="1" x14ac:dyDescent="0.2">
      <c r="B153" s="102"/>
      <c r="C153" s="25"/>
      <c r="D153" s="25"/>
      <c r="E153" s="29"/>
      <c r="P153" s="95"/>
    </row>
    <row r="154" spans="2:16" ht="18" customHeight="1" thickBot="1" x14ac:dyDescent="0.25">
      <c r="B154" s="96"/>
      <c r="C154" s="108"/>
      <c r="D154" s="108"/>
      <c r="E154" s="108"/>
      <c r="F154" s="109"/>
      <c r="G154" s="110"/>
      <c r="H154" s="111"/>
      <c r="I154" s="112"/>
      <c r="J154" s="110"/>
      <c r="K154" s="113"/>
      <c r="L154" s="112"/>
      <c r="M154" s="117"/>
      <c r="N154" s="115"/>
      <c r="O154" s="116"/>
      <c r="P154" s="97"/>
    </row>
    <row r="155" spans="2:16" ht="18" customHeight="1" thickBot="1" x14ac:dyDescent="0.25">
      <c r="B155" s="24"/>
      <c r="C155" s="25"/>
      <c r="D155" s="25"/>
      <c r="E155" s="25"/>
      <c r="F155" s="42"/>
      <c r="G155" s="43"/>
      <c r="H155" s="44"/>
      <c r="I155" s="45"/>
      <c r="J155" s="43"/>
      <c r="K155" s="46"/>
      <c r="L155" s="45"/>
      <c r="M155" s="107"/>
      <c r="N155" s="105"/>
      <c r="O155" s="106"/>
      <c r="P155" s="24"/>
    </row>
    <row r="156" spans="2:16" ht="18" customHeight="1" x14ac:dyDescent="0.35">
      <c r="B156" s="104"/>
      <c r="C156" s="420"/>
      <c r="D156" s="420"/>
      <c r="E156" s="420"/>
      <c r="F156" s="420"/>
      <c r="G156" s="420"/>
      <c r="H156" s="420"/>
      <c r="I156" s="420"/>
      <c r="J156" s="420"/>
      <c r="K156" s="420"/>
      <c r="L156" s="420"/>
      <c r="M156" s="420"/>
      <c r="N156" s="420"/>
      <c r="O156" s="420"/>
      <c r="P156" s="94"/>
    </row>
    <row r="157" spans="2:16" ht="23.25" x14ac:dyDescent="0.35">
      <c r="B157" s="102"/>
      <c r="C157" s="423" t="s">
        <v>65</v>
      </c>
      <c r="D157" s="423"/>
      <c r="E157" s="423"/>
      <c r="F157" s="423"/>
      <c r="G157" s="423"/>
      <c r="H157" s="423"/>
      <c r="I157" s="423"/>
      <c r="J157" s="423"/>
      <c r="K157" s="423"/>
      <c r="L157" s="423"/>
      <c r="M157" s="423"/>
      <c r="N157" s="423"/>
      <c r="O157" s="423"/>
      <c r="P157" s="95"/>
    </row>
    <row r="158" spans="2:16" ht="18" customHeight="1" thickBot="1" x14ac:dyDescent="0.4">
      <c r="B158" s="102"/>
      <c r="C158" s="424"/>
      <c r="D158" s="424"/>
      <c r="E158" s="424"/>
      <c r="F158" s="424"/>
      <c r="G158" s="424"/>
      <c r="H158" s="424"/>
      <c r="I158" s="424"/>
      <c r="J158" s="424"/>
      <c r="K158" s="424"/>
      <c r="L158" s="424"/>
      <c r="M158" s="424"/>
      <c r="N158" s="424"/>
      <c r="O158" s="424"/>
      <c r="P158" s="95"/>
    </row>
    <row r="159" spans="2:16" ht="18" customHeight="1" thickBot="1" x14ac:dyDescent="0.25">
      <c r="B159" s="102"/>
      <c r="C159" s="103"/>
      <c r="D159" s="103"/>
      <c r="E159" s="25"/>
      <c r="F159" s="30"/>
      <c r="G159" s="425" t="str">
        <f>$G$10</f>
        <v>2010 BILL</v>
      </c>
      <c r="H159" s="426"/>
      <c r="I159" s="427"/>
      <c r="J159" s="425" t="str">
        <f>$J$10</f>
        <v>2011 BILL</v>
      </c>
      <c r="K159" s="426"/>
      <c r="L159" s="427"/>
      <c r="M159" s="425" t="s">
        <v>43</v>
      </c>
      <c r="N159" s="426"/>
      <c r="O159" s="427"/>
      <c r="P159" s="95"/>
    </row>
    <row r="160" spans="2:16" ht="26.25" thickBot="1" x14ac:dyDescent="0.25">
      <c r="B160" s="102"/>
      <c r="C160" s="25"/>
      <c r="D160" s="25"/>
      <c r="E160" s="27"/>
      <c r="F160" s="31"/>
      <c r="G160" s="118" t="s">
        <v>37</v>
      </c>
      <c r="H160" s="119" t="s">
        <v>38</v>
      </c>
      <c r="I160" s="120" t="s">
        <v>39</v>
      </c>
      <c r="J160" s="121" t="s">
        <v>37</v>
      </c>
      <c r="K160" s="119" t="s">
        <v>38</v>
      </c>
      <c r="L160" s="120" t="s">
        <v>39</v>
      </c>
      <c r="M160" s="122" t="s">
        <v>50</v>
      </c>
      <c r="N160" s="123" t="s">
        <v>51</v>
      </c>
      <c r="O160" s="124" t="s">
        <v>46</v>
      </c>
      <c r="P160" s="95"/>
    </row>
    <row r="161" spans="1:16" ht="18" customHeight="1" thickBot="1" x14ac:dyDescent="0.25">
      <c r="B161" s="102"/>
      <c r="C161" s="421" t="s">
        <v>40</v>
      </c>
      <c r="D161" s="422"/>
      <c r="E161" s="25"/>
      <c r="F161" s="128" t="s">
        <v>41</v>
      </c>
      <c r="G161" s="138"/>
      <c r="H161" s="139"/>
      <c r="I161" s="140">
        <f>'2012 Existing Rates'!$C$7</f>
        <v>24.681666666666665</v>
      </c>
      <c r="J161" s="138"/>
      <c r="K161" s="139"/>
      <c r="L161" s="143">
        <f>'Rate Schedule '!$E$15</f>
        <v>25.96</v>
      </c>
      <c r="M161" s="152">
        <f t="shared" ref="M161:M166" si="21">+L161-I161</f>
        <v>1.278333333333336</v>
      </c>
      <c r="N161" s="153">
        <f t="shared" ref="N161:N169" si="22">+M161/I161</f>
        <v>5.1792828685259078E-2</v>
      </c>
      <c r="O161" s="154" t="e">
        <f>L161/L175</f>
        <v>#REF!</v>
      </c>
      <c r="P161" s="95"/>
    </row>
    <row r="162" spans="1:16" ht="18" customHeight="1" thickBot="1" x14ac:dyDescent="0.25">
      <c r="B162" s="102"/>
      <c r="C162" s="100">
        <v>1000</v>
      </c>
      <c r="D162" s="101" t="s">
        <v>12</v>
      </c>
      <c r="E162" s="25"/>
      <c r="F162" s="129" t="s">
        <v>42</v>
      </c>
      <c r="G162" s="132">
        <f>+C162</f>
        <v>1000</v>
      </c>
      <c r="H162" s="126">
        <f>'2012 Existing Rates'!$E$7</f>
        <v>1.2999999999999999E-2</v>
      </c>
      <c r="I162" s="141">
        <f>+G162*H162</f>
        <v>13</v>
      </c>
      <c r="J162" s="132">
        <f>+C162</f>
        <v>1000</v>
      </c>
      <c r="K162" s="125">
        <f>'Rate Schedule '!$E$16</f>
        <v>1.34E-2</v>
      </c>
      <c r="L162" s="145">
        <f>+J162*K162</f>
        <v>13.4</v>
      </c>
      <c r="M162" s="155">
        <f t="shared" si="21"/>
        <v>0.40000000000000036</v>
      </c>
      <c r="N162" s="149">
        <f t="shared" si="22"/>
        <v>3.0769230769230795E-2</v>
      </c>
      <c r="O162" s="156" t="e">
        <f>L162/L175</f>
        <v>#REF!</v>
      </c>
      <c r="P162" s="95"/>
    </row>
    <row r="163" spans="1:16" ht="18" customHeight="1" x14ac:dyDescent="0.2">
      <c r="B163" s="102"/>
      <c r="C163" s="54"/>
      <c r="D163" s="55"/>
      <c r="E163" s="25"/>
      <c r="F163" s="129" t="s">
        <v>115</v>
      </c>
      <c r="G163" s="132">
        <f>G162</f>
        <v>1000</v>
      </c>
      <c r="H163" s="126" t="e">
        <f>'2012 Existing Rates'!#REF!</f>
        <v>#REF!</v>
      </c>
      <c r="I163" s="141" t="e">
        <f>+G163*H163</f>
        <v>#REF!</v>
      </c>
      <c r="J163" s="132">
        <f>J162</f>
        <v>1000</v>
      </c>
      <c r="K163" s="125" t="e">
        <f>'Rate Schedule '!#REF!</f>
        <v>#REF!</v>
      </c>
      <c r="L163" s="145" t="e">
        <f>+J163*K163</f>
        <v>#REF!</v>
      </c>
      <c r="M163" s="155" t="e">
        <f t="shared" si="21"/>
        <v>#REF!</v>
      </c>
      <c r="N163" s="149" t="e">
        <f t="shared" si="22"/>
        <v>#REF!</v>
      </c>
      <c r="O163" s="156" t="e">
        <f>L163/L175</f>
        <v>#REF!</v>
      </c>
      <c r="P163" s="95"/>
    </row>
    <row r="164" spans="1:16" ht="18" customHeight="1" x14ac:dyDescent="0.2">
      <c r="B164" s="102"/>
      <c r="C164" s="54"/>
      <c r="D164" s="55"/>
      <c r="E164" s="25"/>
      <c r="F164" s="129" t="s">
        <v>79</v>
      </c>
      <c r="G164" s="151"/>
      <c r="H164" s="150"/>
      <c r="I164" s="141" t="e">
        <f>'2012 Existing Rates'!#REF!</f>
        <v>#REF!</v>
      </c>
      <c r="J164" s="151"/>
      <c r="K164" s="150"/>
      <c r="L164" s="145" t="e">
        <f>'Rate Schedule '!#REF!</f>
        <v>#REF!</v>
      </c>
      <c r="M164" s="155" t="e">
        <f t="shared" si="21"/>
        <v>#REF!</v>
      </c>
      <c r="N164" s="149" t="e">
        <f t="shared" si="22"/>
        <v>#REF!</v>
      </c>
      <c r="O164" s="156" t="e">
        <f>L164/L175</f>
        <v>#REF!</v>
      </c>
      <c r="P164" s="95"/>
    </row>
    <row r="165" spans="1:16" ht="18" customHeight="1" x14ac:dyDescent="0.2">
      <c r="A165" s="95"/>
      <c r="B165" s="24"/>
      <c r="C165" s="25"/>
      <c r="D165" s="25"/>
      <c r="E165" s="25"/>
      <c r="F165" s="129" t="s">
        <v>78</v>
      </c>
      <c r="G165" s="132">
        <f>C162</f>
        <v>1000</v>
      </c>
      <c r="H165" s="126"/>
      <c r="I165" s="137">
        <f>+G165*H165</f>
        <v>0</v>
      </c>
      <c r="J165" s="132">
        <f>C162</f>
        <v>1000</v>
      </c>
      <c r="K165" s="125" t="e">
        <f>'Rate Schedule '!#REF!</f>
        <v>#REF!</v>
      </c>
      <c r="L165" s="145" t="e">
        <f>J165*K165</f>
        <v>#REF!</v>
      </c>
      <c r="M165" s="155" t="e">
        <f t="shared" si="21"/>
        <v>#REF!</v>
      </c>
      <c r="N165" s="149">
        <v>0</v>
      </c>
      <c r="O165" s="156" t="e">
        <f>L165/L175</f>
        <v>#REF!</v>
      </c>
      <c r="P165" s="95"/>
    </row>
    <row r="166" spans="1:16" ht="18" customHeight="1" thickBot="1" x14ac:dyDescent="0.25">
      <c r="A166" s="95"/>
      <c r="B166" s="24"/>
      <c r="C166" s="25"/>
      <c r="D166" s="25"/>
      <c r="E166" s="25"/>
      <c r="F166" s="130" t="s">
        <v>114</v>
      </c>
      <c r="G166" s="157">
        <f>+C162</f>
        <v>1000</v>
      </c>
      <c r="H166" s="158" t="e">
        <f>'2012 Existing Rates'!#REF!</f>
        <v>#REF!</v>
      </c>
      <c r="I166" s="159" t="e">
        <f>+G166*H166</f>
        <v>#REF!</v>
      </c>
      <c r="J166" s="157">
        <f>+C162</f>
        <v>1000</v>
      </c>
      <c r="K166" s="158" t="e">
        <f>'Rate Schedule '!#REF!</f>
        <v>#REF!</v>
      </c>
      <c r="L166" s="159" t="e">
        <f>+J166*K166</f>
        <v>#REF!</v>
      </c>
      <c r="M166" s="155" t="e">
        <f t="shared" si="21"/>
        <v>#REF!</v>
      </c>
      <c r="N166" s="149" t="e">
        <f t="shared" si="22"/>
        <v>#REF!</v>
      </c>
      <c r="O166" s="156" t="e">
        <f>L166/L175</f>
        <v>#REF!</v>
      </c>
      <c r="P166" s="241"/>
    </row>
    <row r="167" spans="1:16" ht="18" customHeight="1" thickBot="1" x14ac:dyDescent="0.25">
      <c r="A167" s="95"/>
      <c r="F167" s="279" t="s">
        <v>116</v>
      </c>
      <c r="G167" s="417"/>
      <c r="H167" s="418"/>
      <c r="I167" s="280" t="e">
        <f>SUM(I161:I166)</f>
        <v>#REF!</v>
      </c>
      <c r="J167" s="417"/>
      <c r="K167" s="418"/>
      <c r="L167" s="280" t="e">
        <f>SUM(L161:L166)</f>
        <v>#REF!</v>
      </c>
      <c r="M167" s="283" t="e">
        <f>SUM(M161:M166)</f>
        <v>#REF!</v>
      </c>
      <c r="N167" s="284" t="e">
        <f t="shared" si="22"/>
        <v>#REF!</v>
      </c>
      <c r="O167" s="285" t="e">
        <f>L167/L175</f>
        <v>#REF!</v>
      </c>
      <c r="P167" s="241"/>
    </row>
    <row r="168" spans="1:16" ht="18" customHeight="1" thickBot="1" x14ac:dyDescent="0.25">
      <c r="A168" s="95"/>
      <c r="F168" s="129" t="s">
        <v>117</v>
      </c>
      <c r="G168" s="233" t="e">
        <f>C162*#REF!</f>
        <v>#REF!</v>
      </c>
      <c r="H168" s="234" t="e">
        <f>#REF!</f>
        <v>#REF!</v>
      </c>
      <c r="I168" s="141" t="e">
        <f>+G168*H168</f>
        <v>#REF!</v>
      </c>
      <c r="J168" s="233" t="e">
        <f>'BILL IMPACTS'!C162*#REF!</f>
        <v>#REF!</v>
      </c>
      <c r="K168" s="234" t="e">
        <f>#REF!</f>
        <v>#REF!</v>
      </c>
      <c r="L168" s="141" t="e">
        <f>+J168*K168</f>
        <v>#REF!</v>
      </c>
      <c r="M168" s="235" t="e">
        <f t="shared" ref="M168:M174" si="23">+L168-I168</f>
        <v>#REF!</v>
      </c>
      <c r="N168" s="153" t="e">
        <f t="shared" si="22"/>
        <v>#REF!</v>
      </c>
      <c r="O168" s="154" t="e">
        <f>L168/L175</f>
        <v>#REF!</v>
      </c>
      <c r="P168" s="241"/>
    </row>
    <row r="169" spans="1:16" ht="18" customHeight="1" thickBot="1" x14ac:dyDescent="0.25">
      <c r="A169" s="95"/>
      <c r="F169" s="279" t="s">
        <v>118</v>
      </c>
      <c r="G169" s="417"/>
      <c r="H169" s="418"/>
      <c r="I169" s="280" t="e">
        <f>I167+I168</f>
        <v>#REF!</v>
      </c>
      <c r="J169" s="417"/>
      <c r="K169" s="418"/>
      <c r="L169" s="280" t="e">
        <f>L167+L168</f>
        <v>#REF!</v>
      </c>
      <c r="M169" s="283" t="e">
        <f t="shared" si="23"/>
        <v>#REF!</v>
      </c>
      <c r="N169" s="284" t="e">
        <f t="shared" si="22"/>
        <v>#REF!</v>
      </c>
      <c r="O169" s="286" t="e">
        <f>L169/L175</f>
        <v>#REF!</v>
      </c>
      <c r="P169" s="241"/>
    </row>
    <row r="170" spans="1:16" ht="18" customHeight="1" x14ac:dyDescent="0.2">
      <c r="A170" s="95"/>
      <c r="F170" s="131" t="s">
        <v>47</v>
      </c>
      <c r="G170" s="133" t="e">
        <f>+#REF!*C162</f>
        <v>#REF!</v>
      </c>
      <c r="H170" s="134" t="e">
        <f>#REF!+#REF!</f>
        <v>#REF!</v>
      </c>
      <c r="I170" s="135" t="e">
        <f>+G170*H170</f>
        <v>#REF!</v>
      </c>
      <c r="J170" s="133" t="e">
        <f>J168</f>
        <v>#REF!</v>
      </c>
      <c r="K170" s="134" t="e">
        <f>#REF!+#REF!</f>
        <v>#REF!</v>
      </c>
      <c r="L170" s="162" t="e">
        <f>+J170*K170</f>
        <v>#REF!</v>
      </c>
      <c r="M170" s="163" t="e">
        <f t="shared" si="23"/>
        <v>#REF!</v>
      </c>
      <c r="N170" s="164" t="e">
        <f t="shared" ref="N170:N175" si="24">+M170/I170</f>
        <v>#REF!</v>
      </c>
      <c r="O170" s="192" t="e">
        <f>L170/L175</f>
        <v>#REF!</v>
      </c>
      <c r="P170" s="241"/>
    </row>
    <row r="171" spans="1:16" ht="18" customHeight="1" x14ac:dyDescent="0.2">
      <c r="A171" s="95"/>
      <c r="B171" s="24"/>
      <c r="C171" s="25"/>
      <c r="D171" s="25"/>
      <c r="E171" s="25"/>
      <c r="F171" s="127" t="s">
        <v>48</v>
      </c>
      <c r="G171" s="133">
        <v>600</v>
      </c>
      <c r="H171" s="134" t="e">
        <f>#REF!</f>
        <v>#REF!</v>
      </c>
      <c r="I171" s="135" t="e">
        <f>+G171*H171</f>
        <v>#REF!</v>
      </c>
      <c r="J171" s="133">
        <v>600</v>
      </c>
      <c r="K171" s="134" t="e">
        <f>#REF!</f>
        <v>#REF!</v>
      </c>
      <c r="L171" s="162" t="e">
        <f>+J171*K171</f>
        <v>#REF!</v>
      </c>
      <c r="M171" s="163" t="e">
        <f t="shared" si="23"/>
        <v>#REF!</v>
      </c>
      <c r="N171" s="164" t="e">
        <f t="shared" si="24"/>
        <v>#REF!</v>
      </c>
      <c r="O171" s="165" t="e">
        <f>L171/L175</f>
        <v>#REF!</v>
      </c>
      <c r="P171" s="241"/>
    </row>
    <row r="172" spans="1:16" ht="18" customHeight="1" thickBot="1" x14ac:dyDescent="0.25">
      <c r="B172" s="102"/>
      <c r="C172" s="25"/>
      <c r="D172" s="25"/>
      <c r="E172" s="25"/>
      <c r="F172" s="127" t="s">
        <v>48</v>
      </c>
      <c r="G172" s="133" t="e">
        <f>G170-G171</f>
        <v>#REF!</v>
      </c>
      <c r="H172" s="134" t="e">
        <f>#REF!</f>
        <v>#REF!</v>
      </c>
      <c r="I172" s="135" t="e">
        <f>+G172*H172</f>
        <v>#REF!</v>
      </c>
      <c r="J172" s="133" t="e">
        <f>J170-J171</f>
        <v>#REF!</v>
      </c>
      <c r="K172" s="134" t="e">
        <f>#REF!</f>
        <v>#REF!</v>
      </c>
      <c r="L172" s="162" t="e">
        <f>+J172*K172</f>
        <v>#REF!</v>
      </c>
      <c r="M172" s="163" t="e">
        <f t="shared" si="23"/>
        <v>#REF!</v>
      </c>
      <c r="N172" s="164" t="e">
        <f t="shared" si="24"/>
        <v>#REF!</v>
      </c>
      <c r="O172" s="165" t="e">
        <f>L172/L175</f>
        <v>#REF!</v>
      </c>
      <c r="P172" s="95"/>
    </row>
    <row r="173" spans="1:16" ht="18" customHeight="1" thickBot="1" x14ac:dyDescent="0.25">
      <c r="B173" s="102"/>
      <c r="C173" s="25"/>
      <c r="D173" s="25"/>
      <c r="E173" s="25"/>
      <c r="F173" s="279" t="s">
        <v>97</v>
      </c>
      <c r="G173" s="417"/>
      <c r="H173" s="418"/>
      <c r="I173" s="280" t="e">
        <f>SUM(I169:I172)</f>
        <v>#REF!</v>
      </c>
      <c r="J173" s="417"/>
      <c r="K173" s="418"/>
      <c r="L173" s="280" t="e">
        <f>SUM(L169:L172)</f>
        <v>#REF!</v>
      </c>
      <c r="M173" s="291" t="e">
        <f t="shared" si="23"/>
        <v>#REF!</v>
      </c>
      <c r="N173" s="284" t="e">
        <f t="shared" si="24"/>
        <v>#REF!</v>
      </c>
      <c r="O173" s="286" t="e">
        <f>L173/L175</f>
        <v>#REF!</v>
      </c>
      <c r="P173" s="95"/>
    </row>
    <row r="174" spans="1:16" ht="18" customHeight="1" thickBot="1" x14ac:dyDescent="0.25">
      <c r="B174" s="102"/>
      <c r="C174" s="25"/>
      <c r="D174" s="25"/>
      <c r="E174" s="25"/>
      <c r="F174" s="188" t="s">
        <v>170</v>
      </c>
      <c r="G174" s="189"/>
      <c r="H174" s="193">
        <v>0.13</v>
      </c>
      <c r="I174" s="190" t="e">
        <f>I173*H174</f>
        <v>#REF!</v>
      </c>
      <c r="J174" s="189"/>
      <c r="K174" s="193">
        <v>0.13</v>
      </c>
      <c r="L174" s="191" t="e">
        <f>L173*K174</f>
        <v>#REF!</v>
      </c>
      <c r="M174" s="160" t="e">
        <f t="shared" si="23"/>
        <v>#REF!</v>
      </c>
      <c r="N174" s="161" t="e">
        <f t="shared" si="24"/>
        <v>#REF!</v>
      </c>
      <c r="O174" s="166" t="e">
        <f>L174/L175</f>
        <v>#REF!</v>
      </c>
      <c r="P174" s="95"/>
    </row>
    <row r="175" spans="1:16" ht="18" customHeight="1" thickBot="1" x14ac:dyDescent="0.25">
      <c r="B175" s="102"/>
      <c r="C175" s="25"/>
      <c r="D175" s="25"/>
      <c r="E175" s="29"/>
      <c r="F175" s="289" t="s">
        <v>49</v>
      </c>
      <c r="G175" s="437"/>
      <c r="H175" s="438"/>
      <c r="I175" s="290" t="e">
        <f>I173+I174</f>
        <v>#REF!</v>
      </c>
      <c r="J175" s="437"/>
      <c r="K175" s="438"/>
      <c r="L175" s="290" t="e">
        <f>L173+L174</f>
        <v>#REF!</v>
      </c>
      <c r="M175" s="292" t="e">
        <f>M173+M174</f>
        <v>#REF!</v>
      </c>
      <c r="N175" s="284" t="e">
        <f t="shared" si="24"/>
        <v>#REF!</v>
      </c>
      <c r="O175" s="285" t="e">
        <f>SUM(O173:O174)</f>
        <v>#REF!</v>
      </c>
      <c r="P175" s="95"/>
    </row>
    <row r="176" spans="1:16" ht="18" customHeight="1" thickBot="1" x14ac:dyDescent="0.25">
      <c r="B176" s="96"/>
      <c r="C176" s="108"/>
      <c r="D176" s="108"/>
      <c r="E176" s="108"/>
      <c r="F176" s="109"/>
      <c r="G176" s="110"/>
      <c r="H176" s="111"/>
      <c r="I176" s="112"/>
      <c r="J176" s="110"/>
      <c r="K176" s="113"/>
      <c r="L176" s="112"/>
      <c r="M176" s="117"/>
      <c r="N176" s="115"/>
      <c r="O176" s="116"/>
      <c r="P176" s="97"/>
    </row>
    <row r="177" spans="1:16" ht="18" customHeight="1" thickBot="1" x14ac:dyDescent="0.25">
      <c r="B177" s="24"/>
      <c r="C177" s="25"/>
      <c r="D177" s="25"/>
      <c r="E177" s="25"/>
      <c r="F177" s="42"/>
      <c r="G177" s="43"/>
      <c r="H177" s="44"/>
      <c r="I177" s="45"/>
      <c r="J177" s="43"/>
      <c r="K177" s="46"/>
      <c r="L177" s="45"/>
      <c r="M177" s="107"/>
      <c r="N177" s="105"/>
      <c r="O177" s="106"/>
      <c r="P177" s="24"/>
    </row>
    <row r="178" spans="1:16" ht="18" customHeight="1" x14ac:dyDescent="0.35">
      <c r="B178" s="104"/>
      <c r="C178" s="420"/>
      <c r="D178" s="420"/>
      <c r="E178" s="420"/>
      <c r="F178" s="420"/>
      <c r="G178" s="420"/>
      <c r="H178" s="420"/>
      <c r="I178" s="420"/>
      <c r="J178" s="420"/>
      <c r="K178" s="420"/>
      <c r="L178" s="420"/>
      <c r="M178" s="420"/>
      <c r="N178" s="420"/>
      <c r="O178" s="420"/>
      <c r="P178" s="94"/>
    </row>
    <row r="179" spans="1:16" ht="23.25" x14ac:dyDescent="0.35">
      <c r="B179" s="102"/>
      <c r="C179" s="423" t="s">
        <v>65</v>
      </c>
      <c r="D179" s="423"/>
      <c r="E179" s="423"/>
      <c r="F179" s="423"/>
      <c r="G179" s="423"/>
      <c r="H179" s="423"/>
      <c r="I179" s="423"/>
      <c r="J179" s="423"/>
      <c r="K179" s="423"/>
      <c r="L179" s="423"/>
      <c r="M179" s="423"/>
      <c r="N179" s="423"/>
      <c r="O179" s="423"/>
      <c r="P179" s="95"/>
    </row>
    <row r="180" spans="1:16" ht="18" customHeight="1" thickBot="1" x14ac:dyDescent="0.4">
      <c r="B180" s="102"/>
      <c r="C180" s="424"/>
      <c r="D180" s="424"/>
      <c r="E180" s="424"/>
      <c r="F180" s="424"/>
      <c r="G180" s="424"/>
      <c r="H180" s="424"/>
      <c r="I180" s="424"/>
      <c r="J180" s="424"/>
      <c r="K180" s="424"/>
      <c r="L180" s="424"/>
      <c r="M180" s="424"/>
      <c r="N180" s="424"/>
      <c r="O180" s="424"/>
      <c r="P180" s="95"/>
    </row>
    <row r="181" spans="1:16" ht="18" customHeight="1" thickBot="1" x14ac:dyDescent="0.25">
      <c r="B181" s="102"/>
      <c r="C181" s="103"/>
      <c r="D181" s="103"/>
      <c r="E181" s="25"/>
      <c r="F181" s="30"/>
      <c r="G181" s="425" t="str">
        <f>$G$10</f>
        <v>2010 BILL</v>
      </c>
      <c r="H181" s="426"/>
      <c r="I181" s="427"/>
      <c r="J181" s="425" t="str">
        <f>$J$10</f>
        <v>2011 BILL</v>
      </c>
      <c r="K181" s="426"/>
      <c r="L181" s="427"/>
      <c r="M181" s="425" t="s">
        <v>43</v>
      </c>
      <c r="N181" s="426"/>
      <c r="O181" s="427"/>
      <c r="P181" s="95"/>
    </row>
    <row r="182" spans="1:16" ht="26.25" thickBot="1" x14ac:dyDescent="0.25">
      <c r="B182" s="102"/>
      <c r="C182" s="25"/>
      <c r="D182" s="25"/>
      <c r="E182" s="27"/>
      <c r="F182" s="31"/>
      <c r="G182" s="118" t="s">
        <v>37</v>
      </c>
      <c r="H182" s="119" t="s">
        <v>38</v>
      </c>
      <c r="I182" s="120" t="s">
        <v>39</v>
      </c>
      <c r="J182" s="121" t="s">
        <v>37</v>
      </c>
      <c r="K182" s="119" t="s">
        <v>38</v>
      </c>
      <c r="L182" s="120" t="s">
        <v>39</v>
      </c>
      <c r="M182" s="122" t="s">
        <v>50</v>
      </c>
      <c r="N182" s="123" t="s">
        <v>51</v>
      </c>
      <c r="O182" s="124" t="s">
        <v>46</v>
      </c>
      <c r="P182" s="95"/>
    </row>
    <row r="183" spans="1:16" ht="18" customHeight="1" thickBot="1" x14ac:dyDescent="0.25">
      <c r="B183" s="102"/>
      <c r="C183" s="421" t="s">
        <v>40</v>
      </c>
      <c r="D183" s="422"/>
      <c r="E183" s="25"/>
      <c r="F183" s="128" t="s">
        <v>41</v>
      </c>
      <c r="G183" s="138"/>
      <c r="H183" s="139"/>
      <c r="I183" s="140">
        <f>'2012 Existing Rates'!$C$7</f>
        <v>24.681666666666665</v>
      </c>
      <c r="J183" s="138"/>
      <c r="K183" s="139"/>
      <c r="L183" s="143">
        <f>'Rate Schedule '!$E$15</f>
        <v>25.96</v>
      </c>
      <c r="M183" s="152">
        <f t="shared" ref="M183:M188" si="25">+L183-I183</f>
        <v>1.278333333333336</v>
      </c>
      <c r="N183" s="153">
        <f>+M183/I183</f>
        <v>5.1792828685259078E-2</v>
      </c>
      <c r="O183" s="154" t="e">
        <f>L183/L197</f>
        <v>#REF!</v>
      </c>
      <c r="P183" s="95"/>
    </row>
    <row r="184" spans="1:16" ht="18" customHeight="1" thickBot="1" x14ac:dyDescent="0.25">
      <c r="B184" s="102"/>
      <c r="C184" s="100">
        <v>2000</v>
      </c>
      <c r="D184" s="101" t="s">
        <v>12</v>
      </c>
      <c r="E184" s="25"/>
      <c r="F184" s="129" t="s">
        <v>42</v>
      </c>
      <c r="G184" s="132">
        <f>+C184</f>
        <v>2000</v>
      </c>
      <c r="H184" s="126">
        <f>'2012 Existing Rates'!$E$7</f>
        <v>1.2999999999999999E-2</v>
      </c>
      <c r="I184" s="141">
        <f>+G184*H184</f>
        <v>26</v>
      </c>
      <c r="J184" s="132">
        <f>+C184</f>
        <v>2000</v>
      </c>
      <c r="K184" s="125">
        <f>'Rate Schedule '!$E$16</f>
        <v>1.34E-2</v>
      </c>
      <c r="L184" s="145">
        <f>+J184*K184</f>
        <v>26.8</v>
      </c>
      <c r="M184" s="155">
        <f t="shared" si="25"/>
        <v>0.80000000000000071</v>
      </c>
      <c r="N184" s="149">
        <f>+M184/I184</f>
        <v>3.0769230769230795E-2</v>
      </c>
      <c r="O184" s="156" t="e">
        <f>L184/L197</f>
        <v>#REF!</v>
      </c>
      <c r="P184" s="95"/>
    </row>
    <row r="185" spans="1:16" ht="18" customHeight="1" x14ac:dyDescent="0.2">
      <c r="B185" s="102"/>
      <c r="C185" s="54"/>
      <c r="D185" s="55"/>
      <c r="E185" s="25"/>
      <c r="F185" s="129" t="s">
        <v>115</v>
      </c>
      <c r="G185" s="132">
        <f>G184</f>
        <v>2000</v>
      </c>
      <c r="H185" s="126" t="e">
        <f>'2012 Existing Rates'!#REF!</f>
        <v>#REF!</v>
      </c>
      <c r="I185" s="141" t="e">
        <f>+G185*H185</f>
        <v>#REF!</v>
      </c>
      <c r="J185" s="132">
        <f>J184</f>
        <v>2000</v>
      </c>
      <c r="K185" s="125" t="e">
        <f>'Rate Schedule '!#REF!</f>
        <v>#REF!</v>
      </c>
      <c r="L185" s="145" t="e">
        <f>+J185*K185</f>
        <v>#REF!</v>
      </c>
      <c r="M185" s="155" t="e">
        <f t="shared" si="25"/>
        <v>#REF!</v>
      </c>
      <c r="N185" s="149" t="e">
        <f>+M185/I185</f>
        <v>#REF!</v>
      </c>
      <c r="O185" s="156" t="e">
        <f>L185/L197</f>
        <v>#REF!</v>
      </c>
      <c r="P185" s="95"/>
    </row>
    <row r="186" spans="1:16" ht="18" customHeight="1" x14ac:dyDescent="0.2">
      <c r="B186" s="102"/>
      <c r="C186" s="54"/>
      <c r="D186" s="55"/>
      <c r="E186" s="25"/>
      <c r="F186" s="129" t="s">
        <v>79</v>
      </c>
      <c r="G186" s="151"/>
      <c r="H186" s="150"/>
      <c r="I186" s="141" t="e">
        <f>'2012 Existing Rates'!#REF!</f>
        <v>#REF!</v>
      </c>
      <c r="J186" s="151"/>
      <c r="K186" s="150"/>
      <c r="L186" s="145" t="e">
        <f>'Rate Schedule '!#REF!</f>
        <v>#REF!</v>
      </c>
      <c r="M186" s="155" t="e">
        <f t="shared" si="25"/>
        <v>#REF!</v>
      </c>
      <c r="N186" s="149" t="e">
        <f>+M186/I186</f>
        <v>#REF!</v>
      </c>
      <c r="O186" s="156" t="e">
        <f>L186/L197</f>
        <v>#REF!</v>
      </c>
      <c r="P186" s="95"/>
    </row>
    <row r="187" spans="1:16" ht="18" customHeight="1" x14ac:dyDescent="0.2">
      <c r="A187" s="95"/>
      <c r="B187" s="24"/>
      <c r="C187" s="25"/>
      <c r="D187" s="25"/>
      <c r="E187" s="25"/>
      <c r="F187" s="129" t="s">
        <v>78</v>
      </c>
      <c r="G187" s="132">
        <f>C184</f>
        <v>2000</v>
      </c>
      <c r="H187" s="126"/>
      <c r="I187" s="137">
        <f>+G187*H187</f>
        <v>0</v>
      </c>
      <c r="J187" s="132">
        <f>C184</f>
        <v>2000</v>
      </c>
      <c r="K187" s="125" t="e">
        <f>'Rate Schedule '!#REF!</f>
        <v>#REF!</v>
      </c>
      <c r="L187" s="145" t="e">
        <f>J187*K187</f>
        <v>#REF!</v>
      </c>
      <c r="M187" s="155" t="e">
        <f t="shared" si="25"/>
        <v>#REF!</v>
      </c>
      <c r="N187" s="149">
        <v>0</v>
      </c>
      <c r="O187" s="156" t="e">
        <f>L187/L197</f>
        <v>#REF!</v>
      </c>
      <c r="P187" s="95"/>
    </row>
    <row r="188" spans="1:16" ht="18" customHeight="1" thickBot="1" x14ac:dyDescent="0.25">
      <c r="A188" s="95"/>
      <c r="B188" s="24"/>
      <c r="C188" s="25"/>
      <c r="D188" s="25"/>
      <c r="E188" s="25"/>
      <c r="F188" s="130" t="s">
        <v>114</v>
      </c>
      <c r="G188" s="157">
        <f>+C184</f>
        <v>2000</v>
      </c>
      <c r="H188" s="158" t="e">
        <f>'2012 Existing Rates'!#REF!</f>
        <v>#REF!</v>
      </c>
      <c r="I188" s="159" t="e">
        <f>+G188*H188</f>
        <v>#REF!</v>
      </c>
      <c r="J188" s="157">
        <f>+C184</f>
        <v>2000</v>
      </c>
      <c r="K188" s="158" t="e">
        <f>'Rate Schedule '!#REF!</f>
        <v>#REF!</v>
      </c>
      <c r="L188" s="159" t="e">
        <f>+J188*K188</f>
        <v>#REF!</v>
      </c>
      <c r="M188" s="155" t="e">
        <f t="shared" si="25"/>
        <v>#REF!</v>
      </c>
      <c r="N188" s="149" t="e">
        <f t="shared" ref="N188:N197" si="26">+M188/I188</f>
        <v>#REF!</v>
      </c>
      <c r="O188" s="156" t="e">
        <f>L188/L197</f>
        <v>#REF!</v>
      </c>
      <c r="P188" s="241"/>
    </row>
    <row r="189" spans="1:16" ht="18" customHeight="1" thickBot="1" x14ac:dyDescent="0.25">
      <c r="A189" s="95"/>
      <c r="F189" s="279" t="s">
        <v>116</v>
      </c>
      <c r="G189" s="417"/>
      <c r="H189" s="418"/>
      <c r="I189" s="280" t="e">
        <f>SUM(I183:I188)</f>
        <v>#REF!</v>
      </c>
      <c r="J189" s="417"/>
      <c r="K189" s="418"/>
      <c r="L189" s="280" t="e">
        <f>SUM(L183:L188)</f>
        <v>#REF!</v>
      </c>
      <c r="M189" s="283" t="e">
        <f>SUM(M183:M188)</f>
        <v>#REF!</v>
      </c>
      <c r="N189" s="284" t="e">
        <f t="shared" si="26"/>
        <v>#REF!</v>
      </c>
      <c r="O189" s="285" t="e">
        <f>L189/L197</f>
        <v>#REF!</v>
      </c>
      <c r="P189" s="241"/>
    </row>
    <row r="190" spans="1:16" ht="18" customHeight="1" thickBot="1" x14ac:dyDescent="0.25">
      <c r="A190" s="95"/>
      <c r="F190" s="129" t="s">
        <v>117</v>
      </c>
      <c r="G190" s="233" t="e">
        <f>C184*#REF!</f>
        <v>#REF!</v>
      </c>
      <c r="H190" s="234" t="e">
        <f>#REF!</f>
        <v>#REF!</v>
      </c>
      <c r="I190" s="141" t="e">
        <f>+G190*H190</f>
        <v>#REF!</v>
      </c>
      <c r="J190" s="233" t="e">
        <f>'BILL IMPACTS'!C184*#REF!</f>
        <v>#REF!</v>
      </c>
      <c r="K190" s="234" t="e">
        <f>#REF!</f>
        <v>#REF!</v>
      </c>
      <c r="L190" s="141" t="e">
        <f>+J190*K190</f>
        <v>#REF!</v>
      </c>
      <c r="M190" s="235" t="e">
        <f t="shared" ref="M190:M196" si="27">+L190-I190</f>
        <v>#REF!</v>
      </c>
      <c r="N190" s="153" t="e">
        <f t="shared" si="26"/>
        <v>#REF!</v>
      </c>
      <c r="O190" s="154" t="e">
        <f>L190/L197</f>
        <v>#REF!</v>
      </c>
      <c r="P190" s="241"/>
    </row>
    <row r="191" spans="1:16" ht="18" customHeight="1" thickBot="1" x14ac:dyDescent="0.25">
      <c r="A191" s="95"/>
      <c r="F191" s="279" t="s">
        <v>118</v>
      </c>
      <c r="G191" s="417"/>
      <c r="H191" s="418"/>
      <c r="I191" s="280" t="e">
        <f>I189+I190</f>
        <v>#REF!</v>
      </c>
      <c r="J191" s="417"/>
      <c r="K191" s="418"/>
      <c r="L191" s="280" t="e">
        <f>L189+L190</f>
        <v>#REF!</v>
      </c>
      <c r="M191" s="283" t="e">
        <f t="shared" si="27"/>
        <v>#REF!</v>
      </c>
      <c r="N191" s="284" t="e">
        <f t="shared" si="26"/>
        <v>#REF!</v>
      </c>
      <c r="O191" s="286" t="e">
        <f>L191/L197</f>
        <v>#REF!</v>
      </c>
      <c r="P191" s="241"/>
    </row>
    <row r="192" spans="1:16" ht="18" customHeight="1" x14ac:dyDescent="0.2">
      <c r="A192" s="95"/>
      <c r="F192" s="131" t="s">
        <v>47</v>
      </c>
      <c r="G192" s="133" t="e">
        <f>+#REF!*C184</f>
        <v>#REF!</v>
      </c>
      <c r="H192" s="134" t="e">
        <f>#REF!+#REF!</f>
        <v>#REF!</v>
      </c>
      <c r="I192" s="135" t="e">
        <f>+G192*H192</f>
        <v>#REF!</v>
      </c>
      <c r="J192" s="133" t="e">
        <f>J190</f>
        <v>#REF!</v>
      </c>
      <c r="K192" s="134" t="e">
        <f>#REF!+#REF!</f>
        <v>#REF!</v>
      </c>
      <c r="L192" s="162" t="e">
        <f>+J192*K192</f>
        <v>#REF!</v>
      </c>
      <c r="M192" s="163" t="e">
        <f t="shared" si="27"/>
        <v>#REF!</v>
      </c>
      <c r="N192" s="164" t="e">
        <f t="shared" si="26"/>
        <v>#REF!</v>
      </c>
      <c r="O192" s="192" t="e">
        <f>L192/L197</f>
        <v>#REF!</v>
      </c>
      <c r="P192" s="241"/>
    </row>
    <row r="193" spans="1:16" ht="18" customHeight="1" x14ac:dyDescent="0.2">
      <c r="A193" s="95"/>
      <c r="B193" s="24"/>
      <c r="C193" s="25"/>
      <c r="D193" s="25"/>
      <c r="E193" s="25"/>
      <c r="F193" s="127" t="s">
        <v>48</v>
      </c>
      <c r="G193" s="133">
        <v>600</v>
      </c>
      <c r="H193" s="134" t="e">
        <f>#REF!</f>
        <v>#REF!</v>
      </c>
      <c r="I193" s="135" t="e">
        <f>+G193*H193</f>
        <v>#REF!</v>
      </c>
      <c r="J193" s="133">
        <v>600</v>
      </c>
      <c r="K193" s="134" t="e">
        <f>#REF!</f>
        <v>#REF!</v>
      </c>
      <c r="L193" s="162" t="e">
        <f>+J193*K193</f>
        <v>#REF!</v>
      </c>
      <c r="M193" s="163" t="e">
        <f t="shared" si="27"/>
        <v>#REF!</v>
      </c>
      <c r="N193" s="164" t="e">
        <f t="shared" si="26"/>
        <v>#REF!</v>
      </c>
      <c r="O193" s="165" t="e">
        <f>L193/L197</f>
        <v>#REF!</v>
      </c>
      <c r="P193" s="241"/>
    </row>
    <row r="194" spans="1:16" ht="18" customHeight="1" thickBot="1" x14ac:dyDescent="0.25">
      <c r="B194" s="102"/>
      <c r="C194" s="25"/>
      <c r="D194" s="25"/>
      <c r="E194" s="25"/>
      <c r="F194" s="127" t="s">
        <v>48</v>
      </c>
      <c r="G194" s="133" t="e">
        <f>G192-G193</f>
        <v>#REF!</v>
      </c>
      <c r="H194" s="134" t="e">
        <f>#REF!</f>
        <v>#REF!</v>
      </c>
      <c r="I194" s="135" t="e">
        <f>+G194*H194</f>
        <v>#REF!</v>
      </c>
      <c r="J194" s="133" t="e">
        <f>J192-J193</f>
        <v>#REF!</v>
      </c>
      <c r="K194" s="134" t="e">
        <f>#REF!</f>
        <v>#REF!</v>
      </c>
      <c r="L194" s="162" t="e">
        <f>+J194*K194</f>
        <v>#REF!</v>
      </c>
      <c r="M194" s="163" t="e">
        <f t="shared" si="27"/>
        <v>#REF!</v>
      </c>
      <c r="N194" s="164" t="e">
        <f t="shared" si="26"/>
        <v>#REF!</v>
      </c>
      <c r="O194" s="165" t="e">
        <f>L194/L197</f>
        <v>#REF!</v>
      </c>
      <c r="P194" s="95"/>
    </row>
    <row r="195" spans="1:16" ht="18" customHeight="1" thickBot="1" x14ac:dyDescent="0.25">
      <c r="B195" s="102"/>
      <c r="C195" s="25"/>
      <c r="D195" s="25"/>
      <c r="E195" s="25"/>
      <c r="F195" s="279" t="s">
        <v>97</v>
      </c>
      <c r="G195" s="417"/>
      <c r="H195" s="418"/>
      <c r="I195" s="280" t="e">
        <f>SUM(I191:I194)</f>
        <v>#REF!</v>
      </c>
      <c r="J195" s="417"/>
      <c r="K195" s="418"/>
      <c r="L195" s="280" t="e">
        <f>SUM(L191:L194)</f>
        <v>#REF!</v>
      </c>
      <c r="M195" s="291" t="e">
        <f t="shared" si="27"/>
        <v>#REF!</v>
      </c>
      <c r="N195" s="284" t="e">
        <f t="shared" si="26"/>
        <v>#REF!</v>
      </c>
      <c r="O195" s="286" t="e">
        <f>L195/L197</f>
        <v>#REF!</v>
      </c>
      <c r="P195" s="95"/>
    </row>
    <row r="196" spans="1:16" ht="18" customHeight="1" thickBot="1" x14ac:dyDescent="0.25">
      <c r="B196" s="102"/>
      <c r="C196" s="25"/>
      <c r="D196" s="25"/>
      <c r="E196" s="25"/>
      <c r="F196" s="188" t="s">
        <v>170</v>
      </c>
      <c r="G196" s="189"/>
      <c r="H196" s="193">
        <v>0.13</v>
      </c>
      <c r="I196" s="190" t="e">
        <f>I195*H196</f>
        <v>#REF!</v>
      </c>
      <c r="J196" s="189"/>
      <c r="K196" s="193">
        <v>0.13</v>
      </c>
      <c r="L196" s="191" t="e">
        <f>L195*K196</f>
        <v>#REF!</v>
      </c>
      <c r="M196" s="160" t="e">
        <f t="shared" si="27"/>
        <v>#REF!</v>
      </c>
      <c r="N196" s="161" t="e">
        <f t="shared" si="26"/>
        <v>#REF!</v>
      </c>
      <c r="O196" s="166" t="e">
        <f>L196/L197</f>
        <v>#REF!</v>
      </c>
      <c r="P196" s="95"/>
    </row>
    <row r="197" spans="1:16" ht="18" customHeight="1" thickBot="1" x14ac:dyDescent="0.25">
      <c r="B197" s="102"/>
      <c r="C197" s="25"/>
      <c r="D197" s="25"/>
      <c r="E197" s="29"/>
      <c r="F197" s="289" t="s">
        <v>49</v>
      </c>
      <c r="G197" s="437"/>
      <c r="H197" s="438"/>
      <c r="I197" s="290" t="e">
        <f>I195+I196</f>
        <v>#REF!</v>
      </c>
      <c r="J197" s="437"/>
      <c r="K197" s="438"/>
      <c r="L197" s="290" t="e">
        <f>L195+L196</f>
        <v>#REF!</v>
      </c>
      <c r="M197" s="292" t="e">
        <f>M195+M196</f>
        <v>#REF!</v>
      </c>
      <c r="N197" s="284" t="e">
        <f t="shared" si="26"/>
        <v>#REF!</v>
      </c>
      <c r="O197" s="285" t="e">
        <f>SUM(O195:O196)</f>
        <v>#REF!</v>
      </c>
      <c r="P197" s="95"/>
    </row>
    <row r="198" spans="1:16" ht="18" customHeight="1" thickBot="1" x14ac:dyDescent="0.25">
      <c r="B198" s="96"/>
      <c r="C198" s="108"/>
      <c r="D198" s="108"/>
      <c r="E198" s="108"/>
      <c r="F198" s="109"/>
      <c r="G198" s="110"/>
      <c r="H198" s="111"/>
      <c r="I198" s="112"/>
      <c r="J198" s="110"/>
      <c r="K198" s="113"/>
      <c r="L198" s="112"/>
      <c r="M198" s="117"/>
      <c r="N198" s="115"/>
      <c r="O198" s="116"/>
      <c r="P198" s="97"/>
    </row>
    <row r="199" spans="1:16" ht="18" customHeight="1" thickBot="1" x14ac:dyDescent="0.25">
      <c r="B199" s="24"/>
      <c r="C199" s="25"/>
      <c r="D199" s="25"/>
      <c r="E199" s="25"/>
      <c r="F199" s="42"/>
      <c r="G199" s="43"/>
      <c r="H199" s="44"/>
      <c r="I199" s="45"/>
      <c r="J199" s="43"/>
      <c r="K199" s="46"/>
      <c r="L199" s="45"/>
      <c r="M199" s="107"/>
      <c r="N199" s="105"/>
      <c r="O199" s="106"/>
      <c r="P199" s="24"/>
    </row>
    <row r="200" spans="1:16" ht="18" customHeight="1" x14ac:dyDescent="0.35">
      <c r="B200" s="104"/>
      <c r="C200" s="420"/>
      <c r="D200" s="420"/>
      <c r="E200" s="420"/>
      <c r="F200" s="420"/>
      <c r="G200" s="420"/>
      <c r="H200" s="420"/>
      <c r="I200" s="420"/>
      <c r="J200" s="420"/>
      <c r="K200" s="420"/>
      <c r="L200" s="420"/>
      <c r="M200" s="420"/>
      <c r="N200" s="420"/>
      <c r="O200" s="420"/>
      <c r="P200" s="94"/>
    </row>
    <row r="201" spans="1:16" ht="23.25" x14ac:dyDescent="0.35">
      <c r="B201" s="102"/>
      <c r="C201" s="423" t="s">
        <v>65</v>
      </c>
      <c r="D201" s="423"/>
      <c r="E201" s="423"/>
      <c r="F201" s="423"/>
      <c r="G201" s="423"/>
      <c r="H201" s="423"/>
      <c r="I201" s="423"/>
      <c r="J201" s="423"/>
      <c r="K201" s="423"/>
      <c r="L201" s="423"/>
      <c r="M201" s="423"/>
      <c r="N201" s="423"/>
      <c r="O201" s="423"/>
      <c r="P201" s="95"/>
    </row>
    <row r="202" spans="1:16" ht="18" customHeight="1" thickBot="1" x14ac:dyDescent="0.4">
      <c r="B202" s="102"/>
      <c r="C202" s="424"/>
      <c r="D202" s="424"/>
      <c r="E202" s="424"/>
      <c r="F202" s="424"/>
      <c r="G202" s="424"/>
      <c r="H202" s="424"/>
      <c r="I202" s="424"/>
      <c r="J202" s="424"/>
      <c r="K202" s="424"/>
      <c r="L202" s="424"/>
      <c r="M202" s="424"/>
      <c r="N202" s="424"/>
      <c r="O202" s="424"/>
      <c r="P202" s="95"/>
    </row>
    <row r="203" spans="1:16" ht="18" customHeight="1" thickBot="1" x14ac:dyDescent="0.25">
      <c r="B203" s="102"/>
      <c r="C203" s="103"/>
      <c r="D203" s="103"/>
      <c r="E203" s="25"/>
      <c r="F203" s="30"/>
      <c r="G203" s="425" t="str">
        <f>$G$10</f>
        <v>2010 BILL</v>
      </c>
      <c r="H203" s="426"/>
      <c r="I203" s="427"/>
      <c r="J203" s="425" t="str">
        <f>$J$10</f>
        <v>2011 BILL</v>
      </c>
      <c r="K203" s="426"/>
      <c r="L203" s="427"/>
      <c r="M203" s="425" t="s">
        <v>43</v>
      </c>
      <c r="N203" s="426"/>
      <c r="O203" s="427"/>
      <c r="P203" s="95"/>
    </row>
    <row r="204" spans="1:16" ht="26.25" thickBot="1" x14ac:dyDescent="0.25">
      <c r="B204" s="102"/>
      <c r="C204" s="25"/>
      <c r="D204" s="25"/>
      <c r="E204" s="27"/>
      <c r="F204" s="31"/>
      <c r="G204" s="118" t="s">
        <v>37</v>
      </c>
      <c r="H204" s="119" t="s">
        <v>38</v>
      </c>
      <c r="I204" s="120" t="s">
        <v>39</v>
      </c>
      <c r="J204" s="121" t="s">
        <v>37</v>
      </c>
      <c r="K204" s="119" t="s">
        <v>38</v>
      </c>
      <c r="L204" s="120" t="s">
        <v>39</v>
      </c>
      <c r="M204" s="122" t="s">
        <v>50</v>
      </c>
      <c r="N204" s="123" t="s">
        <v>51</v>
      </c>
      <c r="O204" s="124" t="s">
        <v>46</v>
      </c>
      <c r="P204" s="95"/>
    </row>
    <row r="205" spans="1:16" ht="18" customHeight="1" thickBot="1" x14ac:dyDescent="0.25">
      <c r="B205" s="102"/>
      <c r="C205" s="421" t="s">
        <v>40</v>
      </c>
      <c r="D205" s="422"/>
      <c r="E205" s="25"/>
      <c r="F205" s="128" t="s">
        <v>41</v>
      </c>
      <c r="G205" s="138"/>
      <c r="H205" s="139"/>
      <c r="I205" s="140">
        <f>'2012 Existing Rates'!$C$7</f>
        <v>24.681666666666665</v>
      </c>
      <c r="J205" s="138"/>
      <c r="K205" s="139"/>
      <c r="L205" s="143">
        <f>'Rate Schedule '!$E$15</f>
        <v>25.96</v>
      </c>
      <c r="M205" s="152">
        <f t="shared" ref="M205:M210" si="28">+L205-I205</f>
        <v>1.278333333333336</v>
      </c>
      <c r="N205" s="153">
        <f>+M205/I205</f>
        <v>5.1792828685259078E-2</v>
      </c>
      <c r="O205" s="154" t="e">
        <f>L205/L219</f>
        <v>#REF!</v>
      </c>
      <c r="P205" s="95"/>
    </row>
    <row r="206" spans="1:16" ht="18" customHeight="1" thickBot="1" x14ac:dyDescent="0.25">
      <c r="B206" s="102"/>
      <c r="C206" s="100">
        <v>5000</v>
      </c>
      <c r="D206" s="101" t="s">
        <v>12</v>
      </c>
      <c r="E206" s="25"/>
      <c r="F206" s="129" t="s">
        <v>42</v>
      </c>
      <c r="G206" s="132">
        <f>+C206</f>
        <v>5000</v>
      </c>
      <c r="H206" s="126">
        <f>'2012 Existing Rates'!$E$7</f>
        <v>1.2999999999999999E-2</v>
      </c>
      <c r="I206" s="141">
        <f>+G206*H206</f>
        <v>65</v>
      </c>
      <c r="J206" s="132">
        <f>+C206</f>
        <v>5000</v>
      </c>
      <c r="K206" s="125">
        <f>'Rate Schedule '!$E$16</f>
        <v>1.34E-2</v>
      </c>
      <c r="L206" s="145">
        <f>+J206*K206</f>
        <v>67</v>
      </c>
      <c r="M206" s="155">
        <f t="shared" si="28"/>
        <v>2</v>
      </c>
      <c r="N206" s="149">
        <f>+M206/I206</f>
        <v>3.0769230769230771E-2</v>
      </c>
      <c r="O206" s="156" t="e">
        <f>L206/L219</f>
        <v>#REF!</v>
      </c>
      <c r="P206" s="95"/>
    </row>
    <row r="207" spans="1:16" ht="18" customHeight="1" x14ac:dyDescent="0.2">
      <c r="B207" s="102"/>
      <c r="C207" s="54"/>
      <c r="D207" s="55"/>
      <c r="E207" s="25"/>
      <c r="F207" s="129" t="s">
        <v>115</v>
      </c>
      <c r="G207" s="132">
        <f>G206</f>
        <v>5000</v>
      </c>
      <c r="H207" s="126" t="e">
        <f>'2012 Existing Rates'!#REF!</f>
        <v>#REF!</v>
      </c>
      <c r="I207" s="141" t="e">
        <f>+G207*H207</f>
        <v>#REF!</v>
      </c>
      <c r="J207" s="132">
        <f>J206</f>
        <v>5000</v>
      </c>
      <c r="K207" s="125" t="e">
        <f>'Rate Schedule '!#REF!</f>
        <v>#REF!</v>
      </c>
      <c r="L207" s="145" t="e">
        <f>+J207*K207</f>
        <v>#REF!</v>
      </c>
      <c r="M207" s="155" t="e">
        <f t="shared" si="28"/>
        <v>#REF!</v>
      </c>
      <c r="N207" s="149" t="e">
        <f>+M207/I207</f>
        <v>#REF!</v>
      </c>
      <c r="O207" s="156" t="e">
        <f>L207/L219</f>
        <v>#REF!</v>
      </c>
      <c r="P207" s="95"/>
    </row>
    <row r="208" spans="1:16" ht="18" customHeight="1" x14ac:dyDescent="0.2">
      <c r="B208" s="102"/>
      <c r="C208" s="54"/>
      <c r="D208" s="55"/>
      <c r="E208" s="25"/>
      <c r="F208" s="129" t="s">
        <v>79</v>
      </c>
      <c r="G208" s="151"/>
      <c r="H208" s="150"/>
      <c r="I208" s="141" t="e">
        <f>'2012 Existing Rates'!#REF!</f>
        <v>#REF!</v>
      </c>
      <c r="J208" s="151"/>
      <c r="K208" s="150"/>
      <c r="L208" s="145" t="e">
        <f>'Rate Schedule '!#REF!</f>
        <v>#REF!</v>
      </c>
      <c r="M208" s="155" t="e">
        <f t="shared" si="28"/>
        <v>#REF!</v>
      </c>
      <c r="N208" s="149" t="e">
        <f>+M208/I208</f>
        <v>#REF!</v>
      </c>
      <c r="O208" s="156" t="e">
        <f>L208/L219</f>
        <v>#REF!</v>
      </c>
      <c r="P208" s="95"/>
    </row>
    <row r="209" spans="1:16" ht="18" customHeight="1" x14ac:dyDescent="0.2">
      <c r="A209" s="95"/>
      <c r="B209" s="24"/>
      <c r="C209" s="25"/>
      <c r="D209" s="25"/>
      <c r="E209" s="25"/>
      <c r="F209" s="129" t="s">
        <v>78</v>
      </c>
      <c r="G209" s="132">
        <f>C206</f>
        <v>5000</v>
      </c>
      <c r="H209" s="126"/>
      <c r="I209" s="137">
        <f>+G209*H209</f>
        <v>0</v>
      </c>
      <c r="J209" s="132">
        <f>C206</f>
        <v>5000</v>
      </c>
      <c r="K209" s="125" t="e">
        <f>'Rate Schedule '!#REF!</f>
        <v>#REF!</v>
      </c>
      <c r="L209" s="145" t="e">
        <f>J209*K209</f>
        <v>#REF!</v>
      </c>
      <c r="M209" s="155" t="e">
        <f t="shared" si="28"/>
        <v>#REF!</v>
      </c>
      <c r="N209" s="149">
        <v>0</v>
      </c>
      <c r="O209" s="156" t="e">
        <f>L209/L219</f>
        <v>#REF!</v>
      </c>
      <c r="P209" s="95"/>
    </row>
    <row r="210" spans="1:16" ht="18" customHeight="1" thickBot="1" x14ac:dyDescent="0.25">
      <c r="A210" s="95"/>
      <c r="B210" s="24"/>
      <c r="C210" s="25"/>
      <c r="D210" s="25"/>
      <c r="E210" s="25"/>
      <c r="F210" s="130" t="s">
        <v>114</v>
      </c>
      <c r="G210" s="157">
        <f>+C206</f>
        <v>5000</v>
      </c>
      <c r="H210" s="158" t="e">
        <f>'2012 Existing Rates'!#REF!</f>
        <v>#REF!</v>
      </c>
      <c r="I210" s="159" t="e">
        <f>+G210*H210</f>
        <v>#REF!</v>
      </c>
      <c r="J210" s="157">
        <f>+C206</f>
        <v>5000</v>
      </c>
      <c r="K210" s="158" t="e">
        <f>'Rate Schedule '!#REF!</f>
        <v>#REF!</v>
      </c>
      <c r="L210" s="159" t="e">
        <f>+J210*K210</f>
        <v>#REF!</v>
      </c>
      <c r="M210" s="155" t="e">
        <f t="shared" si="28"/>
        <v>#REF!</v>
      </c>
      <c r="N210" s="149" t="e">
        <f t="shared" ref="N210:N219" si="29">+M210/I210</f>
        <v>#REF!</v>
      </c>
      <c r="O210" s="156" t="e">
        <f>L210/L219</f>
        <v>#REF!</v>
      </c>
      <c r="P210" s="241"/>
    </row>
    <row r="211" spans="1:16" ht="18" customHeight="1" thickBot="1" x14ac:dyDescent="0.25">
      <c r="A211" s="95"/>
      <c r="F211" s="279" t="s">
        <v>116</v>
      </c>
      <c r="G211" s="417"/>
      <c r="H211" s="418"/>
      <c r="I211" s="280" t="e">
        <f>SUM(I205:I210)</f>
        <v>#REF!</v>
      </c>
      <c r="J211" s="417"/>
      <c r="K211" s="418"/>
      <c r="L211" s="280" t="e">
        <f>SUM(L205:L210)</f>
        <v>#REF!</v>
      </c>
      <c r="M211" s="283" t="e">
        <f>SUM(M205:M210)</f>
        <v>#REF!</v>
      </c>
      <c r="N211" s="284" t="e">
        <f t="shared" si="29"/>
        <v>#REF!</v>
      </c>
      <c r="O211" s="285" t="e">
        <f>L211/L219</f>
        <v>#REF!</v>
      </c>
      <c r="P211" s="241"/>
    </row>
    <row r="212" spans="1:16" ht="18" customHeight="1" thickBot="1" x14ac:dyDescent="0.25">
      <c r="A212" s="95"/>
      <c r="F212" s="129" t="s">
        <v>117</v>
      </c>
      <c r="G212" s="233" t="e">
        <f>C206*#REF!</f>
        <v>#REF!</v>
      </c>
      <c r="H212" s="234" t="e">
        <f>#REF!</f>
        <v>#REF!</v>
      </c>
      <c r="I212" s="141" t="e">
        <f>+G212*H212</f>
        <v>#REF!</v>
      </c>
      <c r="J212" s="233" t="e">
        <f>'BILL IMPACTS'!C206*#REF!</f>
        <v>#REF!</v>
      </c>
      <c r="K212" s="234" t="e">
        <f>#REF!</f>
        <v>#REF!</v>
      </c>
      <c r="L212" s="141" t="e">
        <f>+J212*K212</f>
        <v>#REF!</v>
      </c>
      <c r="M212" s="235" t="e">
        <f t="shared" ref="M212:M218" si="30">+L212-I212</f>
        <v>#REF!</v>
      </c>
      <c r="N212" s="153" t="e">
        <f t="shared" si="29"/>
        <v>#REF!</v>
      </c>
      <c r="O212" s="154" t="e">
        <f>L212/L219</f>
        <v>#REF!</v>
      </c>
      <c r="P212" s="241"/>
    </row>
    <row r="213" spans="1:16" ht="18" customHeight="1" thickBot="1" x14ac:dyDescent="0.25">
      <c r="A213" s="95"/>
      <c r="F213" s="279" t="s">
        <v>118</v>
      </c>
      <c r="G213" s="417"/>
      <c r="H213" s="418"/>
      <c r="I213" s="280" t="e">
        <f>I211+I212</f>
        <v>#REF!</v>
      </c>
      <c r="J213" s="417"/>
      <c r="K213" s="418"/>
      <c r="L213" s="280" t="e">
        <f>L211+L212</f>
        <v>#REF!</v>
      </c>
      <c r="M213" s="283" t="e">
        <f t="shared" si="30"/>
        <v>#REF!</v>
      </c>
      <c r="N213" s="284" t="e">
        <f t="shared" si="29"/>
        <v>#REF!</v>
      </c>
      <c r="O213" s="286" t="e">
        <f>L213/L219</f>
        <v>#REF!</v>
      </c>
      <c r="P213" s="241"/>
    </row>
    <row r="214" spans="1:16" ht="18" customHeight="1" x14ac:dyDescent="0.2">
      <c r="A214" s="95"/>
      <c r="F214" s="131" t="s">
        <v>47</v>
      </c>
      <c r="G214" s="133" t="e">
        <f>+#REF!*C206</f>
        <v>#REF!</v>
      </c>
      <c r="H214" s="134" t="e">
        <f>#REF!+#REF!</f>
        <v>#REF!</v>
      </c>
      <c r="I214" s="135" t="e">
        <f>+G214*H214</f>
        <v>#REF!</v>
      </c>
      <c r="J214" s="133" t="e">
        <f>J212</f>
        <v>#REF!</v>
      </c>
      <c r="K214" s="134" t="e">
        <f>#REF!+#REF!</f>
        <v>#REF!</v>
      </c>
      <c r="L214" s="162" t="e">
        <f>+J214*K214</f>
        <v>#REF!</v>
      </c>
      <c r="M214" s="163" t="e">
        <f t="shared" si="30"/>
        <v>#REF!</v>
      </c>
      <c r="N214" s="164" t="e">
        <f t="shared" si="29"/>
        <v>#REF!</v>
      </c>
      <c r="O214" s="192" t="e">
        <f>L214/L219</f>
        <v>#REF!</v>
      </c>
      <c r="P214" s="241"/>
    </row>
    <row r="215" spans="1:16" ht="18" customHeight="1" x14ac:dyDescent="0.2">
      <c r="A215" s="95"/>
      <c r="B215" s="24"/>
      <c r="C215" s="25"/>
      <c r="D215" s="25"/>
      <c r="E215" s="25"/>
      <c r="F215" s="127" t="s">
        <v>48</v>
      </c>
      <c r="G215" s="133">
        <v>600</v>
      </c>
      <c r="H215" s="134" t="e">
        <f>#REF!</f>
        <v>#REF!</v>
      </c>
      <c r="I215" s="135" t="e">
        <f>+G215*H215</f>
        <v>#REF!</v>
      </c>
      <c r="J215" s="133">
        <v>600</v>
      </c>
      <c r="K215" s="134" t="e">
        <f>#REF!</f>
        <v>#REF!</v>
      </c>
      <c r="L215" s="162" t="e">
        <f>+J215*K215</f>
        <v>#REF!</v>
      </c>
      <c r="M215" s="163" t="e">
        <f t="shared" si="30"/>
        <v>#REF!</v>
      </c>
      <c r="N215" s="164" t="e">
        <f t="shared" si="29"/>
        <v>#REF!</v>
      </c>
      <c r="O215" s="165" t="e">
        <f>L215/L219</f>
        <v>#REF!</v>
      </c>
      <c r="P215" s="241"/>
    </row>
    <row r="216" spans="1:16" ht="18" customHeight="1" thickBot="1" x14ac:dyDescent="0.25">
      <c r="B216" s="102"/>
      <c r="C216" s="25"/>
      <c r="D216" s="25"/>
      <c r="E216" s="25"/>
      <c r="F216" s="127" t="s">
        <v>48</v>
      </c>
      <c r="G216" s="133" t="e">
        <f>G214-G215</f>
        <v>#REF!</v>
      </c>
      <c r="H216" s="134" t="e">
        <f>#REF!</f>
        <v>#REF!</v>
      </c>
      <c r="I216" s="135" t="e">
        <f>+G216*H216</f>
        <v>#REF!</v>
      </c>
      <c r="J216" s="133" t="e">
        <f>J214-J215</f>
        <v>#REF!</v>
      </c>
      <c r="K216" s="134" t="e">
        <f>#REF!</f>
        <v>#REF!</v>
      </c>
      <c r="L216" s="162" t="e">
        <f>+J216*K216</f>
        <v>#REF!</v>
      </c>
      <c r="M216" s="163" t="e">
        <f t="shared" si="30"/>
        <v>#REF!</v>
      </c>
      <c r="N216" s="164" t="e">
        <f t="shared" si="29"/>
        <v>#REF!</v>
      </c>
      <c r="O216" s="165" t="e">
        <f>L216/L219</f>
        <v>#REF!</v>
      </c>
      <c r="P216" s="95"/>
    </row>
    <row r="217" spans="1:16" ht="18" customHeight="1" thickBot="1" x14ac:dyDescent="0.25">
      <c r="B217" s="102"/>
      <c r="C217" s="25"/>
      <c r="D217" s="25"/>
      <c r="E217" s="25"/>
      <c r="F217" s="279" t="s">
        <v>97</v>
      </c>
      <c r="G217" s="417"/>
      <c r="H217" s="418"/>
      <c r="I217" s="280" t="e">
        <f>SUM(I213:I216)</f>
        <v>#REF!</v>
      </c>
      <c r="J217" s="417"/>
      <c r="K217" s="418"/>
      <c r="L217" s="280" t="e">
        <f>SUM(L213:L216)</f>
        <v>#REF!</v>
      </c>
      <c r="M217" s="291" t="e">
        <f t="shared" si="30"/>
        <v>#REF!</v>
      </c>
      <c r="N217" s="284" t="e">
        <f t="shared" si="29"/>
        <v>#REF!</v>
      </c>
      <c r="O217" s="286" t="e">
        <f>L217/L219</f>
        <v>#REF!</v>
      </c>
      <c r="P217" s="95"/>
    </row>
    <row r="218" spans="1:16" ht="18" customHeight="1" thickBot="1" x14ac:dyDescent="0.25">
      <c r="B218" s="102"/>
      <c r="C218" s="25"/>
      <c r="D218" s="25"/>
      <c r="E218" s="25"/>
      <c r="F218" s="188" t="s">
        <v>170</v>
      </c>
      <c r="G218" s="189"/>
      <c r="H218" s="193">
        <v>0.13</v>
      </c>
      <c r="I218" s="190" t="e">
        <f>I217*H218</f>
        <v>#REF!</v>
      </c>
      <c r="J218" s="189"/>
      <c r="K218" s="193">
        <v>0.13</v>
      </c>
      <c r="L218" s="191" t="e">
        <f>L217*K218</f>
        <v>#REF!</v>
      </c>
      <c r="M218" s="160" t="e">
        <f t="shared" si="30"/>
        <v>#REF!</v>
      </c>
      <c r="N218" s="161" t="e">
        <f t="shared" si="29"/>
        <v>#REF!</v>
      </c>
      <c r="O218" s="166" t="e">
        <f>L218/L219</f>
        <v>#REF!</v>
      </c>
      <c r="P218" s="95"/>
    </row>
    <row r="219" spans="1:16" ht="18" customHeight="1" thickBot="1" x14ac:dyDescent="0.25">
      <c r="B219" s="102"/>
      <c r="C219" s="25"/>
      <c r="D219" s="25"/>
      <c r="E219" s="29"/>
      <c r="F219" s="289" t="s">
        <v>49</v>
      </c>
      <c r="G219" s="437"/>
      <c r="H219" s="438"/>
      <c r="I219" s="290" t="e">
        <f>I217+I218</f>
        <v>#REF!</v>
      </c>
      <c r="J219" s="437"/>
      <c r="K219" s="438"/>
      <c r="L219" s="290" t="e">
        <f>L217+L218</f>
        <v>#REF!</v>
      </c>
      <c r="M219" s="292" t="e">
        <f>M217+M218</f>
        <v>#REF!</v>
      </c>
      <c r="N219" s="284" t="e">
        <f t="shared" si="29"/>
        <v>#REF!</v>
      </c>
      <c r="O219" s="285" t="e">
        <f>SUM(O217:O218)</f>
        <v>#REF!</v>
      </c>
      <c r="P219" s="95"/>
    </row>
    <row r="220" spans="1:16" ht="18" customHeight="1" thickBot="1" x14ac:dyDescent="0.25">
      <c r="B220" s="96"/>
      <c r="C220" s="108"/>
      <c r="D220" s="108"/>
      <c r="E220" s="108"/>
      <c r="F220" s="109"/>
      <c r="G220" s="110"/>
      <c r="H220" s="111"/>
      <c r="I220" s="112"/>
      <c r="J220" s="110"/>
      <c r="K220" s="113"/>
      <c r="L220" s="112"/>
      <c r="M220" s="117"/>
      <c r="N220" s="115"/>
      <c r="O220" s="116"/>
      <c r="P220" s="97"/>
    </row>
    <row r="221" spans="1:16" ht="18" customHeight="1" thickBot="1" x14ac:dyDescent="0.25">
      <c r="B221" s="24"/>
      <c r="C221" s="25"/>
      <c r="D221" s="25"/>
      <c r="E221" s="25"/>
      <c r="F221" s="42"/>
      <c r="G221" s="43"/>
      <c r="H221" s="44"/>
      <c r="I221" s="45"/>
      <c r="J221" s="43"/>
      <c r="K221" s="46"/>
      <c r="L221" s="45"/>
      <c r="M221" s="107"/>
      <c r="N221" s="105"/>
      <c r="O221" s="106"/>
      <c r="P221" s="24"/>
    </row>
    <row r="222" spans="1:16" ht="18" customHeight="1" x14ac:dyDescent="0.35">
      <c r="B222" s="104"/>
      <c r="C222" s="420"/>
      <c r="D222" s="420"/>
      <c r="E222" s="420"/>
      <c r="F222" s="420"/>
      <c r="G222" s="420"/>
      <c r="H222" s="420"/>
      <c r="I222" s="420"/>
      <c r="J222" s="420"/>
      <c r="K222" s="420"/>
      <c r="L222" s="420"/>
      <c r="M222" s="420"/>
      <c r="N222" s="420"/>
      <c r="O222" s="420"/>
      <c r="P222" s="94"/>
    </row>
    <row r="223" spans="1:16" ht="23.25" x14ac:dyDescent="0.35">
      <c r="B223" s="102"/>
      <c r="C223" s="423" t="s">
        <v>65</v>
      </c>
      <c r="D223" s="423"/>
      <c r="E223" s="423"/>
      <c r="F223" s="423"/>
      <c r="G223" s="423"/>
      <c r="H223" s="423"/>
      <c r="I223" s="423"/>
      <c r="J223" s="423"/>
      <c r="K223" s="423"/>
      <c r="L223" s="423"/>
      <c r="M223" s="423"/>
      <c r="N223" s="423"/>
      <c r="O223" s="423"/>
      <c r="P223" s="95"/>
    </row>
    <row r="224" spans="1:16" ht="18" customHeight="1" thickBot="1" x14ac:dyDescent="0.4">
      <c r="B224" s="102"/>
      <c r="C224" s="424"/>
      <c r="D224" s="424"/>
      <c r="E224" s="424"/>
      <c r="F224" s="424"/>
      <c r="G224" s="424"/>
      <c r="H224" s="424"/>
      <c r="I224" s="424"/>
      <c r="J224" s="424"/>
      <c r="K224" s="424"/>
      <c r="L224" s="424"/>
      <c r="M224" s="424"/>
      <c r="N224" s="424"/>
      <c r="O224" s="424"/>
      <c r="P224" s="95"/>
    </row>
    <row r="225" spans="1:16" ht="18" customHeight="1" thickBot="1" x14ac:dyDescent="0.25">
      <c r="B225" s="102"/>
      <c r="C225" s="103"/>
      <c r="D225" s="103"/>
      <c r="E225" s="25"/>
      <c r="F225" s="30"/>
      <c r="G225" s="425" t="str">
        <f>$G$10</f>
        <v>2010 BILL</v>
      </c>
      <c r="H225" s="426"/>
      <c r="I225" s="427"/>
      <c r="J225" s="425" t="str">
        <f>$J$10</f>
        <v>2011 BILL</v>
      </c>
      <c r="K225" s="426"/>
      <c r="L225" s="427"/>
      <c r="M225" s="425" t="s">
        <v>43</v>
      </c>
      <c r="N225" s="426"/>
      <c r="O225" s="427"/>
      <c r="P225" s="95"/>
    </row>
    <row r="226" spans="1:16" ht="26.25" thickBot="1" x14ac:dyDescent="0.25">
      <c r="B226" s="102"/>
      <c r="C226" s="25"/>
      <c r="D226" s="25"/>
      <c r="E226" s="27"/>
      <c r="F226" s="31"/>
      <c r="G226" s="118" t="s">
        <v>37</v>
      </c>
      <c r="H226" s="119" t="s">
        <v>38</v>
      </c>
      <c r="I226" s="120" t="s">
        <v>39</v>
      </c>
      <c r="J226" s="121" t="s">
        <v>37</v>
      </c>
      <c r="K226" s="119" t="s">
        <v>38</v>
      </c>
      <c r="L226" s="120" t="s">
        <v>39</v>
      </c>
      <c r="M226" s="122" t="s">
        <v>50</v>
      </c>
      <c r="N226" s="123" t="s">
        <v>51</v>
      </c>
      <c r="O226" s="124" t="s">
        <v>46</v>
      </c>
      <c r="P226" s="95"/>
    </row>
    <row r="227" spans="1:16" ht="18" customHeight="1" thickBot="1" x14ac:dyDescent="0.25">
      <c r="B227" s="102"/>
      <c r="C227" s="421" t="s">
        <v>40</v>
      </c>
      <c r="D227" s="422"/>
      <c r="E227" s="25"/>
      <c r="F227" s="128" t="s">
        <v>41</v>
      </c>
      <c r="G227" s="138"/>
      <c r="H227" s="139"/>
      <c r="I227" s="140">
        <f>'2012 Existing Rates'!$C$7</f>
        <v>24.681666666666665</v>
      </c>
      <c r="J227" s="138"/>
      <c r="K227" s="139"/>
      <c r="L227" s="143">
        <f>'Rate Schedule '!$E$15</f>
        <v>25.96</v>
      </c>
      <c r="M227" s="152">
        <f t="shared" ref="M227:M232" si="31">+L227-I227</f>
        <v>1.278333333333336</v>
      </c>
      <c r="N227" s="153">
        <f>+M227/I227</f>
        <v>5.1792828685259078E-2</v>
      </c>
      <c r="O227" s="154" t="e">
        <f>L227/L241</f>
        <v>#REF!</v>
      </c>
      <c r="P227" s="95"/>
    </row>
    <row r="228" spans="1:16" ht="18" customHeight="1" thickBot="1" x14ac:dyDescent="0.25">
      <c r="B228" s="102"/>
      <c r="C228" s="100">
        <v>10000</v>
      </c>
      <c r="D228" s="101" t="s">
        <v>12</v>
      </c>
      <c r="E228" s="25"/>
      <c r="F228" s="129" t="s">
        <v>42</v>
      </c>
      <c r="G228" s="132">
        <f>+C228</f>
        <v>10000</v>
      </c>
      <c r="H228" s="126">
        <f>'2012 Existing Rates'!$E$7</f>
        <v>1.2999999999999999E-2</v>
      </c>
      <c r="I228" s="141">
        <f>+G228*H228</f>
        <v>130</v>
      </c>
      <c r="J228" s="132">
        <f>+C228</f>
        <v>10000</v>
      </c>
      <c r="K228" s="125">
        <f>'Rate Schedule '!$E$16</f>
        <v>1.34E-2</v>
      </c>
      <c r="L228" s="145">
        <f>+J228*K228</f>
        <v>134</v>
      </c>
      <c r="M228" s="155">
        <f t="shared" si="31"/>
        <v>4</v>
      </c>
      <c r="N228" s="149">
        <f>+M228/I228</f>
        <v>3.0769230769230771E-2</v>
      </c>
      <c r="O228" s="156" t="e">
        <f>L228/L241</f>
        <v>#REF!</v>
      </c>
      <c r="P228" s="95"/>
    </row>
    <row r="229" spans="1:16" ht="18" customHeight="1" x14ac:dyDescent="0.2">
      <c r="B229" s="102"/>
      <c r="C229" s="54"/>
      <c r="D229" s="55"/>
      <c r="E229" s="25"/>
      <c r="F229" s="129" t="s">
        <v>115</v>
      </c>
      <c r="G229" s="132">
        <f>G228</f>
        <v>10000</v>
      </c>
      <c r="H229" s="126" t="e">
        <f>'2012 Existing Rates'!#REF!</f>
        <v>#REF!</v>
      </c>
      <c r="I229" s="141" t="e">
        <f>+G229*H229</f>
        <v>#REF!</v>
      </c>
      <c r="J229" s="132">
        <f>J228</f>
        <v>10000</v>
      </c>
      <c r="K229" s="125" t="e">
        <f>'Rate Schedule '!#REF!</f>
        <v>#REF!</v>
      </c>
      <c r="L229" s="145" t="e">
        <f>+J229*K229</f>
        <v>#REF!</v>
      </c>
      <c r="M229" s="155" t="e">
        <f t="shared" si="31"/>
        <v>#REF!</v>
      </c>
      <c r="N229" s="149" t="e">
        <f>+M229/I229</f>
        <v>#REF!</v>
      </c>
      <c r="O229" s="156" t="e">
        <f>L229/L241</f>
        <v>#REF!</v>
      </c>
      <c r="P229" s="95"/>
    </row>
    <row r="230" spans="1:16" ht="18" customHeight="1" x14ac:dyDescent="0.2">
      <c r="B230" s="102"/>
      <c r="C230" s="54"/>
      <c r="D230" s="55"/>
      <c r="E230" s="25"/>
      <c r="F230" s="129" t="s">
        <v>79</v>
      </c>
      <c r="G230" s="151"/>
      <c r="H230" s="150"/>
      <c r="I230" s="141" t="e">
        <f>'2012 Existing Rates'!#REF!</f>
        <v>#REF!</v>
      </c>
      <c r="J230" s="151"/>
      <c r="K230" s="150"/>
      <c r="L230" s="145" t="e">
        <f>'Rate Schedule '!#REF!</f>
        <v>#REF!</v>
      </c>
      <c r="M230" s="155" t="e">
        <f t="shared" si="31"/>
        <v>#REF!</v>
      </c>
      <c r="N230" s="149" t="e">
        <f>+M230/I230</f>
        <v>#REF!</v>
      </c>
      <c r="O230" s="156" t="e">
        <f>L230/L241</f>
        <v>#REF!</v>
      </c>
      <c r="P230" s="95"/>
    </row>
    <row r="231" spans="1:16" ht="18" customHeight="1" x14ac:dyDescent="0.2">
      <c r="A231" s="95"/>
      <c r="B231" s="24"/>
      <c r="C231" s="25"/>
      <c r="D231" s="25"/>
      <c r="E231" s="25"/>
      <c r="F231" s="129" t="s">
        <v>78</v>
      </c>
      <c r="G231" s="132">
        <f>C228</f>
        <v>10000</v>
      </c>
      <c r="H231" s="126"/>
      <c r="I231" s="137">
        <f>+G231*H231</f>
        <v>0</v>
      </c>
      <c r="J231" s="132">
        <f>C228</f>
        <v>10000</v>
      </c>
      <c r="K231" s="125" t="e">
        <f>'Rate Schedule '!#REF!</f>
        <v>#REF!</v>
      </c>
      <c r="L231" s="145" t="e">
        <f>J231*K231</f>
        <v>#REF!</v>
      </c>
      <c r="M231" s="155" t="e">
        <f t="shared" si="31"/>
        <v>#REF!</v>
      </c>
      <c r="N231" s="149">
        <v>0</v>
      </c>
      <c r="O231" s="156" t="e">
        <f>L231/L241</f>
        <v>#REF!</v>
      </c>
      <c r="P231" s="95"/>
    </row>
    <row r="232" spans="1:16" ht="18" customHeight="1" thickBot="1" x14ac:dyDescent="0.25">
      <c r="A232" s="95"/>
      <c r="B232" s="24"/>
      <c r="C232" s="25"/>
      <c r="D232" s="25"/>
      <c r="E232" s="25"/>
      <c r="F232" s="130" t="s">
        <v>114</v>
      </c>
      <c r="G232" s="157">
        <f>+C228</f>
        <v>10000</v>
      </c>
      <c r="H232" s="158" t="e">
        <f>'2012 Existing Rates'!#REF!</f>
        <v>#REF!</v>
      </c>
      <c r="I232" s="159" t="e">
        <f>+G232*H232</f>
        <v>#REF!</v>
      </c>
      <c r="J232" s="157">
        <f>+C228</f>
        <v>10000</v>
      </c>
      <c r="K232" s="158" t="e">
        <f>'Rate Schedule '!#REF!</f>
        <v>#REF!</v>
      </c>
      <c r="L232" s="159" t="e">
        <f>+J232*K232</f>
        <v>#REF!</v>
      </c>
      <c r="M232" s="155" t="e">
        <f t="shared" si="31"/>
        <v>#REF!</v>
      </c>
      <c r="N232" s="149" t="e">
        <f t="shared" ref="N232:N241" si="32">+M232/I232</f>
        <v>#REF!</v>
      </c>
      <c r="O232" s="156" t="e">
        <f>L232/L241</f>
        <v>#REF!</v>
      </c>
      <c r="P232" s="241"/>
    </row>
    <row r="233" spans="1:16" ht="18" customHeight="1" thickBot="1" x14ac:dyDescent="0.25">
      <c r="A233" s="95"/>
      <c r="F233" s="279" t="s">
        <v>116</v>
      </c>
      <c r="G233" s="417"/>
      <c r="H233" s="418"/>
      <c r="I233" s="280" t="e">
        <f>SUM(I227:I232)</f>
        <v>#REF!</v>
      </c>
      <c r="J233" s="417"/>
      <c r="K233" s="418"/>
      <c r="L233" s="280" t="e">
        <f>SUM(L227:L232)</f>
        <v>#REF!</v>
      </c>
      <c r="M233" s="283" t="e">
        <f>SUM(M227:M232)</f>
        <v>#REF!</v>
      </c>
      <c r="N233" s="284" t="e">
        <f t="shared" si="32"/>
        <v>#REF!</v>
      </c>
      <c r="O233" s="285" t="e">
        <f>L233/L241</f>
        <v>#REF!</v>
      </c>
      <c r="P233" s="241"/>
    </row>
    <row r="234" spans="1:16" ht="18" customHeight="1" thickBot="1" x14ac:dyDescent="0.25">
      <c r="A234" s="95"/>
      <c r="F234" s="129" t="s">
        <v>117</v>
      </c>
      <c r="G234" s="233" t="e">
        <f>C228*#REF!</f>
        <v>#REF!</v>
      </c>
      <c r="H234" s="234" t="e">
        <f>#REF!</f>
        <v>#REF!</v>
      </c>
      <c r="I234" s="141" t="e">
        <f>+G234*H234</f>
        <v>#REF!</v>
      </c>
      <c r="J234" s="233" t="e">
        <f>'BILL IMPACTS'!C228*#REF!</f>
        <v>#REF!</v>
      </c>
      <c r="K234" s="234" t="e">
        <f>#REF!</f>
        <v>#REF!</v>
      </c>
      <c r="L234" s="141" t="e">
        <f>+J234*K234</f>
        <v>#REF!</v>
      </c>
      <c r="M234" s="235" t="e">
        <f t="shared" ref="M234:M240" si="33">+L234-I234</f>
        <v>#REF!</v>
      </c>
      <c r="N234" s="153" t="e">
        <f t="shared" si="32"/>
        <v>#REF!</v>
      </c>
      <c r="O234" s="154" t="e">
        <f>L234/L241</f>
        <v>#REF!</v>
      </c>
      <c r="P234" s="241"/>
    </row>
    <row r="235" spans="1:16" ht="18" customHeight="1" thickBot="1" x14ac:dyDescent="0.25">
      <c r="A235" s="95"/>
      <c r="F235" s="279" t="s">
        <v>118</v>
      </c>
      <c r="G235" s="417"/>
      <c r="H235" s="418"/>
      <c r="I235" s="280" t="e">
        <f>I233+I234</f>
        <v>#REF!</v>
      </c>
      <c r="J235" s="417"/>
      <c r="K235" s="418"/>
      <c r="L235" s="280" t="e">
        <f>L233+L234</f>
        <v>#REF!</v>
      </c>
      <c r="M235" s="283" t="e">
        <f t="shared" si="33"/>
        <v>#REF!</v>
      </c>
      <c r="N235" s="284" t="e">
        <f t="shared" si="32"/>
        <v>#REF!</v>
      </c>
      <c r="O235" s="286" t="e">
        <f>L235/L241</f>
        <v>#REF!</v>
      </c>
      <c r="P235" s="241"/>
    </row>
    <row r="236" spans="1:16" ht="18" customHeight="1" x14ac:dyDescent="0.2">
      <c r="A236" s="95"/>
      <c r="F236" s="131" t="s">
        <v>47</v>
      </c>
      <c r="G236" s="133" t="e">
        <f>+#REF!*C228</f>
        <v>#REF!</v>
      </c>
      <c r="H236" s="134" t="e">
        <f>#REF!+#REF!</f>
        <v>#REF!</v>
      </c>
      <c r="I236" s="135" t="e">
        <f>+G236*H236</f>
        <v>#REF!</v>
      </c>
      <c r="J236" s="133" t="e">
        <f>J234</f>
        <v>#REF!</v>
      </c>
      <c r="K236" s="134" t="e">
        <f>#REF!+#REF!</f>
        <v>#REF!</v>
      </c>
      <c r="L236" s="162" t="e">
        <f>+J236*K236</f>
        <v>#REF!</v>
      </c>
      <c r="M236" s="163" t="e">
        <f t="shared" si="33"/>
        <v>#REF!</v>
      </c>
      <c r="N236" s="164" t="e">
        <f t="shared" si="32"/>
        <v>#REF!</v>
      </c>
      <c r="O236" s="192" t="e">
        <f>L236/L241</f>
        <v>#REF!</v>
      </c>
      <c r="P236" s="241"/>
    </row>
    <row r="237" spans="1:16" ht="18" customHeight="1" x14ac:dyDescent="0.2">
      <c r="A237" s="95"/>
      <c r="B237" s="24"/>
      <c r="C237" s="25"/>
      <c r="D237" s="25"/>
      <c r="E237" s="25"/>
      <c r="F237" s="127" t="s">
        <v>48</v>
      </c>
      <c r="G237" s="133">
        <v>600</v>
      </c>
      <c r="H237" s="134" t="e">
        <f>#REF!</f>
        <v>#REF!</v>
      </c>
      <c r="I237" s="135" t="e">
        <f>+G237*H237</f>
        <v>#REF!</v>
      </c>
      <c r="J237" s="133">
        <v>600</v>
      </c>
      <c r="K237" s="134" t="e">
        <f>#REF!</f>
        <v>#REF!</v>
      </c>
      <c r="L237" s="162" t="e">
        <f>+J237*K237</f>
        <v>#REF!</v>
      </c>
      <c r="M237" s="163" t="e">
        <f t="shared" si="33"/>
        <v>#REF!</v>
      </c>
      <c r="N237" s="164" t="e">
        <f t="shared" si="32"/>
        <v>#REF!</v>
      </c>
      <c r="O237" s="165" t="e">
        <f>L237/L241</f>
        <v>#REF!</v>
      </c>
      <c r="P237" s="241"/>
    </row>
    <row r="238" spans="1:16" ht="18" customHeight="1" thickBot="1" x14ac:dyDescent="0.25">
      <c r="A238" s="95"/>
      <c r="B238" s="24"/>
      <c r="C238" s="25"/>
      <c r="D238" s="25"/>
      <c r="E238" s="25"/>
      <c r="F238" s="127" t="s">
        <v>48</v>
      </c>
      <c r="G238" s="133" t="e">
        <f>G236-G237</f>
        <v>#REF!</v>
      </c>
      <c r="H238" s="134" t="e">
        <f>#REF!</f>
        <v>#REF!</v>
      </c>
      <c r="I238" s="135" t="e">
        <f>+G238*H238</f>
        <v>#REF!</v>
      </c>
      <c r="J238" s="133" t="e">
        <f>J236-J237</f>
        <v>#REF!</v>
      </c>
      <c r="K238" s="134" t="e">
        <f>#REF!</f>
        <v>#REF!</v>
      </c>
      <c r="L238" s="162" t="e">
        <f>+J238*K238</f>
        <v>#REF!</v>
      </c>
      <c r="M238" s="163" t="e">
        <f t="shared" si="33"/>
        <v>#REF!</v>
      </c>
      <c r="N238" s="164" t="e">
        <f t="shared" si="32"/>
        <v>#REF!</v>
      </c>
      <c r="O238" s="165" t="e">
        <f>L238/L241</f>
        <v>#REF!</v>
      </c>
      <c r="P238" s="95"/>
    </row>
    <row r="239" spans="1:16" ht="18" customHeight="1" thickBot="1" x14ac:dyDescent="0.25">
      <c r="B239" s="102"/>
      <c r="C239" s="25"/>
      <c r="D239" s="25"/>
      <c r="E239" s="25"/>
      <c r="F239" s="279" t="s">
        <v>97</v>
      </c>
      <c r="G239" s="417"/>
      <c r="H239" s="418"/>
      <c r="I239" s="280" t="e">
        <f>SUM(I235:I238)</f>
        <v>#REF!</v>
      </c>
      <c r="J239" s="417"/>
      <c r="K239" s="418"/>
      <c r="L239" s="280" t="e">
        <f>SUM(L235:L238)</f>
        <v>#REF!</v>
      </c>
      <c r="M239" s="291" t="e">
        <f t="shared" si="33"/>
        <v>#REF!</v>
      </c>
      <c r="N239" s="284" t="e">
        <f t="shared" si="32"/>
        <v>#REF!</v>
      </c>
      <c r="O239" s="286" t="e">
        <f>L239/L241</f>
        <v>#REF!</v>
      </c>
      <c r="P239" s="95"/>
    </row>
    <row r="240" spans="1:16" ht="18" customHeight="1" thickBot="1" x14ac:dyDescent="0.25">
      <c r="B240" s="102"/>
      <c r="C240" s="25"/>
      <c r="D240" s="25"/>
      <c r="E240" s="25"/>
      <c r="F240" s="188" t="s">
        <v>170</v>
      </c>
      <c r="G240" s="189"/>
      <c r="H240" s="193">
        <v>0.13</v>
      </c>
      <c r="I240" s="190" t="e">
        <f>I239*H240</f>
        <v>#REF!</v>
      </c>
      <c r="J240" s="189"/>
      <c r="K240" s="193">
        <v>0.13</v>
      </c>
      <c r="L240" s="191" t="e">
        <f>L239*K240</f>
        <v>#REF!</v>
      </c>
      <c r="M240" s="160" t="e">
        <f t="shared" si="33"/>
        <v>#REF!</v>
      </c>
      <c r="N240" s="161" t="e">
        <f t="shared" si="32"/>
        <v>#REF!</v>
      </c>
      <c r="O240" s="166" t="e">
        <f>L240/L241</f>
        <v>#REF!</v>
      </c>
      <c r="P240" s="95"/>
    </row>
    <row r="241" spans="1:16" ht="18" customHeight="1" thickBot="1" x14ac:dyDescent="0.25">
      <c r="B241" s="102"/>
      <c r="C241" s="25"/>
      <c r="D241" s="25"/>
      <c r="E241" s="29"/>
      <c r="F241" s="289" t="s">
        <v>49</v>
      </c>
      <c r="G241" s="437"/>
      <c r="H241" s="438"/>
      <c r="I241" s="290" t="e">
        <f>I239+I240</f>
        <v>#REF!</v>
      </c>
      <c r="J241" s="437"/>
      <c r="K241" s="438"/>
      <c r="L241" s="290" t="e">
        <f>L239+L240</f>
        <v>#REF!</v>
      </c>
      <c r="M241" s="292" t="e">
        <f>M239+M240</f>
        <v>#REF!</v>
      </c>
      <c r="N241" s="284" t="e">
        <f t="shared" si="32"/>
        <v>#REF!</v>
      </c>
      <c r="O241" s="285" t="e">
        <f>SUM(O239:O240)</f>
        <v>#REF!</v>
      </c>
      <c r="P241" s="95"/>
    </row>
    <row r="242" spans="1:16" ht="18" customHeight="1" thickBot="1" x14ac:dyDescent="0.25">
      <c r="B242" s="96"/>
      <c r="C242" s="108"/>
      <c r="D242" s="108"/>
      <c r="E242" s="108"/>
      <c r="F242" s="109"/>
      <c r="G242" s="110"/>
      <c r="H242" s="111"/>
      <c r="I242" s="112"/>
      <c r="J242" s="110"/>
      <c r="K242" s="113"/>
      <c r="L242" s="112"/>
      <c r="M242" s="117"/>
      <c r="N242" s="115"/>
      <c r="O242" s="116"/>
      <c r="P242" s="97"/>
    </row>
    <row r="243" spans="1:16" ht="18" customHeight="1" thickBot="1" x14ac:dyDescent="0.25"/>
    <row r="244" spans="1:16" ht="18" customHeight="1" x14ac:dyDescent="0.35">
      <c r="B244" s="104"/>
      <c r="C244" s="420"/>
      <c r="D244" s="420"/>
      <c r="E244" s="420"/>
      <c r="F244" s="420"/>
      <c r="G244" s="420"/>
      <c r="H244" s="420"/>
      <c r="I244" s="420"/>
      <c r="J244" s="420"/>
      <c r="K244" s="420"/>
      <c r="L244" s="420"/>
      <c r="M244" s="420"/>
      <c r="N244" s="420"/>
      <c r="O244" s="420"/>
      <c r="P244" s="94"/>
    </row>
    <row r="245" spans="1:16" ht="23.25" x14ac:dyDescent="0.35">
      <c r="B245" s="102"/>
      <c r="C245" s="423" t="s">
        <v>65</v>
      </c>
      <c r="D245" s="423"/>
      <c r="E245" s="423"/>
      <c r="F245" s="423"/>
      <c r="G245" s="423"/>
      <c r="H245" s="423"/>
      <c r="I245" s="423"/>
      <c r="J245" s="423"/>
      <c r="K245" s="423"/>
      <c r="L245" s="423"/>
      <c r="M245" s="423"/>
      <c r="N245" s="423"/>
      <c r="O245" s="423"/>
      <c r="P245" s="95"/>
    </row>
    <row r="246" spans="1:16" ht="18" customHeight="1" thickBot="1" x14ac:dyDescent="0.4">
      <c r="B246" s="102"/>
      <c r="C246" s="424"/>
      <c r="D246" s="424"/>
      <c r="E246" s="424"/>
      <c r="F246" s="424"/>
      <c r="G246" s="424"/>
      <c r="H246" s="424"/>
      <c r="I246" s="424"/>
      <c r="J246" s="424"/>
      <c r="K246" s="424"/>
      <c r="L246" s="424"/>
      <c r="M246" s="424"/>
      <c r="N246" s="424"/>
      <c r="O246" s="424"/>
      <c r="P246" s="95"/>
    </row>
    <row r="247" spans="1:16" ht="18" customHeight="1" thickBot="1" x14ac:dyDescent="0.25">
      <c r="B247" s="102"/>
      <c r="C247" s="103"/>
      <c r="D247" s="103"/>
      <c r="E247" s="25"/>
      <c r="F247" s="30"/>
      <c r="G247" s="425" t="str">
        <f>$G$10</f>
        <v>2010 BILL</v>
      </c>
      <c r="H247" s="426"/>
      <c r="I247" s="427"/>
      <c r="J247" s="425" t="str">
        <f>$J$10</f>
        <v>2011 BILL</v>
      </c>
      <c r="K247" s="426"/>
      <c r="L247" s="427"/>
      <c r="M247" s="425" t="s">
        <v>43</v>
      </c>
      <c r="N247" s="426"/>
      <c r="O247" s="427"/>
      <c r="P247" s="95"/>
    </row>
    <row r="248" spans="1:16" ht="26.25" thickBot="1" x14ac:dyDescent="0.25">
      <c r="B248" s="102"/>
      <c r="C248" s="25"/>
      <c r="D248" s="25"/>
      <c r="E248" s="27"/>
      <c r="F248" s="31"/>
      <c r="G248" s="118" t="s">
        <v>37</v>
      </c>
      <c r="H248" s="119" t="s">
        <v>38</v>
      </c>
      <c r="I248" s="120" t="s">
        <v>39</v>
      </c>
      <c r="J248" s="121" t="s">
        <v>37</v>
      </c>
      <c r="K248" s="119" t="s">
        <v>38</v>
      </c>
      <c r="L248" s="120" t="s">
        <v>39</v>
      </c>
      <c r="M248" s="122" t="s">
        <v>50</v>
      </c>
      <c r="N248" s="123" t="s">
        <v>51</v>
      </c>
      <c r="O248" s="124" t="s">
        <v>46</v>
      </c>
      <c r="P248" s="95"/>
    </row>
    <row r="249" spans="1:16" ht="18" customHeight="1" thickBot="1" x14ac:dyDescent="0.25">
      <c r="B249" s="102"/>
      <c r="C249" s="421" t="s">
        <v>40</v>
      </c>
      <c r="D249" s="422"/>
      <c r="E249" s="25"/>
      <c r="F249" s="128" t="s">
        <v>41</v>
      </c>
      <c r="G249" s="138"/>
      <c r="H249" s="139"/>
      <c r="I249" s="140">
        <f>'2012 Existing Rates'!$C$7</f>
        <v>24.681666666666665</v>
      </c>
      <c r="J249" s="138"/>
      <c r="K249" s="139"/>
      <c r="L249" s="143">
        <f>'Rate Schedule '!$E$15</f>
        <v>25.96</v>
      </c>
      <c r="M249" s="152">
        <f t="shared" ref="M249:M254" si="34">+L249-I249</f>
        <v>1.278333333333336</v>
      </c>
      <c r="N249" s="153">
        <f>+M249/I249</f>
        <v>5.1792828685259078E-2</v>
      </c>
      <c r="O249" s="154" t="e">
        <f>L249/L263</f>
        <v>#REF!</v>
      </c>
      <c r="P249" s="95"/>
    </row>
    <row r="250" spans="1:16" ht="18" customHeight="1" thickBot="1" x14ac:dyDescent="0.25">
      <c r="B250" s="102"/>
      <c r="C250" s="100">
        <v>15000</v>
      </c>
      <c r="D250" s="101" t="s">
        <v>12</v>
      </c>
      <c r="E250" s="25"/>
      <c r="F250" s="129" t="s">
        <v>42</v>
      </c>
      <c r="G250" s="132">
        <f>+C250</f>
        <v>15000</v>
      </c>
      <c r="H250" s="126">
        <f>'2012 Existing Rates'!$E$7</f>
        <v>1.2999999999999999E-2</v>
      </c>
      <c r="I250" s="141">
        <f>+G250*H250</f>
        <v>195</v>
      </c>
      <c r="J250" s="132">
        <f>+C250</f>
        <v>15000</v>
      </c>
      <c r="K250" s="125">
        <f>'Rate Schedule '!$E$16</f>
        <v>1.34E-2</v>
      </c>
      <c r="L250" s="145">
        <f>+J250*K250</f>
        <v>201</v>
      </c>
      <c r="M250" s="155">
        <f t="shared" si="34"/>
        <v>6</v>
      </c>
      <c r="N250" s="149">
        <f>+M250/I250</f>
        <v>3.0769230769230771E-2</v>
      </c>
      <c r="O250" s="156" t="e">
        <f>L250/L263</f>
        <v>#REF!</v>
      </c>
      <c r="P250" s="95"/>
    </row>
    <row r="251" spans="1:16" ht="18" customHeight="1" x14ac:dyDescent="0.2">
      <c r="B251" s="102"/>
      <c r="C251" s="54"/>
      <c r="D251" s="55"/>
      <c r="E251" s="25"/>
      <c r="F251" s="129" t="s">
        <v>115</v>
      </c>
      <c r="G251" s="132">
        <f>G250</f>
        <v>15000</v>
      </c>
      <c r="H251" s="126" t="e">
        <f>'2012 Existing Rates'!#REF!</f>
        <v>#REF!</v>
      </c>
      <c r="I251" s="141" t="e">
        <f>+G251*H251</f>
        <v>#REF!</v>
      </c>
      <c r="J251" s="132">
        <f>J250</f>
        <v>15000</v>
      </c>
      <c r="K251" s="125" t="e">
        <f>'Rate Schedule '!#REF!</f>
        <v>#REF!</v>
      </c>
      <c r="L251" s="145" t="e">
        <f>+J251*K251</f>
        <v>#REF!</v>
      </c>
      <c r="M251" s="155" t="e">
        <f t="shared" si="34"/>
        <v>#REF!</v>
      </c>
      <c r="N251" s="149" t="e">
        <f>+M251/I251</f>
        <v>#REF!</v>
      </c>
      <c r="O251" s="156" t="e">
        <f>L251/L263</f>
        <v>#REF!</v>
      </c>
      <c r="P251" s="95"/>
    </row>
    <row r="252" spans="1:16" ht="18" customHeight="1" x14ac:dyDescent="0.2">
      <c r="A252" s="95"/>
      <c r="B252" s="24"/>
      <c r="C252" s="54"/>
      <c r="D252" s="55"/>
      <c r="E252" s="25"/>
      <c r="F252" s="129" t="s">
        <v>79</v>
      </c>
      <c r="G252" s="151"/>
      <c r="H252" s="150"/>
      <c r="I252" s="141" t="e">
        <f>'2012 Existing Rates'!#REF!</f>
        <v>#REF!</v>
      </c>
      <c r="J252" s="151"/>
      <c r="K252" s="150"/>
      <c r="L252" s="145" t="e">
        <f>'Rate Schedule '!#REF!</f>
        <v>#REF!</v>
      </c>
      <c r="M252" s="155" t="e">
        <f t="shared" si="34"/>
        <v>#REF!</v>
      </c>
      <c r="N252" s="149" t="e">
        <f>+M252/I252</f>
        <v>#REF!</v>
      </c>
      <c r="O252" s="156" t="e">
        <f>L252/L263</f>
        <v>#REF!</v>
      </c>
      <c r="P252" s="95"/>
    </row>
    <row r="253" spans="1:16" ht="18" customHeight="1" x14ac:dyDescent="0.2">
      <c r="A253" s="95"/>
      <c r="B253" s="24"/>
      <c r="C253" s="25"/>
      <c r="D253" s="25"/>
      <c r="E253" s="25"/>
      <c r="F253" s="129" t="s">
        <v>78</v>
      </c>
      <c r="G253" s="132">
        <f>C250</f>
        <v>15000</v>
      </c>
      <c r="H253" s="126"/>
      <c r="I253" s="137">
        <f>+G253*H253</f>
        <v>0</v>
      </c>
      <c r="J253" s="132">
        <f>C250</f>
        <v>15000</v>
      </c>
      <c r="K253" s="125" t="e">
        <f>'Rate Schedule '!#REF!</f>
        <v>#REF!</v>
      </c>
      <c r="L253" s="145" t="e">
        <f>J253*K253</f>
        <v>#REF!</v>
      </c>
      <c r="M253" s="155" t="e">
        <f t="shared" si="34"/>
        <v>#REF!</v>
      </c>
      <c r="N253" s="149">
        <v>0</v>
      </c>
      <c r="O253" s="156" t="e">
        <f>L253/L263</f>
        <v>#REF!</v>
      </c>
      <c r="P253" s="95"/>
    </row>
    <row r="254" spans="1:16" ht="18" customHeight="1" thickBot="1" x14ac:dyDescent="0.25">
      <c r="A254" s="95"/>
      <c r="B254" s="24"/>
      <c r="C254" s="25"/>
      <c r="D254" s="25"/>
      <c r="E254" s="25"/>
      <c r="F254" s="130" t="s">
        <v>114</v>
      </c>
      <c r="G254" s="157">
        <f>+C250</f>
        <v>15000</v>
      </c>
      <c r="H254" s="158" t="e">
        <f>'2012 Existing Rates'!#REF!</f>
        <v>#REF!</v>
      </c>
      <c r="I254" s="159" t="e">
        <f>+G254*H254</f>
        <v>#REF!</v>
      </c>
      <c r="J254" s="157">
        <f>+C250</f>
        <v>15000</v>
      </c>
      <c r="K254" s="158" t="e">
        <f>'Rate Schedule '!#REF!</f>
        <v>#REF!</v>
      </c>
      <c r="L254" s="159" t="e">
        <f>+J254*K254</f>
        <v>#REF!</v>
      </c>
      <c r="M254" s="155" t="e">
        <f t="shared" si="34"/>
        <v>#REF!</v>
      </c>
      <c r="N254" s="149" t="e">
        <f t="shared" ref="N254:N263" si="35">+M254/I254</f>
        <v>#REF!</v>
      </c>
      <c r="O254" s="156" t="e">
        <f>L254/L263</f>
        <v>#REF!</v>
      </c>
      <c r="P254" s="241"/>
    </row>
    <row r="255" spans="1:16" ht="18" customHeight="1" thickBot="1" x14ac:dyDescent="0.25">
      <c r="A255" s="95"/>
      <c r="F255" s="279" t="s">
        <v>116</v>
      </c>
      <c r="G255" s="417"/>
      <c r="H255" s="418"/>
      <c r="I255" s="280" t="e">
        <f>SUM(I249:I254)</f>
        <v>#REF!</v>
      </c>
      <c r="J255" s="417"/>
      <c r="K255" s="418"/>
      <c r="L255" s="280" t="e">
        <f>SUM(L249:L254)</f>
        <v>#REF!</v>
      </c>
      <c r="M255" s="283" t="e">
        <f>SUM(M249:M254)</f>
        <v>#REF!</v>
      </c>
      <c r="N255" s="284" t="e">
        <f t="shared" si="35"/>
        <v>#REF!</v>
      </c>
      <c r="O255" s="285" t="e">
        <f>L255/L263</f>
        <v>#REF!</v>
      </c>
      <c r="P255" s="241"/>
    </row>
    <row r="256" spans="1:16" ht="18" customHeight="1" thickBot="1" x14ac:dyDescent="0.25">
      <c r="A256" s="95"/>
      <c r="F256" s="129" t="s">
        <v>117</v>
      </c>
      <c r="G256" s="233" t="e">
        <f>C250*#REF!</f>
        <v>#REF!</v>
      </c>
      <c r="H256" s="234" t="e">
        <f>#REF!</f>
        <v>#REF!</v>
      </c>
      <c r="I256" s="141" t="e">
        <f>+G256*H256</f>
        <v>#REF!</v>
      </c>
      <c r="J256" s="233" t="e">
        <f>'BILL IMPACTS'!C250*#REF!</f>
        <v>#REF!</v>
      </c>
      <c r="K256" s="234" t="e">
        <f>#REF!</f>
        <v>#REF!</v>
      </c>
      <c r="L256" s="141" t="e">
        <f>+J256*K256</f>
        <v>#REF!</v>
      </c>
      <c r="M256" s="235" t="e">
        <f t="shared" ref="M256:M262" si="36">+L256-I256</f>
        <v>#REF!</v>
      </c>
      <c r="N256" s="153" t="e">
        <f t="shared" si="35"/>
        <v>#REF!</v>
      </c>
      <c r="O256" s="154" t="e">
        <f>L256/L263</f>
        <v>#REF!</v>
      </c>
      <c r="P256" s="241"/>
    </row>
    <row r="257" spans="1:16" ht="18" customHeight="1" thickBot="1" x14ac:dyDescent="0.25">
      <c r="A257" s="95"/>
      <c r="F257" s="279" t="s">
        <v>118</v>
      </c>
      <c r="G257" s="417"/>
      <c r="H257" s="418"/>
      <c r="I257" s="280" t="e">
        <f>I255+I256</f>
        <v>#REF!</v>
      </c>
      <c r="J257" s="417"/>
      <c r="K257" s="418"/>
      <c r="L257" s="280" t="e">
        <f>L255+L256</f>
        <v>#REF!</v>
      </c>
      <c r="M257" s="283" t="e">
        <f t="shared" si="36"/>
        <v>#REF!</v>
      </c>
      <c r="N257" s="284" t="e">
        <f t="shared" si="35"/>
        <v>#REF!</v>
      </c>
      <c r="O257" s="286" t="e">
        <f>L257/L263</f>
        <v>#REF!</v>
      </c>
      <c r="P257" s="241"/>
    </row>
    <row r="258" spans="1:16" ht="18" customHeight="1" x14ac:dyDescent="0.2">
      <c r="A258" s="95"/>
      <c r="F258" s="131" t="s">
        <v>47</v>
      </c>
      <c r="G258" s="133" t="e">
        <f>+#REF!*C250</f>
        <v>#REF!</v>
      </c>
      <c r="H258" s="134" t="e">
        <f>#REF!+#REF!</f>
        <v>#REF!</v>
      </c>
      <c r="I258" s="135" t="e">
        <f>+G258*H258</f>
        <v>#REF!</v>
      </c>
      <c r="J258" s="133" t="e">
        <f>J256</f>
        <v>#REF!</v>
      </c>
      <c r="K258" s="134" t="e">
        <f>#REF!+#REF!</f>
        <v>#REF!</v>
      </c>
      <c r="L258" s="162" t="e">
        <f>+J258*K258</f>
        <v>#REF!</v>
      </c>
      <c r="M258" s="163" t="e">
        <f t="shared" si="36"/>
        <v>#REF!</v>
      </c>
      <c r="N258" s="164" t="e">
        <f t="shared" si="35"/>
        <v>#REF!</v>
      </c>
      <c r="O258" s="192" t="e">
        <f>L258/L263</f>
        <v>#REF!</v>
      </c>
      <c r="P258" s="241"/>
    </row>
    <row r="259" spans="1:16" ht="18" customHeight="1" x14ac:dyDescent="0.2">
      <c r="A259" s="95"/>
      <c r="B259" s="24"/>
      <c r="C259" s="25"/>
      <c r="D259" s="25"/>
      <c r="E259" s="25"/>
      <c r="F259" s="127" t="s">
        <v>48</v>
      </c>
      <c r="G259" s="133">
        <v>600</v>
      </c>
      <c r="H259" s="134" t="e">
        <f>#REF!</f>
        <v>#REF!</v>
      </c>
      <c r="I259" s="135" t="e">
        <f>+G259*H259</f>
        <v>#REF!</v>
      </c>
      <c r="J259" s="133">
        <v>600</v>
      </c>
      <c r="K259" s="134" t="e">
        <f>#REF!</f>
        <v>#REF!</v>
      </c>
      <c r="L259" s="162" t="e">
        <f>+J259*K259</f>
        <v>#REF!</v>
      </c>
      <c r="M259" s="163" t="e">
        <f t="shared" si="36"/>
        <v>#REF!</v>
      </c>
      <c r="N259" s="164" t="e">
        <f t="shared" si="35"/>
        <v>#REF!</v>
      </c>
      <c r="O259" s="165" t="e">
        <f>L259/L263</f>
        <v>#REF!</v>
      </c>
      <c r="P259" s="241"/>
    </row>
    <row r="260" spans="1:16" ht="18" customHeight="1" thickBot="1" x14ac:dyDescent="0.25">
      <c r="B260" s="102"/>
      <c r="C260" s="25"/>
      <c r="D260" s="25"/>
      <c r="E260" s="25"/>
      <c r="F260" s="127" t="s">
        <v>48</v>
      </c>
      <c r="G260" s="133" t="e">
        <f>G258-G259</f>
        <v>#REF!</v>
      </c>
      <c r="H260" s="134" t="e">
        <f>#REF!</f>
        <v>#REF!</v>
      </c>
      <c r="I260" s="135" t="e">
        <f>+G260*H260</f>
        <v>#REF!</v>
      </c>
      <c r="J260" s="133" t="e">
        <f>J258-J259</f>
        <v>#REF!</v>
      </c>
      <c r="K260" s="134" t="e">
        <f>#REF!</f>
        <v>#REF!</v>
      </c>
      <c r="L260" s="162" t="e">
        <f>+J260*K260</f>
        <v>#REF!</v>
      </c>
      <c r="M260" s="163" t="e">
        <f t="shared" si="36"/>
        <v>#REF!</v>
      </c>
      <c r="N260" s="164" t="e">
        <f t="shared" si="35"/>
        <v>#REF!</v>
      </c>
      <c r="O260" s="165" t="e">
        <f>L260/L263</f>
        <v>#REF!</v>
      </c>
      <c r="P260" s="95"/>
    </row>
    <row r="261" spans="1:16" ht="18" customHeight="1" thickBot="1" x14ac:dyDescent="0.25">
      <c r="B261" s="102"/>
      <c r="C261" s="25"/>
      <c r="D261" s="25"/>
      <c r="E261" s="25"/>
      <c r="F261" s="279" t="s">
        <v>97</v>
      </c>
      <c r="G261" s="417"/>
      <c r="H261" s="418"/>
      <c r="I261" s="280" t="e">
        <f>SUM(I257:I260)</f>
        <v>#REF!</v>
      </c>
      <c r="J261" s="417"/>
      <c r="K261" s="418"/>
      <c r="L261" s="280" t="e">
        <f>SUM(L257:L260)</f>
        <v>#REF!</v>
      </c>
      <c r="M261" s="291" t="e">
        <f t="shared" si="36"/>
        <v>#REF!</v>
      </c>
      <c r="N261" s="284" t="e">
        <f t="shared" si="35"/>
        <v>#REF!</v>
      </c>
      <c r="O261" s="286" t="e">
        <f>L261/L263</f>
        <v>#REF!</v>
      </c>
      <c r="P261" s="95"/>
    </row>
    <row r="262" spans="1:16" ht="18" customHeight="1" thickBot="1" x14ac:dyDescent="0.25">
      <c r="B262" s="102"/>
      <c r="C262" s="25"/>
      <c r="D262" s="25"/>
      <c r="E262" s="25"/>
      <c r="F262" s="188" t="s">
        <v>170</v>
      </c>
      <c r="G262" s="189"/>
      <c r="H262" s="193">
        <v>0.13</v>
      </c>
      <c r="I262" s="190" t="e">
        <f>I261*H262</f>
        <v>#REF!</v>
      </c>
      <c r="J262" s="189"/>
      <c r="K262" s="193">
        <v>0.13</v>
      </c>
      <c r="L262" s="191" t="e">
        <f>L261*K262</f>
        <v>#REF!</v>
      </c>
      <c r="M262" s="160" t="e">
        <f t="shared" si="36"/>
        <v>#REF!</v>
      </c>
      <c r="N262" s="161" t="e">
        <f t="shared" si="35"/>
        <v>#REF!</v>
      </c>
      <c r="O262" s="166" t="e">
        <f>L262/L263</f>
        <v>#REF!</v>
      </c>
      <c r="P262" s="95"/>
    </row>
    <row r="263" spans="1:16" ht="18" customHeight="1" thickBot="1" x14ac:dyDescent="0.25">
      <c r="B263" s="102"/>
      <c r="C263" s="25"/>
      <c r="D263" s="25"/>
      <c r="E263" s="29"/>
      <c r="F263" s="289" t="s">
        <v>49</v>
      </c>
      <c r="G263" s="437"/>
      <c r="H263" s="438"/>
      <c r="I263" s="290" t="e">
        <f>I261+I262</f>
        <v>#REF!</v>
      </c>
      <c r="J263" s="437"/>
      <c r="K263" s="438"/>
      <c r="L263" s="290" t="e">
        <f>L261+L262</f>
        <v>#REF!</v>
      </c>
      <c r="M263" s="292" t="e">
        <f>M261+M262</f>
        <v>#REF!</v>
      </c>
      <c r="N263" s="284" t="e">
        <f t="shared" si="35"/>
        <v>#REF!</v>
      </c>
      <c r="O263" s="285" t="e">
        <f>SUM(O261:O262)</f>
        <v>#REF!</v>
      </c>
      <c r="P263" s="95"/>
    </row>
    <row r="264" spans="1:16" ht="18" customHeight="1" thickBot="1" x14ac:dyDescent="0.25">
      <c r="B264" s="96"/>
      <c r="C264" s="108"/>
      <c r="D264" s="108"/>
      <c r="E264" s="108"/>
      <c r="F264" s="109"/>
      <c r="G264" s="110"/>
      <c r="H264" s="111"/>
      <c r="I264" s="112"/>
      <c r="J264" s="110"/>
      <c r="K264" s="113"/>
      <c r="L264" s="112"/>
      <c r="M264" s="117"/>
      <c r="N264" s="115"/>
      <c r="O264" s="116"/>
      <c r="P264" s="97"/>
    </row>
    <row r="265" spans="1:16" ht="18" customHeight="1" x14ac:dyDescent="0.2"/>
    <row r="266" spans="1:16" ht="6.95" customHeight="1" x14ac:dyDescent="0.2"/>
    <row r="267" spans="1:16" ht="6.95" customHeight="1" thickBot="1" x14ac:dyDescent="0.25"/>
    <row r="268" spans="1:16" ht="17.25" customHeight="1" x14ac:dyDescent="0.35">
      <c r="B268" s="104"/>
      <c r="C268" s="420"/>
      <c r="D268" s="420"/>
      <c r="E268" s="420"/>
      <c r="F268" s="420"/>
      <c r="G268" s="420"/>
      <c r="H268" s="420"/>
      <c r="I268" s="420"/>
      <c r="J268" s="420"/>
      <c r="K268" s="420"/>
      <c r="L268" s="420"/>
      <c r="M268" s="420"/>
      <c r="N268" s="420"/>
      <c r="O268" s="420"/>
      <c r="P268" s="94"/>
    </row>
    <row r="269" spans="1:16" ht="23.25" x14ac:dyDescent="0.35">
      <c r="B269" s="102"/>
      <c r="C269" s="423" t="s">
        <v>125</v>
      </c>
      <c r="D269" s="423"/>
      <c r="E269" s="423"/>
      <c r="F269" s="423"/>
      <c r="G269" s="423"/>
      <c r="H269" s="423"/>
      <c r="I269" s="423"/>
      <c r="J269" s="423"/>
      <c r="K269" s="423"/>
      <c r="L269" s="423"/>
      <c r="M269" s="423"/>
      <c r="N269" s="423"/>
      <c r="O269" s="423"/>
      <c r="P269" s="95"/>
    </row>
    <row r="270" spans="1:16" ht="17.25" customHeight="1" thickBot="1" x14ac:dyDescent="0.4">
      <c r="B270" s="102"/>
      <c r="C270" s="424"/>
      <c r="D270" s="424"/>
      <c r="E270" s="424"/>
      <c r="F270" s="424"/>
      <c r="G270" s="424"/>
      <c r="H270" s="424"/>
      <c r="I270" s="424"/>
      <c r="J270" s="424"/>
      <c r="K270" s="424"/>
      <c r="L270" s="424"/>
      <c r="M270" s="424"/>
      <c r="N270" s="424"/>
      <c r="O270" s="424"/>
      <c r="P270" s="95"/>
    </row>
    <row r="271" spans="1:16" ht="17.25" customHeight="1" thickBot="1" x14ac:dyDescent="0.25">
      <c r="B271" s="102"/>
      <c r="C271" s="103"/>
      <c r="D271" s="103"/>
      <c r="E271" s="25"/>
      <c r="F271" s="26"/>
      <c r="G271" s="425" t="str">
        <f>$G$10</f>
        <v>2010 BILL</v>
      </c>
      <c r="H271" s="426"/>
      <c r="I271" s="427"/>
      <c r="J271" s="425" t="str">
        <f>$J$10</f>
        <v>2011 BILL</v>
      </c>
      <c r="K271" s="426"/>
      <c r="L271" s="427"/>
      <c r="M271" s="425" t="s">
        <v>43</v>
      </c>
      <c r="N271" s="426"/>
      <c r="O271" s="427"/>
      <c r="P271" s="95"/>
    </row>
    <row r="272" spans="1:16" ht="17.25" customHeight="1" thickBot="1" x14ac:dyDescent="0.25">
      <c r="B272" s="102"/>
      <c r="C272" s="25"/>
      <c r="D272" s="25"/>
      <c r="E272" s="27"/>
      <c r="F272" s="28"/>
      <c r="G272" s="245" t="s">
        <v>37</v>
      </c>
      <c r="H272" s="246" t="s">
        <v>38</v>
      </c>
      <c r="I272" s="247" t="s">
        <v>39</v>
      </c>
      <c r="J272" s="248" t="s">
        <v>37</v>
      </c>
      <c r="K272" s="246" t="s">
        <v>38</v>
      </c>
      <c r="L272" s="247" t="s">
        <v>39</v>
      </c>
      <c r="M272" s="122" t="s">
        <v>44</v>
      </c>
      <c r="N272" s="123" t="s">
        <v>45</v>
      </c>
      <c r="O272" s="124" t="s">
        <v>46</v>
      </c>
      <c r="P272" s="95"/>
    </row>
    <row r="273" spans="2:17" ht="17.25" customHeight="1" thickBot="1" x14ac:dyDescent="0.25">
      <c r="B273" s="102"/>
      <c r="C273" s="421" t="s">
        <v>40</v>
      </c>
      <c r="D273" s="422"/>
      <c r="E273" s="25"/>
      <c r="F273" s="251" t="s">
        <v>41</v>
      </c>
      <c r="G273" s="249"/>
      <c r="H273" s="243"/>
      <c r="I273" s="135">
        <f>+'2012 Existing Rates'!$C$8</f>
        <v>241.78</v>
      </c>
      <c r="J273" s="133"/>
      <c r="K273" s="244"/>
      <c r="L273" s="162">
        <f>+'Rate Schedule '!$E$19</f>
        <v>195.33</v>
      </c>
      <c r="M273" s="163">
        <f t="shared" ref="M273:M278" si="37">+L273-I273</f>
        <v>-46.449999999999989</v>
      </c>
      <c r="N273" s="164">
        <f t="shared" ref="N273:N281" si="38">+M273/I273</f>
        <v>-0.19211680039705512</v>
      </c>
      <c r="O273" s="156" t="e">
        <f>L273/L286</f>
        <v>#REF!</v>
      </c>
      <c r="P273" s="241"/>
      <c r="Q273" s="24"/>
    </row>
    <row r="274" spans="2:17" ht="17.25" customHeight="1" thickBot="1" x14ac:dyDescent="0.25">
      <c r="B274" s="102"/>
      <c r="C274" s="100">
        <v>30000</v>
      </c>
      <c r="D274" s="101" t="s">
        <v>12</v>
      </c>
      <c r="E274" s="25"/>
      <c r="F274" s="252" t="s">
        <v>52</v>
      </c>
      <c r="G274" s="250">
        <f>+C275</f>
        <v>60</v>
      </c>
      <c r="H274" s="126" t="e">
        <f>'2012 Existing Rates'!#REF!</f>
        <v>#REF!</v>
      </c>
      <c r="I274" s="141" t="e">
        <f>+G274*H274</f>
        <v>#REF!</v>
      </c>
      <c r="J274" s="132">
        <f>G274</f>
        <v>60</v>
      </c>
      <c r="K274" s="125">
        <f>'Rate Schedule '!$E$20</f>
        <v>2.4857</v>
      </c>
      <c r="L274" s="145">
        <f>+J274*K274</f>
        <v>149.142</v>
      </c>
      <c r="M274" s="163" t="e">
        <f t="shared" si="37"/>
        <v>#REF!</v>
      </c>
      <c r="N274" s="164" t="e">
        <f t="shared" si="38"/>
        <v>#REF!</v>
      </c>
      <c r="O274" s="156" t="e">
        <f>L274/L286</f>
        <v>#REF!</v>
      </c>
      <c r="P274" s="95"/>
    </row>
    <row r="275" spans="2:17" ht="17.25" customHeight="1" thickBot="1" x14ac:dyDescent="0.25">
      <c r="B275" s="102"/>
      <c r="C275" s="100">
        <v>60</v>
      </c>
      <c r="D275" s="101" t="s">
        <v>13</v>
      </c>
      <c r="E275" s="25"/>
      <c r="F275" s="252" t="s">
        <v>119</v>
      </c>
      <c r="G275" s="212">
        <f>G274</f>
        <v>60</v>
      </c>
      <c r="H275" s="253" t="e">
        <f>'2012 Existing Rates'!#REF!</f>
        <v>#REF!</v>
      </c>
      <c r="I275" s="141" t="e">
        <f>+G275*H275</f>
        <v>#REF!</v>
      </c>
      <c r="J275" s="132">
        <f>+C275</f>
        <v>60</v>
      </c>
      <c r="K275" s="125" t="e">
        <f>'Rate Schedule '!#REF!</f>
        <v>#REF!</v>
      </c>
      <c r="L275" s="145" t="e">
        <f>+J275*K275</f>
        <v>#REF!</v>
      </c>
      <c r="M275" s="163" t="e">
        <f t="shared" si="37"/>
        <v>#REF!</v>
      </c>
      <c r="N275" s="164" t="e">
        <f t="shared" si="38"/>
        <v>#REF!</v>
      </c>
      <c r="O275" s="156" t="e">
        <f>L275/L286</f>
        <v>#REF!</v>
      </c>
      <c r="P275" s="95"/>
    </row>
    <row r="276" spans="2:17" ht="17.25" customHeight="1" x14ac:dyDescent="0.2">
      <c r="B276" s="102"/>
      <c r="C276" s="231"/>
      <c r="D276" s="242"/>
      <c r="E276" s="25"/>
      <c r="F276" s="129" t="s">
        <v>79</v>
      </c>
      <c r="G276" s="151"/>
      <c r="H276" s="150"/>
      <c r="I276" s="141" t="e">
        <f>'2012 Existing Rates'!#REF!</f>
        <v>#REF!</v>
      </c>
      <c r="J276" s="151"/>
      <c r="K276" s="150"/>
      <c r="L276" s="141" t="e">
        <f>'2012 Existing Rates'!#REF!</f>
        <v>#REF!</v>
      </c>
      <c r="M276" s="163" t="e">
        <f t="shared" si="37"/>
        <v>#REF!</v>
      </c>
      <c r="N276" s="164" t="e">
        <f t="shared" si="38"/>
        <v>#REF!</v>
      </c>
      <c r="O276" s="156" t="e">
        <f>L276/L286</f>
        <v>#REF!</v>
      </c>
      <c r="P276" s="95"/>
    </row>
    <row r="277" spans="2:17" ht="17.25" customHeight="1" x14ac:dyDescent="0.2">
      <c r="B277" s="102"/>
      <c r="C277" s="54"/>
      <c r="D277" s="55"/>
      <c r="E277" s="25"/>
      <c r="F277" s="129" t="s">
        <v>120</v>
      </c>
      <c r="G277" s="132">
        <f>G275</f>
        <v>60</v>
      </c>
      <c r="H277" s="126"/>
      <c r="I277" s="141">
        <f>+G277*H277</f>
        <v>0</v>
      </c>
      <c r="J277" s="132">
        <f>G277</f>
        <v>60</v>
      </c>
      <c r="K277" s="125" t="e">
        <f>'Rate Schedule '!#REF!</f>
        <v>#REF!</v>
      </c>
      <c r="L277" s="145" t="e">
        <f>+J277*K277</f>
        <v>#REF!</v>
      </c>
      <c r="M277" s="163" t="e">
        <f t="shared" si="37"/>
        <v>#REF!</v>
      </c>
      <c r="N277" s="164">
        <v>0</v>
      </c>
      <c r="O277" s="156" t="e">
        <f>L277/L286</f>
        <v>#REF!</v>
      </c>
      <c r="P277" s="95"/>
    </row>
    <row r="278" spans="2:17" ht="17.25" customHeight="1" thickBot="1" x14ac:dyDescent="0.25">
      <c r="B278" s="102"/>
      <c r="C278" s="25"/>
      <c r="D278" s="25"/>
      <c r="E278" s="25"/>
      <c r="F278" s="130" t="s">
        <v>121</v>
      </c>
      <c r="G278" s="132">
        <f>+C275</f>
        <v>60</v>
      </c>
      <c r="H278" s="126" t="e">
        <f>'2012 Existing Rates'!#REF!</f>
        <v>#REF!</v>
      </c>
      <c r="I278" s="145" t="e">
        <f>+G278*H278</f>
        <v>#REF!</v>
      </c>
      <c r="J278" s="132">
        <f>+C275</f>
        <v>60</v>
      </c>
      <c r="K278" s="125" t="e">
        <f>'Rate Schedule '!#REF!</f>
        <v>#REF!</v>
      </c>
      <c r="L278" s="145" t="e">
        <f>+J278*K278</f>
        <v>#REF!</v>
      </c>
      <c r="M278" s="163" t="e">
        <f t="shared" si="37"/>
        <v>#REF!</v>
      </c>
      <c r="N278" s="164" t="e">
        <f t="shared" si="38"/>
        <v>#REF!</v>
      </c>
      <c r="O278" s="156" t="e">
        <f>L278/L286</f>
        <v>#REF!</v>
      </c>
      <c r="P278" s="95"/>
    </row>
    <row r="279" spans="2:17" ht="17.25" customHeight="1" thickBot="1" x14ac:dyDescent="0.25">
      <c r="B279" s="102"/>
      <c r="C279" s="25"/>
      <c r="D279" s="25"/>
      <c r="E279" s="25"/>
      <c r="F279" s="279" t="s">
        <v>116</v>
      </c>
      <c r="G279" s="417"/>
      <c r="H279" s="418"/>
      <c r="I279" s="280" t="e">
        <f>SUM(I273:I278)</f>
        <v>#REF!</v>
      </c>
      <c r="J279" s="417"/>
      <c r="K279" s="418"/>
      <c r="L279" s="280" t="e">
        <f>SUM(L273:L278)</f>
        <v>#REF!</v>
      </c>
      <c r="M279" s="283" t="e">
        <f>SUM(M273:M278)</f>
        <v>#REF!</v>
      </c>
      <c r="N279" s="284" t="e">
        <f t="shared" si="38"/>
        <v>#REF!</v>
      </c>
      <c r="O279" s="285" t="e">
        <f>SUM(O273:O278)</f>
        <v>#REF!</v>
      </c>
      <c r="P279" s="95"/>
    </row>
    <row r="280" spans="2:17" ht="17.25" customHeight="1" thickBot="1" x14ac:dyDescent="0.25">
      <c r="B280" s="102"/>
      <c r="C280" s="25"/>
      <c r="D280" s="25"/>
      <c r="E280" s="25"/>
      <c r="F280" s="129" t="s">
        <v>122</v>
      </c>
      <c r="G280" s="233">
        <f>C275</f>
        <v>60</v>
      </c>
      <c r="H280" s="234" t="e">
        <f>#REF!</f>
        <v>#REF!</v>
      </c>
      <c r="I280" s="141" t="e">
        <f>+G280*H280</f>
        <v>#REF!</v>
      </c>
      <c r="J280" s="233">
        <f>C275</f>
        <v>60</v>
      </c>
      <c r="K280" s="234" t="e">
        <f>#REF!</f>
        <v>#REF!</v>
      </c>
      <c r="L280" s="141" t="e">
        <f>+J280*K280</f>
        <v>#REF!</v>
      </c>
      <c r="M280" s="235" t="e">
        <f t="shared" ref="M280:M285" si="39">+L280-I280</f>
        <v>#REF!</v>
      </c>
      <c r="N280" s="153" t="e">
        <f t="shared" si="38"/>
        <v>#REF!</v>
      </c>
      <c r="O280" s="156" t="e">
        <f>L280/L286</f>
        <v>#REF!</v>
      </c>
      <c r="P280" s="95"/>
    </row>
    <row r="281" spans="2:17" ht="17.25" customHeight="1" thickBot="1" x14ac:dyDescent="0.25">
      <c r="B281" s="102"/>
      <c r="C281" s="25"/>
      <c r="D281" s="25"/>
      <c r="E281" s="25"/>
      <c r="F281" s="279" t="s">
        <v>118</v>
      </c>
      <c r="G281" s="417"/>
      <c r="H281" s="418"/>
      <c r="I281" s="280" t="e">
        <f>I279+I280</f>
        <v>#REF!</v>
      </c>
      <c r="J281" s="417"/>
      <c r="K281" s="418"/>
      <c r="L281" s="280" t="e">
        <f>L279+L280</f>
        <v>#REF!</v>
      </c>
      <c r="M281" s="283" t="e">
        <f t="shared" si="39"/>
        <v>#REF!</v>
      </c>
      <c r="N281" s="284" t="e">
        <f t="shared" si="38"/>
        <v>#REF!</v>
      </c>
      <c r="O281" s="286" t="e">
        <f>L281/L286</f>
        <v>#REF!</v>
      </c>
      <c r="P281" s="95"/>
    </row>
    <row r="282" spans="2:17" ht="17.25" customHeight="1" x14ac:dyDescent="0.2">
      <c r="B282" s="102"/>
      <c r="C282" s="25"/>
      <c r="D282" s="25"/>
      <c r="E282" s="25"/>
      <c r="F282" s="127" t="s">
        <v>47</v>
      </c>
      <c r="G282" s="133" t="e">
        <f>C274*#REF!</f>
        <v>#REF!</v>
      </c>
      <c r="H282" s="134" t="e">
        <f>#REF!+#REF!</f>
        <v>#REF!</v>
      </c>
      <c r="I282" s="135" t="e">
        <f>+G282*H282</f>
        <v>#REF!</v>
      </c>
      <c r="J282" s="133" t="e">
        <f>C274*#REF!</f>
        <v>#REF!</v>
      </c>
      <c r="K282" s="134" t="e">
        <f>#REF!+#REF!</f>
        <v>#REF!</v>
      </c>
      <c r="L282" s="162" t="e">
        <f>+J282*K282</f>
        <v>#REF!</v>
      </c>
      <c r="M282" s="163" t="e">
        <f t="shared" si="39"/>
        <v>#REF!</v>
      </c>
      <c r="N282" s="164" t="e">
        <f>+M282/I282</f>
        <v>#REF!</v>
      </c>
      <c r="O282" s="156" t="e">
        <f>L282/L286</f>
        <v>#REF!</v>
      </c>
      <c r="P282" s="95"/>
    </row>
    <row r="283" spans="2:17" ht="17.25" customHeight="1" thickBot="1" x14ac:dyDescent="0.25">
      <c r="B283" s="102"/>
      <c r="C283" s="25"/>
      <c r="D283" s="25"/>
      <c r="E283" s="25"/>
      <c r="F283" s="127" t="s">
        <v>48</v>
      </c>
      <c r="G283" s="133" t="e">
        <f>G282</f>
        <v>#REF!</v>
      </c>
      <c r="H283" s="134" t="e">
        <f>+#REF!</f>
        <v>#REF!</v>
      </c>
      <c r="I283" s="135" t="e">
        <f>+G283*H283</f>
        <v>#REF!</v>
      </c>
      <c r="J283" s="133" t="e">
        <f>J282</f>
        <v>#REF!</v>
      </c>
      <c r="K283" s="134" t="e">
        <f>#REF!</f>
        <v>#REF!</v>
      </c>
      <c r="L283" s="162" t="e">
        <f>+J283*K283</f>
        <v>#REF!</v>
      </c>
      <c r="M283" s="163" t="e">
        <f t="shared" si="39"/>
        <v>#REF!</v>
      </c>
      <c r="N283" s="164" t="e">
        <f>+M283/I283</f>
        <v>#REF!</v>
      </c>
      <c r="O283" s="156" t="e">
        <f>L283/L286</f>
        <v>#REF!</v>
      </c>
      <c r="P283" s="95"/>
    </row>
    <row r="284" spans="2:17" ht="17.25" customHeight="1" thickBot="1" x14ac:dyDescent="0.25">
      <c r="B284" s="102"/>
      <c r="C284" s="25"/>
      <c r="D284" s="25"/>
      <c r="E284" s="25"/>
      <c r="F284" s="279" t="s">
        <v>97</v>
      </c>
      <c r="G284" s="417"/>
      <c r="H284" s="418"/>
      <c r="I284" s="280" t="e">
        <f>SUM(I281:I283)</f>
        <v>#REF!</v>
      </c>
      <c r="J284" s="417"/>
      <c r="K284" s="418"/>
      <c r="L284" s="280" t="e">
        <f>SUM(L281:L283)</f>
        <v>#REF!</v>
      </c>
      <c r="M284" s="280" t="e">
        <f t="shared" si="39"/>
        <v>#REF!</v>
      </c>
      <c r="N284" s="284" t="e">
        <f>+M284/I284</f>
        <v>#REF!</v>
      </c>
      <c r="O284" s="286" t="e">
        <f>L284/L286</f>
        <v>#REF!</v>
      </c>
      <c r="P284" s="95"/>
    </row>
    <row r="285" spans="2:17" ht="17.25" customHeight="1" thickBot="1" x14ac:dyDescent="0.25">
      <c r="B285" s="102"/>
      <c r="C285" s="25"/>
      <c r="D285" s="25"/>
      <c r="E285" s="25"/>
      <c r="F285" s="188" t="s">
        <v>170</v>
      </c>
      <c r="G285" s="189"/>
      <c r="H285" s="193">
        <v>0.13</v>
      </c>
      <c r="I285" s="190" t="e">
        <f>I284*H285</f>
        <v>#REF!</v>
      </c>
      <c r="J285" s="189"/>
      <c r="K285" s="193">
        <v>0.13</v>
      </c>
      <c r="L285" s="191" t="e">
        <f>L284*K285</f>
        <v>#REF!</v>
      </c>
      <c r="M285" s="160" t="e">
        <f t="shared" si="39"/>
        <v>#REF!</v>
      </c>
      <c r="N285" s="161" t="e">
        <f>+M285/I285</f>
        <v>#REF!</v>
      </c>
      <c r="O285" s="166" t="e">
        <f>L285/L286</f>
        <v>#REF!</v>
      </c>
      <c r="P285" s="95"/>
    </row>
    <row r="286" spans="2:17" ht="17.25" customHeight="1" thickBot="1" x14ac:dyDescent="0.25">
      <c r="B286" s="102"/>
      <c r="C286" s="25"/>
      <c r="D286" s="25"/>
      <c r="E286" s="29"/>
      <c r="F286" s="293" t="s">
        <v>49</v>
      </c>
      <c r="G286" s="417"/>
      <c r="H286" s="418"/>
      <c r="I286" s="280" t="e">
        <f>I284+I285</f>
        <v>#REF!</v>
      </c>
      <c r="J286" s="417"/>
      <c r="K286" s="418"/>
      <c r="L286" s="280" t="e">
        <f>L284+L285</f>
        <v>#REF!</v>
      </c>
      <c r="M286" s="280" t="e">
        <f>M284+M285</f>
        <v>#REF!</v>
      </c>
      <c r="N286" s="284" t="e">
        <f>+M286/I286</f>
        <v>#REF!</v>
      </c>
      <c r="O286" s="285" t="e">
        <f>O284+O285</f>
        <v>#REF!</v>
      </c>
      <c r="P286" s="95"/>
    </row>
    <row r="287" spans="2:17" ht="17.25" customHeight="1" thickBot="1" x14ac:dyDescent="0.25">
      <c r="B287" s="96"/>
      <c r="C287" s="108"/>
      <c r="D287" s="108"/>
      <c r="E287" s="108"/>
      <c r="F287" s="109"/>
      <c r="G287" s="110"/>
      <c r="H287" s="111"/>
      <c r="I287" s="112"/>
      <c r="J287" s="110"/>
      <c r="K287" s="113"/>
      <c r="L287" s="112"/>
      <c r="M287" s="114"/>
      <c r="N287" s="115"/>
      <c r="O287" s="116"/>
      <c r="P287" s="97"/>
    </row>
    <row r="288" spans="2:17" ht="17.25" customHeight="1" thickBot="1" x14ac:dyDescent="0.25">
      <c r="B288" s="24"/>
      <c r="C288" s="25"/>
      <c r="D288" s="25"/>
      <c r="E288" s="25"/>
      <c r="F288" s="42"/>
      <c r="G288" s="43"/>
      <c r="H288" s="44"/>
      <c r="I288" s="45"/>
      <c r="J288" s="43"/>
      <c r="K288" s="46"/>
      <c r="L288" s="45"/>
      <c r="M288" s="47"/>
      <c r="N288" s="105"/>
      <c r="O288" s="106"/>
      <c r="P288" s="24"/>
    </row>
    <row r="289" spans="2:17" ht="17.25" customHeight="1" x14ac:dyDescent="0.35">
      <c r="B289" s="104"/>
      <c r="C289" s="420"/>
      <c r="D289" s="420"/>
      <c r="E289" s="420"/>
      <c r="F289" s="420"/>
      <c r="G289" s="420"/>
      <c r="H289" s="420"/>
      <c r="I289" s="420"/>
      <c r="J289" s="420"/>
      <c r="K289" s="420"/>
      <c r="L289" s="420"/>
      <c r="M289" s="420"/>
      <c r="N289" s="420"/>
      <c r="O289" s="420"/>
      <c r="P289" s="94"/>
    </row>
    <row r="290" spans="2:17" ht="23.25" x14ac:dyDescent="0.35">
      <c r="B290" s="102"/>
      <c r="C290" s="423" t="s">
        <v>125</v>
      </c>
      <c r="D290" s="423"/>
      <c r="E290" s="423"/>
      <c r="F290" s="423"/>
      <c r="G290" s="423"/>
      <c r="H290" s="423"/>
      <c r="I290" s="423"/>
      <c r="J290" s="423"/>
      <c r="K290" s="423"/>
      <c r="L290" s="423"/>
      <c r="M290" s="423"/>
      <c r="N290" s="423"/>
      <c r="O290" s="423"/>
      <c r="P290" s="95"/>
    </row>
    <row r="291" spans="2:17" ht="17.25" customHeight="1" thickBot="1" x14ac:dyDescent="0.4">
      <c r="B291" s="102"/>
      <c r="C291" s="424"/>
      <c r="D291" s="424"/>
      <c r="E291" s="424"/>
      <c r="F291" s="424"/>
      <c r="G291" s="424"/>
      <c r="H291" s="424"/>
      <c r="I291" s="424"/>
      <c r="J291" s="424"/>
      <c r="K291" s="424"/>
      <c r="L291" s="424"/>
      <c r="M291" s="424"/>
      <c r="N291" s="424"/>
      <c r="O291" s="424"/>
      <c r="P291" s="95"/>
      <c r="Q291" s="24"/>
    </row>
    <row r="292" spans="2:17" ht="17.25" customHeight="1" thickBot="1" x14ac:dyDescent="0.25">
      <c r="B292" s="102"/>
      <c r="C292" s="103"/>
      <c r="D292" s="103"/>
      <c r="E292" s="25"/>
      <c r="F292" s="26"/>
      <c r="G292" s="425" t="str">
        <f>$G$10</f>
        <v>2010 BILL</v>
      </c>
      <c r="H292" s="426"/>
      <c r="I292" s="427"/>
      <c r="J292" s="425" t="str">
        <f>$J$10</f>
        <v>2011 BILL</v>
      </c>
      <c r="K292" s="426"/>
      <c r="L292" s="427"/>
      <c r="M292" s="425" t="s">
        <v>43</v>
      </c>
      <c r="N292" s="426"/>
      <c r="O292" s="427"/>
      <c r="P292" s="95"/>
      <c r="Q292" s="24"/>
    </row>
    <row r="293" spans="2:17" ht="26.25" thickBot="1" x14ac:dyDescent="0.25">
      <c r="B293" s="102"/>
      <c r="C293" s="25"/>
      <c r="D293" s="25"/>
      <c r="E293" s="27"/>
      <c r="F293" s="28"/>
      <c r="G293" s="245" t="s">
        <v>37</v>
      </c>
      <c r="H293" s="246" t="s">
        <v>38</v>
      </c>
      <c r="I293" s="247" t="s">
        <v>39</v>
      </c>
      <c r="J293" s="248" t="s">
        <v>37</v>
      </c>
      <c r="K293" s="246" t="s">
        <v>38</v>
      </c>
      <c r="L293" s="247" t="s">
        <v>39</v>
      </c>
      <c r="M293" s="122" t="s">
        <v>44</v>
      </c>
      <c r="N293" s="123" t="s">
        <v>45</v>
      </c>
      <c r="O293" s="124" t="s">
        <v>46</v>
      </c>
      <c r="P293" s="95"/>
      <c r="Q293" s="24"/>
    </row>
    <row r="294" spans="2:17" ht="17.25" customHeight="1" thickBot="1" x14ac:dyDescent="0.25">
      <c r="B294" s="102"/>
      <c r="C294" s="421" t="s">
        <v>40</v>
      </c>
      <c r="D294" s="422"/>
      <c r="E294" s="25"/>
      <c r="F294" s="251" t="s">
        <v>41</v>
      </c>
      <c r="G294" s="249"/>
      <c r="H294" s="243"/>
      <c r="I294" s="135">
        <f>+'2012 Existing Rates'!$C$8</f>
        <v>241.78</v>
      </c>
      <c r="J294" s="133"/>
      <c r="K294" s="244"/>
      <c r="L294" s="162">
        <f>+'Rate Schedule '!$E$19</f>
        <v>195.33</v>
      </c>
      <c r="M294" s="163">
        <f t="shared" ref="M294:M299" si="40">+L294-I294</f>
        <v>-46.449999999999989</v>
      </c>
      <c r="N294" s="164">
        <f>+M294/I294</f>
        <v>-0.19211680039705512</v>
      </c>
      <c r="O294" s="156" t="e">
        <f>L294/L307</f>
        <v>#REF!</v>
      </c>
      <c r="P294" s="95"/>
      <c r="Q294" s="24"/>
    </row>
    <row r="295" spans="2:17" ht="17.25" customHeight="1" thickBot="1" x14ac:dyDescent="0.25">
      <c r="B295" s="102"/>
      <c r="C295" s="100">
        <v>75000</v>
      </c>
      <c r="D295" s="101" t="s">
        <v>12</v>
      </c>
      <c r="E295" s="25"/>
      <c r="F295" s="252" t="s">
        <v>52</v>
      </c>
      <c r="G295" s="250">
        <f>+C296</f>
        <v>100</v>
      </c>
      <c r="H295" s="126" t="e">
        <f>'2012 Existing Rates'!#REF!</f>
        <v>#REF!</v>
      </c>
      <c r="I295" s="141" t="e">
        <f>+G295*H295</f>
        <v>#REF!</v>
      </c>
      <c r="J295" s="132">
        <f>G295</f>
        <v>100</v>
      </c>
      <c r="K295" s="125">
        <f>'Rate Schedule '!$E$20</f>
        <v>2.4857</v>
      </c>
      <c r="L295" s="145">
        <f>+J295*K295</f>
        <v>248.57</v>
      </c>
      <c r="M295" s="163" t="e">
        <f t="shared" si="40"/>
        <v>#REF!</v>
      </c>
      <c r="N295" s="164" t="e">
        <f>+M295/I295</f>
        <v>#REF!</v>
      </c>
      <c r="O295" s="156" t="e">
        <f>L295/L307</f>
        <v>#REF!</v>
      </c>
      <c r="P295" s="95"/>
      <c r="Q295" s="24"/>
    </row>
    <row r="296" spans="2:17" ht="17.25" customHeight="1" thickBot="1" x14ac:dyDescent="0.25">
      <c r="B296" s="102"/>
      <c r="C296" s="100">
        <v>100</v>
      </c>
      <c r="D296" s="101" t="s">
        <v>13</v>
      </c>
      <c r="E296" s="25"/>
      <c r="F296" s="252" t="s">
        <v>119</v>
      </c>
      <c r="G296" s="212">
        <f>G295</f>
        <v>100</v>
      </c>
      <c r="H296" s="253" t="e">
        <f>'2012 Existing Rates'!#REF!</f>
        <v>#REF!</v>
      </c>
      <c r="I296" s="141" t="e">
        <f>+G296*H296</f>
        <v>#REF!</v>
      </c>
      <c r="J296" s="132">
        <f>+C296</f>
        <v>100</v>
      </c>
      <c r="K296" s="125" t="e">
        <f>'Rate Schedule '!#REF!</f>
        <v>#REF!</v>
      </c>
      <c r="L296" s="145" t="e">
        <f>+J296*K296</f>
        <v>#REF!</v>
      </c>
      <c r="M296" s="163" t="e">
        <f t="shared" si="40"/>
        <v>#REF!</v>
      </c>
      <c r="N296" s="164" t="e">
        <f>+M296/I296</f>
        <v>#REF!</v>
      </c>
      <c r="O296" s="156" t="e">
        <f>L296/L307</f>
        <v>#REF!</v>
      </c>
      <c r="P296" s="95"/>
    </row>
    <row r="297" spans="2:17" ht="17.25" customHeight="1" x14ac:dyDescent="0.2">
      <c r="B297" s="102"/>
      <c r="C297" s="231"/>
      <c r="D297" s="242"/>
      <c r="E297" s="25"/>
      <c r="F297" s="129" t="s">
        <v>79</v>
      </c>
      <c r="G297" s="151"/>
      <c r="H297" s="150"/>
      <c r="I297" s="141" t="e">
        <f>'2012 Existing Rates'!#REF!</f>
        <v>#REF!</v>
      </c>
      <c r="J297" s="151"/>
      <c r="K297" s="150"/>
      <c r="L297" s="141" t="e">
        <f>'2012 Existing Rates'!#REF!</f>
        <v>#REF!</v>
      </c>
      <c r="M297" s="163" t="e">
        <f t="shared" si="40"/>
        <v>#REF!</v>
      </c>
      <c r="N297" s="164" t="e">
        <f>+M297/I297</f>
        <v>#REF!</v>
      </c>
      <c r="O297" s="156" t="e">
        <f>L297/L307</f>
        <v>#REF!</v>
      </c>
      <c r="P297" s="95"/>
    </row>
    <row r="298" spans="2:17" ht="17.25" customHeight="1" x14ac:dyDescent="0.2">
      <c r="B298" s="102"/>
      <c r="C298" s="54"/>
      <c r="D298" s="55"/>
      <c r="E298" s="25"/>
      <c r="F298" s="129" t="s">
        <v>120</v>
      </c>
      <c r="G298" s="132">
        <f>G296</f>
        <v>100</v>
      </c>
      <c r="H298" s="126"/>
      <c r="I298" s="141">
        <f>+G298*H298</f>
        <v>0</v>
      </c>
      <c r="J298" s="132">
        <f>G298</f>
        <v>100</v>
      </c>
      <c r="K298" s="125" t="e">
        <f>'Rate Schedule '!#REF!</f>
        <v>#REF!</v>
      </c>
      <c r="L298" s="145" t="e">
        <f>+J298*K298</f>
        <v>#REF!</v>
      </c>
      <c r="M298" s="163" t="e">
        <f t="shared" si="40"/>
        <v>#REF!</v>
      </c>
      <c r="N298" s="164">
        <v>0</v>
      </c>
      <c r="O298" s="156" t="e">
        <f>L298/L307</f>
        <v>#REF!</v>
      </c>
      <c r="P298" s="95"/>
    </row>
    <row r="299" spans="2:17" ht="17.25" customHeight="1" thickBot="1" x14ac:dyDescent="0.25">
      <c r="B299" s="102"/>
      <c r="C299" s="25"/>
      <c r="D299" s="25"/>
      <c r="E299" s="25"/>
      <c r="F299" s="130" t="s">
        <v>121</v>
      </c>
      <c r="G299" s="132">
        <f>+C296</f>
        <v>100</v>
      </c>
      <c r="H299" s="126" t="e">
        <f>'2012 Existing Rates'!#REF!</f>
        <v>#REF!</v>
      </c>
      <c r="I299" s="145" t="e">
        <f>+G299*H299</f>
        <v>#REF!</v>
      </c>
      <c r="J299" s="132">
        <f>+C296</f>
        <v>100</v>
      </c>
      <c r="K299" s="125" t="e">
        <f>'Rate Schedule '!#REF!</f>
        <v>#REF!</v>
      </c>
      <c r="L299" s="145" t="e">
        <f>+J299*K299</f>
        <v>#REF!</v>
      </c>
      <c r="M299" s="163" t="e">
        <f t="shared" si="40"/>
        <v>#REF!</v>
      </c>
      <c r="N299" s="164" t="e">
        <f t="shared" ref="N299:N307" si="41">+M299/I299</f>
        <v>#REF!</v>
      </c>
      <c r="O299" s="156" t="e">
        <f>L299/L307</f>
        <v>#REF!</v>
      </c>
      <c r="P299" s="95"/>
    </row>
    <row r="300" spans="2:17" ht="17.25" customHeight="1" thickBot="1" x14ac:dyDescent="0.25">
      <c r="B300" s="102"/>
      <c r="C300" s="25"/>
      <c r="D300" s="25"/>
      <c r="E300" s="25"/>
      <c r="F300" s="279" t="s">
        <v>116</v>
      </c>
      <c r="G300" s="417"/>
      <c r="H300" s="418"/>
      <c r="I300" s="280" t="e">
        <f>SUM(I294:I299)</f>
        <v>#REF!</v>
      </c>
      <c r="J300" s="417"/>
      <c r="K300" s="418"/>
      <c r="L300" s="280" t="e">
        <f>SUM(L294:L299)</f>
        <v>#REF!</v>
      </c>
      <c r="M300" s="283" t="e">
        <f>SUM(M294:M299)</f>
        <v>#REF!</v>
      </c>
      <c r="N300" s="284" t="e">
        <f t="shared" si="41"/>
        <v>#REF!</v>
      </c>
      <c r="O300" s="285" t="e">
        <f>SUM(O294:O299)</f>
        <v>#REF!</v>
      </c>
      <c r="P300" s="95"/>
    </row>
    <row r="301" spans="2:17" ht="17.25" customHeight="1" thickBot="1" x14ac:dyDescent="0.25">
      <c r="B301" s="102"/>
      <c r="C301" s="25"/>
      <c r="D301" s="25"/>
      <c r="E301" s="25"/>
      <c r="F301" s="129" t="s">
        <v>122</v>
      </c>
      <c r="G301" s="233">
        <f>C296</f>
        <v>100</v>
      </c>
      <c r="H301" s="234" t="e">
        <f>#REF!</f>
        <v>#REF!</v>
      </c>
      <c r="I301" s="141" t="e">
        <f>+G301*H301</f>
        <v>#REF!</v>
      </c>
      <c r="J301" s="233">
        <f>C296</f>
        <v>100</v>
      </c>
      <c r="K301" s="234" t="e">
        <f>#REF!</f>
        <v>#REF!</v>
      </c>
      <c r="L301" s="141" t="e">
        <f>+J301*K301</f>
        <v>#REF!</v>
      </c>
      <c r="M301" s="235" t="e">
        <f t="shared" ref="M301:M306" si="42">+L301-I301</f>
        <v>#REF!</v>
      </c>
      <c r="N301" s="153" t="e">
        <f t="shared" si="41"/>
        <v>#REF!</v>
      </c>
      <c r="O301" s="156" t="e">
        <f>L301/L307</f>
        <v>#REF!</v>
      </c>
      <c r="P301" s="95"/>
    </row>
    <row r="302" spans="2:17" ht="17.25" customHeight="1" thickBot="1" x14ac:dyDescent="0.25">
      <c r="B302" s="102"/>
      <c r="C302" s="25"/>
      <c r="D302" s="25"/>
      <c r="E302" s="25"/>
      <c r="F302" s="279" t="s">
        <v>118</v>
      </c>
      <c r="G302" s="417"/>
      <c r="H302" s="418"/>
      <c r="I302" s="280" t="e">
        <f>I300+I301</f>
        <v>#REF!</v>
      </c>
      <c r="J302" s="417"/>
      <c r="K302" s="418"/>
      <c r="L302" s="280" t="e">
        <f>L300+L301</f>
        <v>#REF!</v>
      </c>
      <c r="M302" s="283" t="e">
        <f t="shared" si="42"/>
        <v>#REF!</v>
      </c>
      <c r="N302" s="284" t="e">
        <f t="shared" si="41"/>
        <v>#REF!</v>
      </c>
      <c r="O302" s="286" t="e">
        <f>L302/L307</f>
        <v>#REF!</v>
      </c>
      <c r="P302" s="95"/>
    </row>
    <row r="303" spans="2:17" ht="17.25" customHeight="1" x14ac:dyDescent="0.2">
      <c r="B303" s="102"/>
      <c r="C303" s="25"/>
      <c r="D303" s="25"/>
      <c r="E303" s="25"/>
      <c r="F303" s="127" t="s">
        <v>47</v>
      </c>
      <c r="G303" s="133" t="e">
        <f>C295*#REF!</f>
        <v>#REF!</v>
      </c>
      <c r="H303" s="134" t="e">
        <f>#REF!+#REF!</f>
        <v>#REF!</v>
      </c>
      <c r="I303" s="135" t="e">
        <f>+G303*H303</f>
        <v>#REF!</v>
      </c>
      <c r="J303" s="133" t="e">
        <f>C295*#REF!</f>
        <v>#REF!</v>
      </c>
      <c r="K303" s="134" t="e">
        <f>#REF!+#REF!</f>
        <v>#REF!</v>
      </c>
      <c r="L303" s="162" t="e">
        <f>+J303*K303</f>
        <v>#REF!</v>
      </c>
      <c r="M303" s="163" t="e">
        <f t="shared" si="42"/>
        <v>#REF!</v>
      </c>
      <c r="N303" s="164" t="e">
        <f t="shared" si="41"/>
        <v>#REF!</v>
      </c>
      <c r="O303" s="156" t="e">
        <f>L303/L307</f>
        <v>#REF!</v>
      </c>
      <c r="P303" s="95"/>
    </row>
    <row r="304" spans="2:17" ht="17.25" customHeight="1" thickBot="1" x14ac:dyDescent="0.25">
      <c r="B304" s="102"/>
      <c r="C304" s="25"/>
      <c r="D304" s="25"/>
      <c r="E304" s="25"/>
      <c r="F304" s="127" t="s">
        <v>48</v>
      </c>
      <c r="G304" s="133" t="e">
        <f>G303</f>
        <v>#REF!</v>
      </c>
      <c r="H304" s="134" t="e">
        <f>+#REF!</f>
        <v>#REF!</v>
      </c>
      <c r="I304" s="135" t="e">
        <f>+G304*H304</f>
        <v>#REF!</v>
      </c>
      <c r="J304" s="133" t="e">
        <f>J303</f>
        <v>#REF!</v>
      </c>
      <c r="K304" s="134" t="e">
        <f>#REF!</f>
        <v>#REF!</v>
      </c>
      <c r="L304" s="162" t="e">
        <f>+J304*K304</f>
        <v>#REF!</v>
      </c>
      <c r="M304" s="163" t="e">
        <f t="shared" si="42"/>
        <v>#REF!</v>
      </c>
      <c r="N304" s="164" t="e">
        <f t="shared" si="41"/>
        <v>#REF!</v>
      </c>
      <c r="O304" s="156" t="e">
        <f>L304/L307</f>
        <v>#REF!</v>
      </c>
      <c r="P304" s="95"/>
    </row>
    <row r="305" spans="2:17" ht="17.25" customHeight="1" thickBot="1" x14ac:dyDescent="0.25">
      <c r="B305" s="102"/>
      <c r="C305" s="25"/>
      <c r="D305" s="25"/>
      <c r="E305" s="25"/>
      <c r="F305" s="279" t="s">
        <v>97</v>
      </c>
      <c r="G305" s="417"/>
      <c r="H305" s="418"/>
      <c r="I305" s="280" t="e">
        <f>SUM(I302:I304)</f>
        <v>#REF!</v>
      </c>
      <c r="J305" s="417"/>
      <c r="K305" s="418"/>
      <c r="L305" s="280" t="e">
        <f>SUM(L302:L304)</f>
        <v>#REF!</v>
      </c>
      <c r="M305" s="280" t="e">
        <f t="shared" si="42"/>
        <v>#REF!</v>
      </c>
      <c r="N305" s="284" t="e">
        <f t="shared" si="41"/>
        <v>#REF!</v>
      </c>
      <c r="O305" s="286" t="e">
        <f>L305/L307</f>
        <v>#REF!</v>
      </c>
      <c r="P305" s="95"/>
    </row>
    <row r="306" spans="2:17" ht="17.25" customHeight="1" thickBot="1" x14ac:dyDescent="0.25">
      <c r="B306" s="102"/>
      <c r="C306" s="25"/>
      <c r="D306" s="25"/>
      <c r="E306" s="25"/>
      <c r="F306" s="188" t="s">
        <v>170</v>
      </c>
      <c r="G306" s="189"/>
      <c r="H306" s="193">
        <v>0.13</v>
      </c>
      <c r="I306" s="190" t="e">
        <f>I305*H306</f>
        <v>#REF!</v>
      </c>
      <c r="J306" s="189"/>
      <c r="K306" s="193">
        <v>0.13</v>
      </c>
      <c r="L306" s="191" t="e">
        <f>L305*K306</f>
        <v>#REF!</v>
      </c>
      <c r="M306" s="160" t="e">
        <f t="shared" si="42"/>
        <v>#REF!</v>
      </c>
      <c r="N306" s="161" t="e">
        <f t="shared" si="41"/>
        <v>#REF!</v>
      </c>
      <c r="O306" s="166" t="e">
        <f>L306/L307</f>
        <v>#REF!</v>
      </c>
      <c r="P306" s="95"/>
    </row>
    <row r="307" spans="2:17" ht="17.25" customHeight="1" thickBot="1" x14ac:dyDescent="0.25">
      <c r="B307" s="102"/>
      <c r="C307" s="25"/>
      <c r="D307" s="25"/>
      <c r="E307" s="29"/>
      <c r="F307" s="293" t="s">
        <v>49</v>
      </c>
      <c r="G307" s="417"/>
      <c r="H307" s="418"/>
      <c r="I307" s="280" t="e">
        <f>I305+I306</f>
        <v>#REF!</v>
      </c>
      <c r="J307" s="417"/>
      <c r="K307" s="418"/>
      <c r="L307" s="280" t="e">
        <f>L305+L306</f>
        <v>#REF!</v>
      </c>
      <c r="M307" s="280" t="e">
        <f>M305+M306</f>
        <v>#REF!</v>
      </c>
      <c r="N307" s="284" t="e">
        <f t="shared" si="41"/>
        <v>#REF!</v>
      </c>
      <c r="O307" s="285" t="e">
        <f>O305+O306</f>
        <v>#REF!</v>
      </c>
      <c r="P307" s="95"/>
    </row>
    <row r="308" spans="2:17" ht="17.25" customHeight="1" thickBot="1" x14ac:dyDescent="0.25">
      <c r="B308" s="96"/>
      <c r="C308" s="108"/>
      <c r="D308" s="108"/>
      <c r="E308" s="108"/>
      <c r="F308" s="109"/>
      <c r="G308" s="110"/>
      <c r="H308" s="111"/>
      <c r="I308" s="112"/>
      <c r="J308" s="110"/>
      <c r="K308" s="113"/>
      <c r="L308" s="112"/>
      <c r="M308" s="114"/>
      <c r="N308" s="115"/>
      <c r="O308" s="116"/>
      <c r="P308" s="97"/>
    </row>
    <row r="309" spans="2:17" ht="17.25" customHeight="1" thickBot="1" x14ac:dyDescent="0.25">
      <c r="B309" s="24"/>
      <c r="C309" s="25"/>
      <c r="D309" s="25"/>
      <c r="E309" s="25"/>
      <c r="F309" s="42"/>
      <c r="G309" s="43"/>
      <c r="H309" s="44"/>
      <c r="I309" s="45"/>
      <c r="J309" s="43"/>
      <c r="K309" s="46"/>
      <c r="L309" s="45"/>
      <c r="M309" s="47"/>
      <c r="N309" s="105"/>
      <c r="O309" s="106"/>
      <c r="P309" s="24"/>
    </row>
    <row r="310" spans="2:17" ht="17.25" customHeight="1" x14ac:dyDescent="0.35">
      <c r="B310" s="104"/>
      <c r="C310" s="420"/>
      <c r="D310" s="420"/>
      <c r="E310" s="420"/>
      <c r="F310" s="420"/>
      <c r="G310" s="420"/>
      <c r="H310" s="420"/>
      <c r="I310" s="420"/>
      <c r="J310" s="420"/>
      <c r="K310" s="420"/>
      <c r="L310" s="420"/>
      <c r="M310" s="420"/>
      <c r="N310" s="420"/>
      <c r="O310" s="420"/>
      <c r="P310" s="94"/>
    </row>
    <row r="311" spans="2:17" ht="23.25" x14ac:dyDescent="0.35">
      <c r="B311" s="102"/>
      <c r="C311" s="423" t="s">
        <v>125</v>
      </c>
      <c r="D311" s="423"/>
      <c r="E311" s="423"/>
      <c r="F311" s="423"/>
      <c r="G311" s="423"/>
      <c r="H311" s="423"/>
      <c r="I311" s="423"/>
      <c r="J311" s="423"/>
      <c r="K311" s="423"/>
      <c r="L311" s="423"/>
      <c r="M311" s="423"/>
      <c r="N311" s="423"/>
      <c r="O311" s="423"/>
      <c r="P311" s="95"/>
    </row>
    <row r="312" spans="2:17" ht="17.25" customHeight="1" thickBot="1" x14ac:dyDescent="0.4">
      <c r="B312" s="102"/>
      <c r="C312" s="424"/>
      <c r="D312" s="424"/>
      <c r="E312" s="424"/>
      <c r="F312" s="424"/>
      <c r="G312" s="424"/>
      <c r="H312" s="424"/>
      <c r="I312" s="424"/>
      <c r="J312" s="424"/>
      <c r="K312" s="424"/>
      <c r="L312" s="424"/>
      <c r="M312" s="424"/>
      <c r="N312" s="424"/>
      <c r="O312" s="424"/>
      <c r="P312" s="95"/>
      <c r="Q312" s="24"/>
    </row>
    <row r="313" spans="2:17" ht="17.25" customHeight="1" thickBot="1" x14ac:dyDescent="0.25">
      <c r="B313" s="102"/>
      <c r="C313" s="103"/>
      <c r="D313" s="103"/>
      <c r="E313" s="25"/>
      <c r="F313" s="26"/>
      <c r="G313" s="425" t="str">
        <f>$G$10</f>
        <v>2010 BILL</v>
      </c>
      <c r="H313" s="426"/>
      <c r="I313" s="427"/>
      <c r="J313" s="425" t="str">
        <f>$J$10</f>
        <v>2011 BILL</v>
      </c>
      <c r="K313" s="426"/>
      <c r="L313" s="427"/>
      <c r="M313" s="425" t="s">
        <v>43</v>
      </c>
      <c r="N313" s="426"/>
      <c r="O313" s="427"/>
      <c r="P313" s="95"/>
      <c r="Q313" s="24"/>
    </row>
    <row r="314" spans="2:17" ht="26.25" thickBot="1" x14ac:dyDescent="0.25">
      <c r="B314" s="102"/>
      <c r="C314" s="25"/>
      <c r="D314" s="25"/>
      <c r="E314" s="27"/>
      <c r="F314" s="28"/>
      <c r="G314" s="245" t="s">
        <v>37</v>
      </c>
      <c r="H314" s="246" t="s">
        <v>38</v>
      </c>
      <c r="I314" s="247" t="s">
        <v>39</v>
      </c>
      <c r="J314" s="248" t="s">
        <v>37</v>
      </c>
      <c r="K314" s="246" t="s">
        <v>38</v>
      </c>
      <c r="L314" s="247" t="s">
        <v>39</v>
      </c>
      <c r="M314" s="122" t="s">
        <v>44</v>
      </c>
      <c r="N314" s="123" t="s">
        <v>45</v>
      </c>
      <c r="O314" s="124" t="s">
        <v>46</v>
      </c>
      <c r="P314" s="95"/>
      <c r="Q314" s="24"/>
    </row>
    <row r="315" spans="2:17" ht="17.25" customHeight="1" thickBot="1" x14ac:dyDescent="0.25">
      <c r="B315" s="102"/>
      <c r="C315" s="421" t="s">
        <v>40</v>
      </c>
      <c r="D315" s="422"/>
      <c r="E315" s="25"/>
      <c r="F315" s="251" t="s">
        <v>41</v>
      </c>
      <c r="G315" s="249"/>
      <c r="H315" s="243"/>
      <c r="I315" s="135">
        <f>+'2012 Existing Rates'!$C$8</f>
        <v>241.78</v>
      </c>
      <c r="J315" s="133"/>
      <c r="K315" s="244"/>
      <c r="L315" s="162">
        <f>+'Rate Schedule '!$E$19</f>
        <v>195.33</v>
      </c>
      <c r="M315" s="163">
        <f t="shared" ref="M315:M320" si="43">+L315-I315</f>
        <v>-46.449999999999989</v>
      </c>
      <c r="N315" s="164">
        <f>+M315/I315</f>
        <v>-0.19211680039705512</v>
      </c>
      <c r="O315" s="156" t="e">
        <f>L315/L328</f>
        <v>#REF!</v>
      </c>
      <c r="P315" s="95"/>
      <c r="Q315" s="24"/>
    </row>
    <row r="316" spans="2:17" ht="17.25" customHeight="1" thickBot="1" x14ac:dyDescent="0.25">
      <c r="B316" s="102"/>
      <c r="C316" s="100">
        <v>200000</v>
      </c>
      <c r="D316" s="101" t="s">
        <v>12</v>
      </c>
      <c r="E316" s="25"/>
      <c r="F316" s="252" t="s">
        <v>52</v>
      </c>
      <c r="G316" s="250">
        <f>+C317</f>
        <v>500</v>
      </c>
      <c r="H316" s="126" t="e">
        <f>'2012 Existing Rates'!#REF!</f>
        <v>#REF!</v>
      </c>
      <c r="I316" s="141" t="e">
        <f>+G316*H316</f>
        <v>#REF!</v>
      </c>
      <c r="J316" s="132">
        <f>G316</f>
        <v>500</v>
      </c>
      <c r="K316" s="125">
        <f>'Rate Schedule '!$E$20</f>
        <v>2.4857</v>
      </c>
      <c r="L316" s="145">
        <f>+J316*K316</f>
        <v>1242.8499999999999</v>
      </c>
      <c r="M316" s="163" t="e">
        <f t="shared" si="43"/>
        <v>#REF!</v>
      </c>
      <c r="N316" s="164" t="e">
        <f>+M316/I316</f>
        <v>#REF!</v>
      </c>
      <c r="O316" s="156" t="e">
        <f>L316/L328</f>
        <v>#REF!</v>
      </c>
      <c r="P316" s="95"/>
      <c r="Q316" s="24"/>
    </row>
    <row r="317" spans="2:17" ht="17.25" customHeight="1" thickBot="1" x14ac:dyDescent="0.25">
      <c r="B317" s="102"/>
      <c r="C317" s="100">
        <v>500</v>
      </c>
      <c r="D317" s="101" t="s">
        <v>13</v>
      </c>
      <c r="E317" s="25"/>
      <c r="F317" s="252" t="s">
        <v>119</v>
      </c>
      <c r="G317" s="212">
        <f>G316</f>
        <v>500</v>
      </c>
      <c r="H317" s="253" t="e">
        <f>'2012 Existing Rates'!#REF!</f>
        <v>#REF!</v>
      </c>
      <c r="I317" s="141" t="e">
        <f>+G317*H317</f>
        <v>#REF!</v>
      </c>
      <c r="J317" s="132">
        <f>+C317</f>
        <v>500</v>
      </c>
      <c r="K317" s="125" t="e">
        <f>'Rate Schedule '!#REF!</f>
        <v>#REF!</v>
      </c>
      <c r="L317" s="145" t="e">
        <f>+J317*K317</f>
        <v>#REF!</v>
      </c>
      <c r="M317" s="163" t="e">
        <f t="shared" si="43"/>
        <v>#REF!</v>
      </c>
      <c r="N317" s="164" t="e">
        <f>+M317/I317</f>
        <v>#REF!</v>
      </c>
      <c r="O317" s="156" t="e">
        <f>L317/L328</f>
        <v>#REF!</v>
      </c>
      <c r="P317" s="95"/>
    </row>
    <row r="318" spans="2:17" ht="17.25" customHeight="1" x14ac:dyDescent="0.2">
      <c r="B318" s="102"/>
      <c r="C318" s="231"/>
      <c r="D318" s="242"/>
      <c r="E318" s="25"/>
      <c r="F318" s="129" t="s">
        <v>79</v>
      </c>
      <c r="G318" s="151"/>
      <c r="H318" s="150"/>
      <c r="I318" s="141" t="e">
        <f>'2012 Existing Rates'!#REF!</f>
        <v>#REF!</v>
      </c>
      <c r="J318" s="151"/>
      <c r="K318" s="150"/>
      <c r="L318" s="141" t="e">
        <f>'2012 Existing Rates'!#REF!</f>
        <v>#REF!</v>
      </c>
      <c r="M318" s="163" t="e">
        <f t="shared" si="43"/>
        <v>#REF!</v>
      </c>
      <c r="N318" s="164" t="e">
        <f>+M318/I318</f>
        <v>#REF!</v>
      </c>
      <c r="O318" s="156" t="e">
        <f>L318/L328</f>
        <v>#REF!</v>
      </c>
      <c r="P318" s="95"/>
    </row>
    <row r="319" spans="2:17" ht="17.25" customHeight="1" x14ac:dyDescent="0.2">
      <c r="B319" s="102"/>
      <c r="C319" s="54"/>
      <c r="D319" s="55"/>
      <c r="E319" s="25"/>
      <c r="F319" s="129" t="s">
        <v>120</v>
      </c>
      <c r="G319" s="132">
        <f>G317</f>
        <v>500</v>
      </c>
      <c r="H319" s="126"/>
      <c r="I319" s="141">
        <f>+G319*H319</f>
        <v>0</v>
      </c>
      <c r="J319" s="132">
        <f>G319</f>
        <v>500</v>
      </c>
      <c r="K319" s="125" t="e">
        <f>'Rate Schedule '!#REF!</f>
        <v>#REF!</v>
      </c>
      <c r="L319" s="145" t="e">
        <f>+J319*K319</f>
        <v>#REF!</v>
      </c>
      <c r="M319" s="163" t="e">
        <f t="shared" si="43"/>
        <v>#REF!</v>
      </c>
      <c r="N319" s="164">
        <v>0</v>
      </c>
      <c r="O319" s="156" t="e">
        <f>L319/L328</f>
        <v>#REF!</v>
      </c>
      <c r="P319" s="95"/>
    </row>
    <row r="320" spans="2:17" ht="17.25" customHeight="1" thickBot="1" x14ac:dyDescent="0.25">
      <c r="B320" s="102"/>
      <c r="C320" s="25"/>
      <c r="D320" s="25"/>
      <c r="E320" s="25"/>
      <c r="F320" s="130" t="s">
        <v>121</v>
      </c>
      <c r="G320" s="132">
        <f>+C317</f>
        <v>500</v>
      </c>
      <c r="H320" s="126" t="e">
        <f>'2012 Existing Rates'!#REF!</f>
        <v>#REF!</v>
      </c>
      <c r="I320" s="145" t="e">
        <f>+G320*H320</f>
        <v>#REF!</v>
      </c>
      <c r="J320" s="132">
        <f>+C317</f>
        <v>500</v>
      </c>
      <c r="K320" s="125" t="e">
        <f>'Rate Schedule '!#REF!</f>
        <v>#REF!</v>
      </c>
      <c r="L320" s="145" t="e">
        <f>+J320*K320</f>
        <v>#REF!</v>
      </c>
      <c r="M320" s="163" t="e">
        <f t="shared" si="43"/>
        <v>#REF!</v>
      </c>
      <c r="N320" s="164" t="e">
        <f t="shared" ref="N320:N328" si="44">+M320/I320</f>
        <v>#REF!</v>
      </c>
      <c r="O320" s="156" t="e">
        <f>L320/L328</f>
        <v>#REF!</v>
      </c>
      <c r="P320" s="95"/>
    </row>
    <row r="321" spans="2:17" ht="17.25" customHeight="1" thickBot="1" x14ac:dyDescent="0.25">
      <c r="B321" s="102"/>
      <c r="C321" s="25"/>
      <c r="D321" s="25"/>
      <c r="E321" s="25"/>
      <c r="F321" s="279" t="s">
        <v>116</v>
      </c>
      <c r="G321" s="417"/>
      <c r="H321" s="418"/>
      <c r="I321" s="280" t="e">
        <f>SUM(I315:I320)</f>
        <v>#REF!</v>
      </c>
      <c r="J321" s="417"/>
      <c r="K321" s="418"/>
      <c r="L321" s="280" t="e">
        <f>SUM(L315:L320)</f>
        <v>#REF!</v>
      </c>
      <c r="M321" s="283" t="e">
        <f>SUM(M315:M320)</f>
        <v>#REF!</v>
      </c>
      <c r="N321" s="284" t="e">
        <f t="shared" si="44"/>
        <v>#REF!</v>
      </c>
      <c r="O321" s="285" t="e">
        <f>SUM(O315:O320)</f>
        <v>#REF!</v>
      </c>
      <c r="P321" s="95"/>
    </row>
    <row r="322" spans="2:17" ht="17.25" customHeight="1" thickBot="1" x14ac:dyDescent="0.25">
      <c r="B322" s="102"/>
      <c r="C322" s="25"/>
      <c r="D322" s="25"/>
      <c r="E322" s="25"/>
      <c r="F322" s="129" t="s">
        <v>122</v>
      </c>
      <c r="G322" s="233">
        <f>C317</f>
        <v>500</v>
      </c>
      <c r="H322" s="234" t="e">
        <f>#REF!</f>
        <v>#REF!</v>
      </c>
      <c r="I322" s="141" t="e">
        <f>+G322*H322</f>
        <v>#REF!</v>
      </c>
      <c r="J322" s="233">
        <f>C317</f>
        <v>500</v>
      </c>
      <c r="K322" s="234" t="e">
        <f>#REF!</f>
        <v>#REF!</v>
      </c>
      <c r="L322" s="141" t="e">
        <f>+J322*K322</f>
        <v>#REF!</v>
      </c>
      <c r="M322" s="235" t="e">
        <f t="shared" ref="M322:M327" si="45">+L322-I322</f>
        <v>#REF!</v>
      </c>
      <c r="N322" s="153" t="e">
        <f t="shared" si="44"/>
        <v>#REF!</v>
      </c>
      <c r="O322" s="156" t="e">
        <f>L322/L328</f>
        <v>#REF!</v>
      </c>
      <c r="P322" s="95"/>
    </row>
    <row r="323" spans="2:17" ht="17.25" customHeight="1" thickBot="1" x14ac:dyDescent="0.25">
      <c r="B323" s="102"/>
      <c r="C323" s="25"/>
      <c r="D323" s="25"/>
      <c r="E323" s="25"/>
      <c r="F323" s="279" t="s">
        <v>118</v>
      </c>
      <c r="G323" s="417"/>
      <c r="H323" s="418"/>
      <c r="I323" s="280" t="e">
        <f>I321+I322</f>
        <v>#REF!</v>
      </c>
      <c r="J323" s="417"/>
      <c r="K323" s="418"/>
      <c r="L323" s="280" t="e">
        <f>L321+L322</f>
        <v>#REF!</v>
      </c>
      <c r="M323" s="283" t="e">
        <f t="shared" si="45"/>
        <v>#REF!</v>
      </c>
      <c r="N323" s="284" t="e">
        <f t="shared" si="44"/>
        <v>#REF!</v>
      </c>
      <c r="O323" s="286" t="e">
        <f>L323/L328</f>
        <v>#REF!</v>
      </c>
      <c r="P323" s="95"/>
    </row>
    <row r="324" spans="2:17" ht="17.25" customHeight="1" x14ac:dyDescent="0.2">
      <c r="B324" s="102"/>
      <c r="C324" s="25"/>
      <c r="D324" s="25"/>
      <c r="E324" s="25"/>
      <c r="F324" s="127" t="s">
        <v>47</v>
      </c>
      <c r="G324" s="133" t="e">
        <f>C316*#REF!</f>
        <v>#REF!</v>
      </c>
      <c r="H324" s="134" t="e">
        <f>#REF!+#REF!</f>
        <v>#REF!</v>
      </c>
      <c r="I324" s="135" t="e">
        <f>+G324*H324</f>
        <v>#REF!</v>
      </c>
      <c r="J324" s="133" t="e">
        <f>C316*#REF!</f>
        <v>#REF!</v>
      </c>
      <c r="K324" s="134" t="e">
        <f>#REF!+#REF!</f>
        <v>#REF!</v>
      </c>
      <c r="L324" s="162" t="e">
        <f>+J324*K324</f>
        <v>#REF!</v>
      </c>
      <c r="M324" s="163" t="e">
        <f t="shared" si="45"/>
        <v>#REF!</v>
      </c>
      <c r="N324" s="164" t="e">
        <f t="shared" si="44"/>
        <v>#REF!</v>
      </c>
      <c r="O324" s="156" t="e">
        <f>L324/L328</f>
        <v>#REF!</v>
      </c>
      <c r="P324" s="95"/>
    </row>
    <row r="325" spans="2:17" ht="17.25" customHeight="1" thickBot="1" x14ac:dyDescent="0.25">
      <c r="B325" s="102"/>
      <c r="C325" s="25"/>
      <c r="D325" s="25"/>
      <c r="E325" s="25"/>
      <c r="F325" s="127" t="s">
        <v>48</v>
      </c>
      <c r="G325" s="133" t="e">
        <f>G324</f>
        <v>#REF!</v>
      </c>
      <c r="H325" s="134" t="e">
        <f>+#REF!</f>
        <v>#REF!</v>
      </c>
      <c r="I325" s="135" t="e">
        <f>+G325*H325</f>
        <v>#REF!</v>
      </c>
      <c r="J325" s="133" t="e">
        <f>J324</f>
        <v>#REF!</v>
      </c>
      <c r="K325" s="134" t="e">
        <f>#REF!</f>
        <v>#REF!</v>
      </c>
      <c r="L325" s="162" t="e">
        <f>+J325*K325</f>
        <v>#REF!</v>
      </c>
      <c r="M325" s="163" t="e">
        <f t="shared" si="45"/>
        <v>#REF!</v>
      </c>
      <c r="N325" s="164" t="e">
        <f t="shared" si="44"/>
        <v>#REF!</v>
      </c>
      <c r="O325" s="156" t="e">
        <f>L325/L328</f>
        <v>#REF!</v>
      </c>
      <c r="P325" s="95"/>
    </row>
    <row r="326" spans="2:17" ht="17.25" customHeight="1" thickBot="1" x14ac:dyDescent="0.25">
      <c r="B326" s="102"/>
      <c r="C326" s="25"/>
      <c r="D326" s="25"/>
      <c r="E326" s="25"/>
      <c r="F326" s="279" t="s">
        <v>97</v>
      </c>
      <c r="G326" s="417"/>
      <c r="H326" s="418"/>
      <c r="I326" s="280" t="e">
        <f>SUM(I323:I325)</f>
        <v>#REF!</v>
      </c>
      <c r="J326" s="417"/>
      <c r="K326" s="418"/>
      <c r="L326" s="280" t="e">
        <f>SUM(L323:L325)</f>
        <v>#REF!</v>
      </c>
      <c r="M326" s="280" t="e">
        <f t="shared" si="45"/>
        <v>#REF!</v>
      </c>
      <c r="N326" s="284" t="e">
        <f t="shared" si="44"/>
        <v>#REF!</v>
      </c>
      <c r="O326" s="286" t="e">
        <f>L326/L328</f>
        <v>#REF!</v>
      </c>
      <c r="P326" s="95"/>
    </row>
    <row r="327" spans="2:17" ht="17.25" customHeight="1" thickBot="1" x14ac:dyDescent="0.25">
      <c r="B327" s="102"/>
      <c r="C327" s="25"/>
      <c r="D327" s="25"/>
      <c r="E327" s="25"/>
      <c r="F327" s="188" t="s">
        <v>170</v>
      </c>
      <c r="G327" s="189"/>
      <c r="H327" s="193">
        <v>0.13</v>
      </c>
      <c r="I327" s="190" t="e">
        <f>I326*H327</f>
        <v>#REF!</v>
      </c>
      <c r="J327" s="189"/>
      <c r="K327" s="193">
        <v>0.13</v>
      </c>
      <c r="L327" s="191" t="e">
        <f>L326*K327</f>
        <v>#REF!</v>
      </c>
      <c r="M327" s="160" t="e">
        <f t="shared" si="45"/>
        <v>#REF!</v>
      </c>
      <c r="N327" s="161" t="e">
        <f t="shared" si="44"/>
        <v>#REF!</v>
      </c>
      <c r="O327" s="166" t="e">
        <f>L327/L328</f>
        <v>#REF!</v>
      </c>
      <c r="P327" s="95"/>
    </row>
    <row r="328" spans="2:17" ht="17.25" customHeight="1" thickBot="1" x14ac:dyDescent="0.25">
      <c r="B328" s="102"/>
      <c r="C328" s="25"/>
      <c r="D328" s="25"/>
      <c r="E328" s="29"/>
      <c r="F328" s="293" t="s">
        <v>49</v>
      </c>
      <c r="G328" s="417"/>
      <c r="H328" s="418"/>
      <c r="I328" s="280" t="e">
        <f>I326+I327</f>
        <v>#REF!</v>
      </c>
      <c r="J328" s="417"/>
      <c r="K328" s="418"/>
      <c r="L328" s="280" t="e">
        <f>L326+L327</f>
        <v>#REF!</v>
      </c>
      <c r="M328" s="280" t="e">
        <f>M326+M327</f>
        <v>#REF!</v>
      </c>
      <c r="N328" s="284" t="e">
        <f t="shared" si="44"/>
        <v>#REF!</v>
      </c>
      <c r="O328" s="285" t="e">
        <f>O326+O327</f>
        <v>#REF!</v>
      </c>
      <c r="P328" s="95"/>
    </row>
    <row r="329" spans="2:17" ht="17.25" customHeight="1" thickBot="1" x14ac:dyDescent="0.25">
      <c r="B329" s="96"/>
      <c r="C329" s="108"/>
      <c r="D329" s="108"/>
      <c r="E329" s="108"/>
      <c r="F329" s="109"/>
      <c r="G329" s="110"/>
      <c r="H329" s="111"/>
      <c r="I329" s="112"/>
      <c r="J329" s="110"/>
      <c r="K329" s="113"/>
      <c r="L329" s="112"/>
      <c r="M329" s="114"/>
      <c r="N329" s="115"/>
      <c r="O329" s="116"/>
      <c r="P329" s="97"/>
    </row>
    <row r="330" spans="2:17" ht="17.25" customHeight="1" thickBot="1" x14ac:dyDescent="0.25">
      <c r="B330" s="24"/>
      <c r="C330" s="25"/>
      <c r="D330" s="25"/>
      <c r="E330" s="25"/>
      <c r="F330" s="42"/>
      <c r="G330" s="43"/>
      <c r="H330" s="44"/>
      <c r="I330" s="45"/>
      <c r="J330" s="43"/>
      <c r="K330" s="46"/>
      <c r="L330" s="45"/>
      <c r="M330" s="47"/>
      <c r="N330" s="105"/>
      <c r="O330" s="106"/>
      <c r="P330" s="24"/>
    </row>
    <row r="331" spans="2:17" ht="17.25" customHeight="1" x14ac:dyDescent="0.35">
      <c r="B331" s="104"/>
      <c r="C331" s="420"/>
      <c r="D331" s="420"/>
      <c r="E331" s="420"/>
      <c r="F331" s="420"/>
      <c r="G331" s="420"/>
      <c r="H331" s="420"/>
      <c r="I331" s="420"/>
      <c r="J331" s="420"/>
      <c r="K331" s="420"/>
      <c r="L331" s="420"/>
      <c r="M331" s="420"/>
      <c r="N331" s="420"/>
      <c r="O331" s="420"/>
      <c r="P331" s="94"/>
    </row>
    <row r="332" spans="2:17" ht="23.25" x14ac:dyDescent="0.35">
      <c r="B332" s="102"/>
      <c r="C332" s="423" t="s">
        <v>125</v>
      </c>
      <c r="D332" s="423"/>
      <c r="E332" s="423"/>
      <c r="F332" s="423"/>
      <c r="G332" s="423"/>
      <c r="H332" s="423"/>
      <c r="I332" s="423"/>
      <c r="J332" s="423"/>
      <c r="K332" s="423"/>
      <c r="L332" s="423"/>
      <c r="M332" s="423"/>
      <c r="N332" s="423"/>
      <c r="O332" s="423"/>
      <c r="P332" s="95"/>
    </row>
    <row r="333" spans="2:17" ht="17.25" customHeight="1" thickBot="1" x14ac:dyDescent="0.4">
      <c r="B333" s="102"/>
      <c r="C333" s="424"/>
      <c r="D333" s="424"/>
      <c r="E333" s="424"/>
      <c r="F333" s="424"/>
      <c r="G333" s="424"/>
      <c r="H333" s="424"/>
      <c r="I333" s="424"/>
      <c r="J333" s="424"/>
      <c r="K333" s="424"/>
      <c r="L333" s="424"/>
      <c r="M333" s="424"/>
      <c r="N333" s="424"/>
      <c r="O333" s="424"/>
      <c r="P333" s="95"/>
      <c r="Q333" s="24"/>
    </row>
    <row r="334" spans="2:17" ht="17.25" customHeight="1" thickBot="1" x14ac:dyDescent="0.25">
      <c r="B334" s="102"/>
      <c r="C334" s="103"/>
      <c r="D334" s="103"/>
      <c r="E334" s="25"/>
      <c r="F334" s="26"/>
      <c r="G334" s="425" t="str">
        <f>$G$10</f>
        <v>2010 BILL</v>
      </c>
      <c r="H334" s="426"/>
      <c r="I334" s="427"/>
      <c r="J334" s="425" t="str">
        <f>$J$10</f>
        <v>2011 BILL</v>
      </c>
      <c r="K334" s="426"/>
      <c r="L334" s="427"/>
      <c r="M334" s="425" t="s">
        <v>43</v>
      </c>
      <c r="N334" s="426"/>
      <c r="O334" s="427"/>
      <c r="P334" s="95"/>
      <c r="Q334" s="24"/>
    </row>
    <row r="335" spans="2:17" ht="26.25" thickBot="1" x14ac:dyDescent="0.25">
      <c r="B335" s="102"/>
      <c r="C335" s="25"/>
      <c r="D335" s="25"/>
      <c r="E335" s="27"/>
      <c r="F335" s="28"/>
      <c r="G335" s="245" t="s">
        <v>37</v>
      </c>
      <c r="H335" s="246" t="s">
        <v>38</v>
      </c>
      <c r="I335" s="247" t="s">
        <v>39</v>
      </c>
      <c r="J335" s="248" t="s">
        <v>37</v>
      </c>
      <c r="K335" s="246" t="s">
        <v>38</v>
      </c>
      <c r="L335" s="247" t="s">
        <v>39</v>
      </c>
      <c r="M335" s="122" t="s">
        <v>44</v>
      </c>
      <c r="N335" s="123" t="s">
        <v>45</v>
      </c>
      <c r="O335" s="124" t="s">
        <v>46</v>
      </c>
      <c r="P335" s="95"/>
      <c r="Q335" s="24"/>
    </row>
    <row r="336" spans="2:17" ht="17.25" customHeight="1" thickBot="1" x14ac:dyDescent="0.25">
      <c r="B336" s="102"/>
      <c r="C336" s="421" t="s">
        <v>40</v>
      </c>
      <c r="D336" s="422"/>
      <c r="E336" s="25"/>
      <c r="F336" s="251" t="s">
        <v>41</v>
      </c>
      <c r="G336" s="249"/>
      <c r="H336" s="243"/>
      <c r="I336" s="135">
        <f>+'2012 Existing Rates'!$C$8</f>
        <v>241.78</v>
      </c>
      <c r="J336" s="133"/>
      <c r="K336" s="244"/>
      <c r="L336" s="162">
        <f>+'Rate Schedule '!$E$19</f>
        <v>195.33</v>
      </c>
      <c r="M336" s="163">
        <f t="shared" ref="M336:M341" si="46">+L336-I336</f>
        <v>-46.449999999999989</v>
      </c>
      <c r="N336" s="164">
        <f>+M336/I336</f>
        <v>-0.19211680039705512</v>
      </c>
      <c r="O336" s="156" t="e">
        <f>L336/L349</f>
        <v>#REF!</v>
      </c>
      <c r="P336" s="95"/>
      <c r="Q336" s="24"/>
    </row>
    <row r="337" spans="2:17" ht="17.25" customHeight="1" thickBot="1" x14ac:dyDescent="0.25">
      <c r="B337" s="102"/>
      <c r="C337" s="100">
        <v>800000</v>
      </c>
      <c r="D337" s="101" t="s">
        <v>12</v>
      </c>
      <c r="E337" s="25"/>
      <c r="F337" s="252" t="s">
        <v>52</v>
      </c>
      <c r="G337" s="250">
        <f>+C338</f>
        <v>1000</v>
      </c>
      <c r="H337" s="126" t="e">
        <f>'2012 Existing Rates'!#REF!</f>
        <v>#REF!</v>
      </c>
      <c r="I337" s="141" t="e">
        <f>+G337*H337</f>
        <v>#REF!</v>
      </c>
      <c r="J337" s="132">
        <f>G337</f>
        <v>1000</v>
      </c>
      <c r="K337" s="125">
        <f>'Rate Schedule '!$E$20</f>
        <v>2.4857</v>
      </c>
      <c r="L337" s="145">
        <f>+J337*K337</f>
        <v>2485.6999999999998</v>
      </c>
      <c r="M337" s="163" t="e">
        <f t="shared" si="46"/>
        <v>#REF!</v>
      </c>
      <c r="N337" s="164" t="e">
        <f>+M337/I337</f>
        <v>#REF!</v>
      </c>
      <c r="O337" s="156" t="e">
        <f>L337/L349</f>
        <v>#REF!</v>
      </c>
      <c r="P337" s="95"/>
      <c r="Q337" s="24"/>
    </row>
    <row r="338" spans="2:17" ht="17.25" customHeight="1" thickBot="1" x14ac:dyDescent="0.25">
      <c r="B338" s="102"/>
      <c r="C338" s="100">
        <v>1000</v>
      </c>
      <c r="D338" s="101" t="s">
        <v>13</v>
      </c>
      <c r="E338" s="25"/>
      <c r="F338" s="252" t="s">
        <v>119</v>
      </c>
      <c r="G338" s="212">
        <f>G337</f>
        <v>1000</v>
      </c>
      <c r="H338" s="253" t="e">
        <f>'2012 Existing Rates'!#REF!</f>
        <v>#REF!</v>
      </c>
      <c r="I338" s="141" t="e">
        <f>+G338*H338</f>
        <v>#REF!</v>
      </c>
      <c r="J338" s="132">
        <f>+C338</f>
        <v>1000</v>
      </c>
      <c r="K338" s="125" t="e">
        <f>'Rate Schedule '!#REF!</f>
        <v>#REF!</v>
      </c>
      <c r="L338" s="145" t="e">
        <f>+J338*K338</f>
        <v>#REF!</v>
      </c>
      <c r="M338" s="163" t="e">
        <f t="shared" si="46"/>
        <v>#REF!</v>
      </c>
      <c r="N338" s="164" t="e">
        <f>+M338/I338</f>
        <v>#REF!</v>
      </c>
      <c r="O338" s="156" t="e">
        <f>L338/L349</f>
        <v>#REF!</v>
      </c>
      <c r="P338" s="95"/>
    </row>
    <row r="339" spans="2:17" ht="17.25" customHeight="1" x14ac:dyDescent="0.2">
      <c r="B339" s="102"/>
      <c r="C339" s="231"/>
      <c r="D339" s="242"/>
      <c r="E339" s="25"/>
      <c r="F339" s="129" t="s">
        <v>79</v>
      </c>
      <c r="G339" s="151"/>
      <c r="H339" s="150"/>
      <c r="I339" s="141" t="e">
        <f>'2012 Existing Rates'!#REF!</f>
        <v>#REF!</v>
      </c>
      <c r="J339" s="151"/>
      <c r="K339" s="150"/>
      <c r="L339" s="141" t="e">
        <f>'2012 Existing Rates'!#REF!</f>
        <v>#REF!</v>
      </c>
      <c r="M339" s="163" t="e">
        <f t="shared" si="46"/>
        <v>#REF!</v>
      </c>
      <c r="N339" s="164" t="e">
        <f>+M339/I339</f>
        <v>#REF!</v>
      </c>
      <c r="O339" s="156" t="e">
        <f>L339/L349</f>
        <v>#REF!</v>
      </c>
      <c r="P339" s="95"/>
    </row>
    <row r="340" spans="2:17" ht="17.25" customHeight="1" x14ac:dyDescent="0.2">
      <c r="B340" s="102"/>
      <c r="C340" s="54"/>
      <c r="D340" s="55"/>
      <c r="E340" s="25"/>
      <c r="F340" s="129" t="s">
        <v>120</v>
      </c>
      <c r="G340" s="132">
        <f>G338</f>
        <v>1000</v>
      </c>
      <c r="H340" s="126"/>
      <c r="I340" s="141">
        <f>+G340*H340</f>
        <v>0</v>
      </c>
      <c r="J340" s="132">
        <f>G340</f>
        <v>1000</v>
      </c>
      <c r="K340" s="125" t="e">
        <f>'Rate Schedule '!#REF!</f>
        <v>#REF!</v>
      </c>
      <c r="L340" s="145" t="e">
        <f>+J340*K340</f>
        <v>#REF!</v>
      </c>
      <c r="M340" s="163" t="e">
        <f t="shared" si="46"/>
        <v>#REF!</v>
      </c>
      <c r="N340" s="164">
        <v>0</v>
      </c>
      <c r="O340" s="156" t="e">
        <f>L340/L349</f>
        <v>#REF!</v>
      </c>
      <c r="P340" s="95"/>
    </row>
    <row r="341" spans="2:17" ht="17.25" customHeight="1" thickBot="1" x14ac:dyDescent="0.25">
      <c r="B341" s="102"/>
      <c r="C341" s="25"/>
      <c r="D341" s="25"/>
      <c r="E341" s="25"/>
      <c r="F341" s="130" t="s">
        <v>121</v>
      </c>
      <c r="G341" s="132">
        <f>+C338</f>
        <v>1000</v>
      </c>
      <c r="H341" s="126" t="e">
        <f>'2012 Existing Rates'!#REF!</f>
        <v>#REF!</v>
      </c>
      <c r="I341" s="145" t="e">
        <f>+G341*H341</f>
        <v>#REF!</v>
      </c>
      <c r="J341" s="132">
        <f>+C338</f>
        <v>1000</v>
      </c>
      <c r="K341" s="125" t="e">
        <f>'Rate Schedule '!#REF!</f>
        <v>#REF!</v>
      </c>
      <c r="L341" s="145" t="e">
        <f>+J341*K341</f>
        <v>#REF!</v>
      </c>
      <c r="M341" s="163" t="e">
        <f t="shared" si="46"/>
        <v>#REF!</v>
      </c>
      <c r="N341" s="164" t="e">
        <f t="shared" ref="N341:N349" si="47">+M341/I341</f>
        <v>#REF!</v>
      </c>
      <c r="O341" s="156" t="e">
        <f>L341/L349</f>
        <v>#REF!</v>
      </c>
      <c r="P341" s="95"/>
    </row>
    <row r="342" spans="2:17" ht="17.25" customHeight="1" thickBot="1" x14ac:dyDescent="0.25">
      <c r="B342" s="102"/>
      <c r="C342" s="25"/>
      <c r="D342" s="25"/>
      <c r="E342" s="25"/>
      <c r="F342" s="279" t="s">
        <v>116</v>
      </c>
      <c r="G342" s="417"/>
      <c r="H342" s="418"/>
      <c r="I342" s="280" t="e">
        <f>SUM(I336:I341)</f>
        <v>#REF!</v>
      </c>
      <c r="J342" s="417"/>
      <c r="K342" s="418"/>
      <c r="L342" s="280" t="e">
        <f>SUM(L336:L341)</f>
        <v>#REF!</v>
      </c>
      <c r="M342" s="283" t="e">
        <f>SUM(M336:M341)</f>
        <v>#REF!</v>
      </c>
      <c r="N342" s="284" t="e">
        <f t="shared" si="47"/>
        <v>#REF!</v>
      </c>
      <c r="O342" s="285" t="e">
        <f>SUM(O336:O341)</f>
        <v>#REF!</v>
      </c>
      <c r="P342" s="95"/>
    </row>
    <row r="343" spans="2:17" ht="17.25" customHeight="1" thickBot="1" x14ac:dyDescent="0.25">
      <c r="B343" s="102"/>
      <c r="C343" s="25"/>
      <c r="D343" s="25"/>
      <c r="E343" s="25"/>
      <c r="F343" s="129" t="s">
        <v>122</v>
      </c>
      <c r="G343" s="233">
        <f>C338</f>
        <v>1000</v>
      </c>
      <c r="H343" s="234" t="e">
        <f>#REF!</f>
        <v>#REF!</v>
      </c>
      <c r="I343" s="141" t="e">
        <f>+G343*H343</f>
        <v>#REF!</v>
      </c>
      <c r="J343" s="233">
        <f>C338</f>
        <v>1000</v>
      </c>
      <c r="K343" s="234" t="e">
        <f>#REF!</f>
        <v>#REF!</v>
      </c>
      <c r="L343" s="141" t="e">
        <f>+J343*K343</f>
        <v>#REF!</v>
      </c>
      <c r="M343" s="235" t="e">
        <f t="shared" ref="M343:M348" si="48">+L343-I343</f>
        <v>#REF!</v>
      </c>
      <c r="N343" s="153" t="e">
        <f t="shared" si="47"/>
        <v>#REF!</v>
      </c>
      <c r="O343" s="156" t="e">
        <f>L343/L349</f>
        <v>#REF!</v>
      </c>
      <c r="P343" s="95"/>
    </row>
    <row r="344" spans="2:17" ht="17.25" customHeight="1" thickBot="1" x14ac:dyDescent="0.25">
      <c r="B344" s="102"/>
      <c r="C344" s="25"/>
      <c r="D344" s="25"/>
      <c r="E344" s="25"/>
      <c r="F344" s="279" t="s">
        <v>118</v>
      </c>
      <c r="G344" s="417"/>
      <c r="H344" s="418"/>
      <c r="I344" s="280" t="e">
        <f>I342+I343</f>
        <v>#REF!</v>
      </c>
      <c r="J344" s="417"/>
      <c r="K344" s="418"/>
      <c r="L344" s="280" t="e">
        <f>L342+L343</f>
        <v>#REF!</v>
      </c>
      <c r="M344" s="283" t="e">
        <f t="shared" si="48"/>
        <v>#REF!</v>
      </c>
      <c r="N344" s="284" t="e">
        <f t="shared" si="47"/>
        <v>#REF!</v>
      </c>
      <c r="O344" s="286" t="e">
        <f>L344/L349</f>
        <v>#REF!</v>
      </c>
      <c r="P344" s="95"/>
    </row>
    <row r="345" spans="2:17" ht="17.25" customHeight="1" x14ac:dyDescent="0.2">
      <c r="B345" s="102"/>
      <c r="C345" s="25"/>
      <c r="D345" s="25"/>
      <c r="E345" s="25"/>
      <c r="F345" s="127" t="s">
        <v>47</v>
      </c>
      <c r="G345" s="133" t="e">
        <f>C337*#REF!</f>
        <v>#REF!</v>
      </c>
      <c r="H345" s="134" t="e">
        <f>#REF!+#REF!</f>
        <v>#REF!</v>
      </c>
      <c r="I345" s="135" t="e">
        <f>+G345*H345</f>
        <v>#REF!</v>
      </c>
      <c r="J345" s="133" t="e">
        <f>C337*#REF!</f>
        <v>#REF!</v>
      </c>
      <c r="K345" s="134" t="e">
        <f>#REF!+#REF!</f>
        <v>#REF!</v>
      </c>
      <c r="L345" s="162" t="e">
        <f>+J345*K345</f>
        <v>#REF!</v>
      </c>
      <c r="M345" s="163" t="e">
        <f t="shared" si="48"/>
        <v>#REF!</v>
      </c>
      <c r="N345" s="164" t="e">
        <f t="shared" si="47"/>
        <v>#REF!</v>
      </c>
      <c r="O345" s="156" t="e">
        <f>L345/L349</f>
        <v>#REF!</v>
      </c>
      <c r="P345" s="95"/>
    </row>
    <row r="346" spans="2:17" ht="17.25" customHeight="1" thickBot="1" x14ac:dyDescent="0.25">
      <c r="B346" s="102"/>
      <c r="C346" s="25"/>
      <c r="D346" s="25"/>
      <c r="E346" s="25"/>
      <c r="F346" s="127" t="s">
        <v>48</v>
      </c>
      <c r="G346" s="133" t="e">
        <f>G345</f>
        <v>#REF!</v>
      </c>
      <c r="H346" s="134" t="e">
        <f>+#REF!</f>
        <v>#REF!</v>
      </c>
      <c r="I346" s="135" t="e">
        <f>+G346*H346</f>
        <v>#REF!</v>
      </c>
      <c r="J346" s="133" t="e">
        <f>J345</f>
        <v>#REF!</v>
      </c>
      <c r="K346" s="134" t="e">
        <f>#REF!</f>
        <v>#REF!</v>
      </c>
      <c r="L346" s="162" t="e">
        <f>+J346*K346</f>
        <v>#REF!</v>
      </c>
      <c r="M346" s="163" t="e">
        <f t="shared" si="48"/>
        <v>#REF!</v>
      </c>
      <c r="N346" s="164" t="e">
        <f t="shared" si="47"/>
        <v>#REF!</v>
      </c>
      <c r="O346" s="156" t="e">
        <f>L346/L349</f>
        <v>#REF!</v>
      </c>
      <c r="P346" s="95"/>
    </row>
    <row r="347" spans="2:17" ht="17.25" customHeight="1" thickBot="1" x14ac:dyDescent="0.25">
      <c r="B347" s="102"/>
      <c r="C347" s="25"/>
      <c r="D347" s="25"/>
      <c r="E347" s="25"/>
      <c r="F347" s="279" t="s">
        <v>97</v>
      </c>
      <c r="G347" s="417"/>
      <c r="H347" s="418"/>
      <c r="I347" s="280" t="e">
        <f>SUM(I344:I346)</f>
        <v>#REF!</v>
      </c>
      <c r="J347" s="417"/>
      <c r="K347" s="418"/>
      <c r="L347" s="280" t="e">
        <f>SUM(L344:L346)</f>
        <v>#REF!</v>
      </c>
      <c r="M347" s="280" t="e">
        <f t="shared" si="48"/>
        <v>#REF!</v>
      </c>
      <c r="N347" s="284" t="e">
        <f t="shared" si="47"/>
        <v>#REF!</v>
      </c>
      <c r="O347" s="286" t="e">
        <f>L347/L349</f>
        <v>#REF!</v>
      </c>
      <c r="P347" s="95"/>
    </row>
    <row r="348" spans="2:17" ht="17.25" customHeight="1" thickBot="1" x14ac:dyDescent="0.25">
      <c r="B348" s="102"/>
      <c r="C348" s="25"/>
      <c r="D348" s="25"/>
      <c r="E348" s="25"/>
      <c r="F348" s="188" t="s">
        <v>170</v>
      </c>
      <c r="G348" s="189"/>
      <c r="H348" s="193">
        <v>0.13</v>
      </c>
      <c r="I348" s="190" t="e">
        <f>I347*H348</f>
        <v>#REF!</v>
      </c>
      <c r="J348" s="189"/>
      <c r="K348" s="193">
        <v>0.13</v>
      </c>
      <c r="L348" s="191" t="e">
        <f>L347*K348</f>
        <v>#REF!</v>
      </c>
      <c r="M348" s="160" t="e">
        <f t="shared" si="48"/>
        <v>#REF!</v>
      </c>
      <c r="N348" s="161" t="e">
        <f t="shared" si="47"/>
        <v>#REF!</v>
      </c>
      <c r="O348" s="166" t="e">
        <f>L348/L349</f>
        <v>#REF!</v>
      </c>
      <c r="P348" s="95"/>
    </row>
    <row r="349" spans="2:17" ht="17.25" customHeight="1" thickBot="1" x14ac:dyDescent="0.25">
      <c r="B349" s="102"/>
      <c r="C349" s="25"/>
      <c r="D349" s="25"/>
      <c r="E349" s="29"/>
      <c r="F349" s="293" t="s">
        <v>49</v>
      </c>
      <c r="G349" s="417"/>
      <c r="H349" s="418"/>
      <c r="I349" s="280" t="e">
        <f>I347+I348</f>
        <v>#REF!</v>
      </c>
      <c r="J349" s="417"/>
      <c r="K349" s="418"/>
      <c r="L349" s="280" t="e">
        <f>L347+L348</f>
        <v>#REF!</v>
      </c>
      <c r="M349" s="280" t="e">
        <f>M347+M348</f>
        <v>#REF!</v>
      </c>
      <c r="N349" s="284" t="e">
        <f t="shared" si="47"/>
        <v>#REF!</v>
      </c>
      <c r="O349" s="285" t="e">
        <f>O347+O348</f>
        <v>#REF!</v>
      </c>
      <c r="P349" s="95"/>
    </row>
    <row r="350" spans="2:17" ht="17.25" customHeight="1" thickBot="1" x14ac:dyDescent="0.25">
      <c r="B350" s="96"/>
      <c r="C350" s="108"/>
      <c r="D350" s="108"/>
      <c r="E350" s="108"/>
      <c r="F350" s="109"/>
      <c r="G350" s="110"/>
      <c r="H350" s="111"/>
      <c r="I350" s="112"/>
      <c r="J350" s="110"/>
      <c r="K350" s="113"/>
      <c r="L350" s="112"/>
      <c r="M350" s="114"/>
      <c r="N350" s="115"/>
      <c r="O350" s="116"/>
      <c r="P350" s="97"/>
    </row>
    <row r="351" spans="2:17" ht="17.25" customHeight="1" thickBot="1" x14ac:dyDescent="0.25">
      <c r="B351" s="24"/>
      <c r="C351" s="25"/>
      <c r="D351" s="25"/>
      <c r="E351" s="25"/>
      <c r="F351" s="42"/>
      <c r="G351" s="43"/>
      <c r="H351" s="44"/>
      <c r="I351" s="45"/>
      <c r="J351" s="43"/>
      <c r="K351" s="46"/>
      <c r="L351" s="45"/>
      <c r="M351" s="47"/>
      <c r="N351" s="105"/>
      <c r="O351" s="106"/>
      <c r="P351" s="24"/>
    </row>
    <row r="352" spans="2:17" ht="17.25" customHeight="1" x14ac:dyDescent="0.35">
      <c r="B352" s="104"/>
      <c r="C352" s="420"/>
      <c r="D352" s="420"/>
      <c r="E352" s="420"/>
      <c r="F352" s="420"/>
      <c r="G352" s="420"/>
      <c r="H352" s="420"/>
      <c r="I352" s="420"/>
      <c r="J352" s="420"/>
      <c r="K352" s="420"/>
      <c r="L352" s="420"/>
      <c r="M352" s="420"/>
      <c r="N352" s="420"/>
      <c r="O352" s="420"/>
      <c r="P352" s="94"/>
    </row>
    <row r="353" spans="2:17" ht="23.25" x14ac:dyDescent="0.35">
      <c r="B353" s="102"/>
      <c r="C353" s="423" t="s">
        <v>125</v>
      </c>
      <c r="D353" s="423"/>
      <c r="E353" s="423"/>
      <c r="F353" s="423"/>
      <c r="G353" s="423"/>
      <c r="H353" s="423"/>
      <c r="I353" s="423"/>
      <c r="J353" s="423"/>
      <c r="K353" s="423"/>
      <c r="L353" s="423"/>
      <c r="M353" s="423"/>
      <c r="N353" s="423"/>
      <c r="O353" s="423"/>
      <c r="P353" s="95"/>
    </row>
    <row r="354" spans="2:17" ht="17.25" customHeight="1" thickBot="1" x14ac:dyDescent="0.4">
      <c r="B354" s="102"/>
      <c r="C354" s="424"/>
      <c r="D354" s="424"/>
      <c r="E354" s="424"/>
      <c r="F354" s="424"/>
      <c r="G354" s="424"/>
      <c r="H354" s="424"/>
      <c r="I354" s="424"/>
      <c r="J354" s="424"/>
      <c r="K354" s="424"/>
      <c r="L354" s="424"/>
      <c r="M354" s="424"/>
      <c r="N354" s="424"/>
      <c r="O354" s="424"/>
      <c r="P354" s="95"/>
      <c r="Q354" s="24"/>
    </row>
    <row r="355" spans="2:17" ht="17.25" customHeight="1" thickBot="1" x14ac:dyDescent="0.25">
      <c r="B355" s="102"/>
      <c r="C355" s="103"/>
      <c r="D355" s="103"/>
      <c r="E355" s="25"/>
      <c r="F355" s="26"/>
      <c r="G355" s="425" t="str">
        <f>$G$10</f>
        <v>2010 BILL</v>
      </c>
      <c r="H355" s="426"/>
      <c r="I355" s="427"/>
      <c r="J355" s="425" t="str">
        <f>$J$10</f>
        <v>2011 BILL</v>
      </c>
      <c r="K355" s="426"/>
      <c r="L355" s="427"/>
      <c r="M355" s="425" t="s">
        <v>43</v>
      </c>
      <c r="N355" s="426"/>
      <c r="O355" s="427"/>
      <c r="P355" s="95"/>
      <c r="Q355" s="24"/>
    </row>
    <row r="356" spans="2:17" ht="26.25" thickBot="1" x14ac:dyDescent="0.25">
      <c r="B356" s="102"/>
      <c r="C356" s="25"/>
      <c r="D356" s="25"/>
      <c r="E356" s="27"/>
      <c r="F356" s="28"/>
      <c r="G356" s="245" t="s">
        <v>37</v>
      </c>
      <c r="H356" s="246" t="s">
        <v>38</v>
      </c>
      <c r="I356" s="247" t="s">
        <v>39</v>
      </c>
      <c r="J356" s="248" t="s">
        <v>37</v>
      </c>
      <c r="K356" s="246" t="s">
        <v>38</v>
      </c>
      <c r="L356" s="247" t="s">
        <v>39</v>
      </c>
      <c r="M356" s="122" t="s">
        <v>44</v>
      </c>
      <c r="N356" s="123" t="s">
        <v>45</v>
      </c>
      <c r="O356" s="124" t="s">
        <v>46</v>
      </c>
      <c r="P356" s="95"/>
      <c r="Q356" s="24"/>
    </row>
    <row r="357" spans="2:17" ht="17.25" customHeight="1" thickBot="1" x14ac:dyDescent="0.25">
      <c r="B357" s="102"/>
      <c r="C357" s="421" t="s">
        <v>40</v>
      </c>
      <c r="D357" s="422"/>
      <c r="E357" s="25"/>
      <c r="F357" s="251" t="s">
        <v>41</v>
      </c>
      <c r="G357" s="249"/>
      <c r="H357" s="243"/>
      <c r="I357" s="135">
        <f>+'2012 Existing Rates'!$C$8</f>
        <v>241.78</v>
      </c>
      <c r="J357" s="133"/>
      <c r="K357" s="244"/>
      <c r="L357" s="162">
        <f>+'Rate Schedule '!$E$19</f>
        <v>195.33</v>
      </c>
      <c r="M357" s="163">
        <f t="shared" ref="M357:M362" si="49">+L357-I357</f>
        <v>-46.449999999999989</v>
      </c>
      <c r="N357" s="164">
        <f>+M357/I357</f>
        <v>-0.19211680039705512</v>
      </c>
      <c r="O357" s="156" t="e">
        <f>L357/L370</f>
        <v>#REF!</v>
      </c>
      <c r="P357" s="95"/>
      <c r="Q357" s="24"/>
    </row>
    <row r="358" spans="2:17" ht="17.25" customHeight="1" thickBot="1" x14ac:dyDescent="0.25">
      <c r="B358" s="102"/>
      <c r="C358" s="100">
        <v>1600000</v>
      </c>
      <c r="D358" s="101" t="s">
        <v>12</v>
      </c>
      <c r="E358" s="25"/>
      <c r="F358" s="252" t="s">
        <v>52</v>
      </c>
      <c r="G358" s="250">
        <f>+C359</f>
        <v>4000</v>
      </c>
      <c r="H358" s="126" t="e">
        <f>'2012 Existing Rates'!#REF!</f>
        <v>#REF!</v>
      </c>
      <c r="I358" s="141" t="e">
        <f>+G358*H358</f>
        <v>#REF!</v>
      </c>
      <c r="J358" s="132">
        <f>G358</f>
        <v>4000</v>
      </c>
      <c r="K358" s="125">
        <f>'Rate Schedule '!$E$20</f>
        <v>2.4857</v>
      </c>
      <c r="L358" s="145">
        <f>+J358*K358</f>
        <v>9942.7999999999993</v>
      </c>
      <c r="M358" s="163" t="e">
        <f t="shared" si="49"/>
        <v>#REF!</v>
      </c>
      <c r="N358" s="164" t="e">
        <f>+M358/I358</f>
        <v>#REF!</v>
      </c>
      <c r="O358" s="156" t="e">
        <f>L358/L370</f>
        <v>#REF!</v>
      </c>
      <c r="P358" s="95"/>
      <c r="Q358" s="24"/>
    </row>
    <row r="359" spans="2:17" ht="17.25" customHeight="1" thickBot="1" x14ac:dyDescent="0.25">
      <c r="B359" s="102"/>
      <c r="C359" s="100">
        <v>4000</v>
      </c>
      <c r="D359" s="101" t="s">
        <v>13</v>
      </c>
      <c r="E359" s="25"/>
      <c r="F359" s="252" t="s">
        <v>119</v>
      </c>
      <c r="G359" s="212">
        <f>G358</f>
        <v>4000</v>
      </c>
      <c r="H359" s="253" t="e">
        <f>'2012 Existing Rates'!#REF!</f>
        <v>#REF!</v>
      </c>
      <c r="I359" s="141" t="e">
        <f>+G359*H359</f>
        <v>#REF!</v>
      </c>
      <c r="J359" s="132">
        <f>+C359</f>
        <v>4000</v>
      </c>
      <c r="K359" s="125" t="e">
        <f>'Rate Schedule '!#REF!</f>
        <v>#REF!</v>
      </c>
      <c r="L359" s="145" t="e">
        <f>+J359*K359</f>
        <v>#REF!</v>
      </c>
      <c r="M359" s="163" t="e">
        <f t="shared" si="49"/>
        <v>#REF!</v>
      </c>
      <c r="N359" s="164" t="e">
        <f>+M359/I359</f>
        <v>#REF!</v>
      </c>
      <c r="O359" s="156" t="e">
        <f>L359/L370</f>
        <v>#REF!</v>
      </c>
      <c r="P359" s="95"/>
    </row>
    <row r="360" spans="2:17" ht="17.25" customHeight="1" x14ac:dyDescent="0.2">
      <c r="B360" s="102"/>
      <c r="C360" s="231"/>
      <c r="D360" s="242"/>
      <c r="E360" s="25"/>
      <c r="F360" s="129" t="s">
        <v>79</v>
      </c>
      <c r="G360" s="151"/>
      <c r="H360" s="150"/>
      <c r="I360" s="141" t="e">
        <f>'2012 Existing Rates'!#REF!</f>
        <v>#REF!</v>
      </c>
      <c r="J360" s="151"/>
      <c r="K360" s="150"/>
      <c r="L360" s="141" t="e">
        <f>'2012 Existing Rates'!#REF!</f>
        <v>#REF!</v>
      </c>
      <c r="M360" s="163" t="e">
        <f t="shared" si="49"/>
        <v>#REF!</v>
      </c>
      <c r="N360" s="164" t="e">
        <f>+M360/I360</f>
        <v>#REF!</v>
      </c>
      <c r="O360" s="156" t="e">
        <f>L360/L370</f>
        <v>#REF!</v>
      </c>
      <c r="P360" s="95"/>
    </row>
    <row r="361" spans="2:17" ht="17.25" customHeight="1" x14ac:dyDescent="0.2">
      <c r="B361" s="102"/>
      <c r="C361" s="54"/>
      <c r="D361" s="55"/>
      <c r="E361" s="25"/>
      <c r="F361" s="129" t="s">
        <v>120</v>
      </c>
      <c r="G361" s="132">
        <f>G359</f>
        <v>4000</v>
      </c>
      <c r="H361" s="126"/>
      <c r="I361" s="141">
        <f>+G361*H361</f>
        <v>0</v>
      </c>
      <c r="J361" s="132">
        <f>G361</f>
        <v>4000</v>
      </c>
      <c r="K361" s="125" t="e">
        <f>'Rate Schedule '!#REF!</f>
        <v>#REF!</v>
      </c>
      <c r="L361" s="145" t="e">
        <f>+J361*K361</f>
        <v>#REF!</v>
      </c>
      <c r="M361" s="163" t="e">
        <f t="shared" si="49"/>
        <v>#REF!</v>
      </c>
      <c r="N361" s="164">
        <v>0</v>
      </c>
      <c r="O361" s="156" t="e">
        <f>L361/L370</f>
        <v>#REF!</v>
      </c>
      <c r="P361" s="95"/>
    </row>
    <row r="362" spans="2:17" ht="17.25" customHeight="1" thickBot="1" x14ac:dyDescent="0.25">
      <c r="B362" s="102"/>
      <c r="C362" s="25"/>
      <c r="D362" s="25"/>
      <c r="E362" s="25"/>
      <c r="F362" s="130" t="s">
        <v>121</v>
      </c>
      <c r="G362" s="132">
        <f>+C359</f>
        <v>4000</v>
      </c>
      <c r="H362" s="126" t="e">
        <f>'2012 Existing Rates'!#REF!</f>
        <v>#REF!</v>
      </c>
      <c r="I362" s="145" t="e">
        <f>+G362*H362</f>
        <v>#REF!</v>
      </c>
      <c r="J362" s="132">
        <f>+C359</f>
        <v>4000</v>
      </c>
      <c r="K362" s="125" t="e">
        <f>'Rate Schedule '!#REF!</f>
        <v>#REF!</v>
      </c>
      <c r="L362" s="145" t="e">
        <f>+J362*K362</f>
        <v>#REF!</v>
      </c>
      <c r="M362" s="163" t="e">
        <f t="shared" si="49"/>
        <v>#REF!</v>
      </c>
      <c r="N362" s="164" t="e">
        <f t="shared" ref="N362:N370" si="50">+M362/I362</f>
        <v>#REF!</v>
      </c>
      <c r="O362" s="156" t="e">
        <f>L362/L370</f>
        <v>#REF!</v>
      </c>
      <c r="P362" s="95"/>
    </row>
    <row r="363" spans="2:17" ht="17.25" customHeight="1" thickBot="1" x14ac:dyDescent="0.25">
      <c r="B363" s="102"/>
      <c r="C363" s="25"/>
      <c r="D363" s="25"/>
      <c r="E363" s="25"/>
      <c r="F363" s="279" t="s">
        <v>116</v>
      </c>
      <c r="G363" s="417"/>
      <c r="H363" s="418"/>
      <c r="I363" s="280" t="e">
        <f>SUM(I357:I362)</f>
        <v>#REF!</v>
      </c>
      <c r="J363" s="417"/>
      <c r="K363" s="418"/>
      <c r="L363" s="280" t="e">
        <f>SUM(L357:L362)</f>
        <v>#REF!</v>
      </c>
      <c r="M363" s="283" t="e">
        <f>SUM(M357:M362)</f>
        <v>#REF!</v>
      </c>
      <c r="N363" s="284" t="e">
        <f t="shared" si="50"/>
        <v>#REF!</v>
      </c>
      <c r="O363" s="285" t="e">
        <f>SUM(O357:O362)</f>
        <v>#REF!</v>
      </c>
      <c r="P363" s="95"/>
    </row>
    <row r="364" spans="2:17" ht="17.25" customHeight="1" thickBot="1" x14ac:dyDescent="0.25">
      <c r="B364" s="102"/>
      <c r="C364" s="25"/>
      <c r="D364" s="25"/>
      <c r="E364" s="25"/>
      <c r="F364" s="129" t="s">
        <v>122</v>
      </c>
      <c r="G364" s="233">
        <f>C359</f>
        <v>4000</v>
      </c>
      <c r="H364" s="234" t="e">
        <f>#REF!</f>
        <v>#REF!</v>
      </c>
      <c r="I364" s="141" t="e">
        <f>+G364*H364</f>
        <v>#REF!</v>
      </c>
      <c r="J364" s="233">
        <f>C359</f>
        <v>4000</v>
      </c>
      <c r="K364" s="234" t="e">
        <f>#REF!</f>
        <v>#REF!</v>
      </c>
      <c r="L364" s="141" t="e">
        <f>+J364*K364</f>
        <v>#REF!</v>
      </c>
      <c r="M364" s="235" t="e">
        <f t="shared" ref="M364:M369" si="51">+L364-I364</f>
        <v>#REF!</v>
      </c>
      <c r="N364" s="153" t="e">
        <f t="shared" si="50"/>
        <v>#REF!</v>
      </c>
      <c r="O364" s="156" t="e">
        <f>L364/L370</f>
        <v>#REF!</v>
      </c>
      <c r="P364" s="95"/>
    </row>
    <row r="365" spans="2:17" ht="17.25" customHeight="1" thickBot="1" x14ac:dyDescent="0.25">
      <c r="B365" s="102"/>
      <c r="C365" s="25"/>
      <c r="D365" s="25"/>
      <c r="E365" s="25"/>
      <c r="F365" s="279" t="s">
        <v>118</v>
      </c>
      <c r="G365" s="417"/>
      <c r="H365" s="418"/>
      <c r="I365" s="280" t="e">
        <f>I363+I364</f>
        <v>#REF!</v>
      </c>
      <c r="J365" s="417"/>
      <c r="K365" s="418"/>
      <c r="L365" s="280" t="e">
        <f>L363+L364</f>
        <v>#REF!</v>
      </c>
      <c r="M365" s="283" t="e">
        <f t="shared" si="51"/>
        <v>#REF!</v>
      </c>
      <c r="N365" s="284" t="e">
        <f t="shared" si="50"/>
        <v>#REF!</v>
      </c>
      <c r="O365" s="286" t="e">
        <f>L365/L370</f>
        <v>#REF!</v>
      </c>
      <c r="P365" s="95"/>
    </row>
    <row r="366" spans="2:17" ht="17.25" customHeight="1" x14ac:dyDescent="0.2">
      <c r="B366" s="102"/>
      <c r="C366" s="25"/>
      <c r="D366" s="25"/>
      <c r="E366" s="25"/>
      <c r="F366" s="127" t="s">
        <v>47</v>
      </c>
      <c r="G366" s="133" t="e">
        <f>C358*#REF!</f>
        <v>#REF!</v>
      </c>
      <c r="H366" s="134" t="e">
        <f>#REF!+#REF!</f>
        <v>#REF!</v>
      </c>
      <c r="I366" s="135" t="e">
        <f>+G366*H366</f>
        <v>#REF!</v>
      </c>
      <c r="J366" s="133" t="e">
        <f>C358*#REF!</f>
        <v>#REF!</v>
      </c>
      <c r="K366" s="134" t="e">
        <f>#REF!+#REF!</f>
        <v>#REF!</v>
      </c>
      <c r="L366" s="162" t="e">
        <f>+J366*K366</f>
        <v>#REF!</v>
      </c>
      <c r="M366" s="163" t="e">
        <f t="shared" si="51"/>
        <v>#REF!</v>
      </c>
      <c r="N366" s="164" t="e">
        <f t="shared" si="50"/>
        <v>#REF!</v>
      </c>
      <c r="O366" s="156" t="e">
        <f>L366/L370</f>
        <v>#REF!</v>
      </c>
      <c r="P366" s="95"/>
    </row>
    <row r="367" spans="2:17" ht="17.25" customHeight="1" thickBot="1" x14ac:dyDescent="0.25">
      <c r="B367" s="102"/>
      <c r="C367" s="25"/>
      <c r="D367" s="25"/>
      <c r="E367" s="25"/>
      <c r="F367" s="127" t="s">
        <v>48</v>
      </c>
      <c r="G367" s="133" t="e">
        <f>G366</f>
        <v>#REF!</v>
      </c>
      <c r="H367" s="134" t="e">
        <f>+#REF!</f>
        <v>#REF!</v>
      </c>
      <c r="I367" s="135" t="e">
        <f>+G367*H367</f>
        <v>#REF!</v>
      </c>
      <c r="J367" s="133" t="e">
        <f>J366</f>
        <v>#REF!</v>
      </c>
      <c r="K367" s="134" t="e">
        <f>#REF!</f>
        <v>#REF!</v>
      </c>
      <c r="L367" s="162" t="e">
        <f>+J367*K367</f>
        <v>#REF!</v>
      </c>
      <c r="M367" s="163" t="e">
        <f t="shared" si="51"/>
        <v>#REF!</v>
      </c>
      <c r="N367" s="164" t="e">
        <f t="shared" si="50"/>
        <v>#REF!</v>
      </c>
      <c r="O367" s="156" t="e">
        <f>L367/L370</f>
        <v>#REF!</v>
      </c>
      <c r="P367" s="95"/>
    </row>
    <row r="368" spans="2:17" ht="17.25" customHeight="1" thickBot="1" x14ac:dyDescent="0.25">
      <c r="B368" s="102"/>
      <c r="C368" s="25"/>
      <c r="D368" s="25"/>
      <c r="E368" s="25"/>
      <c r="F368" s="279" t="s">
        <v>97</v>
      </c>
      <c r="G368" s="417"/>
      <c r="H368" s="418"/>
      <c r="I368" s="280" t="e">
        <f>SUM(I365:I367)</f>
        <v>#REF!</v>
      </c>
      <c r="J368" s="417"/>
      <c r="K368" s="418"/>
      <c r="L368" s="280" t="e">
        <f>SUM(L365:L367)</f>
        <v>#REF!</v>
      </c>
      <c r="M368" s="280" t="e">
        <f t="shared" si="51"/>
        <v>#REF!</v>
      </c>
      <c r="N368" s="284" t="e">
        <f t="shared" si="50"/>
        <v>#REF!</v>
      </c>
      <c r="O368" s="286" t="e">
        <f>L368/L370</f>
        <v>#REF!</v>
      </c>
      <c r="P368" s="95"/>
    </row>
    <row r="369" spans="2:17" ht="17.25" customHeight="1" thickBot="1" x14ac:dyDescent="0.25">
      <c r="B369" s="102"/>
      <c r="C369" s="25"/>
      <c r="D369" s="25"/>
      <c r="E369" s="25"/>
      <c r="F369" s="188" t="s">
        <v>170</v>
      </c>
      <c r="G369" s="189"/>
      <c r="H369" s="193">
        <v>0.13</v>
      </c>
      <c r="I369" s="190" t="e">
        <f>I368*H369</f>
        <v>#REF!</v>
      </c>
      <c r="J369" s="189"/>
      <c r="K369" s="193">
        <v>0.13</v>
      </c>
      <c r="L369" s="191" t="e">
        <f>L368*K369</f>
        <v>#REF!</v>
      </c>
      <c r="M369" s="160" t="e">
        <f t="shared" si="51"/>
        <v>#REF!</v>
      </c>
      <c r="N369" s="161" t="e">
        <f t="shared" si="50"/>
        <v>#REF!</v>
      </c>
      <c r="O369" s="166" t="e">
        <f>L369/L370</f>
        <v>#REF!</v>
      </c>
      <c r="P369" s="95"/>
    </row>
    <row r="370" spans="2:17" ht="17.25" customHeight="1" thickBot="1" x14ac:dyDescent="0.25">
      <c r="B370" s="102"/>
      <c r="C370" s="25"/>
      <c r="D370" s="25"/>
      <c r="E370" s="29"/>
      <c r="F370" s="293" t="s">
        <v>49</v>
      </c>
      <c r="G370" s="417"/>
      <c r="H370" s="418"/>
      <c r="I370" s="280" t="e">
        <f>I368+I369</f>
        <v>#REF!</v>
      </c>
      <c r="J370" s="417"/>
      <c r="K370" s="418"/>
      <c r="L370" s="280" t="e">
        <f>L368+L369</f>
        <v>#REF!</v>
      </c>
      <c r="M370" s="280" t="e">
        <f>M368+M369</f>
        <v>#REF!</v>
      </c>
      <c r="N370" s="284" t="e">
        <f t="shared" si="50"/>
        <v>#REF!</v>
      </c>
      <c r="O370" s="285" t="e">
        <f>O368+O369</f>
        <v>#REF!</v>
      </c>
      <c r="P370" s="95"/>
    </row>
    <row r="371" spans="2:17" ht="17.25" customHeight="1" thickBot="1" x14ac:dyDescent="0.25">
      <c r="B371" s="96"/>
      <c r="C371" s="108"/>
      <c r="D371" s="108"/>
      <c r="E371" s="108"/>
      <c r="F371" s="109"/>
      <c r="G371" s="110"/>
      <c r="H371" s="111"/>
      <c r="I371" s="112"/>
      <c r="J371" s="110"/>
      <c r="K371" s="113"/>
      <c r="L371" s="112"/>
      <c r="M371" s="114"/>
      <c r="N371" s="115"/>
      <c r="O371" s="116"/>
      <c r="P371" s="97"/>
    </row>
    <row r="372" spans="2:17" ht="18" customHeight="1" thickBot="1" x14ac:dyDescent="0.25">
      <c r="B372" s="24"/>
      <c r="C372" s="25"/>
      <c r="D372" s="25"/>
      <c r="E372" s="25"/>
      <c r="F372" s="42"/>
      <c r="G372" s="43"/>
      <c r="H372" s="44"/>
      <c r="I372" s="45"/>
      <c r="J372" s="43"/>
      <c r="K372" s="46"/>
      <c r="L372" s="45"/>
      <c r="M372" s="47"/>
      <c r="N372" s="105"/>
      <c r="O372" s="106"/>
      <c r="P372" s="24"/>
    </row>
    <row r="373" spans="2:17" ht="17.25" customHeight="1" x14ac:dyDescent="0.35">
      <c r="B373" s="104"/>
      <c r="C373" s="420"/>
      <c r="D373" s="420"/>
      <c r="E373" s="420"/>
      <c r="F373" s="420"/>
      <c r="G373" s="420"/>
      <c r="H373" s="420"/>
      <c r="I373" s="420"/>
      <c r="J373" s="420"/>
      <c r="K373" s="420"/>
      <c r="L373" s="420"/>
      <c r="M373" s="420"/>
      <c r="N373" s="420"/>
      <c r="O373" s="420"/>
      <c r="P373" s="94"/>
    </row>
    <row r="374" spans="2:17" ht="23.25" x14ac:dyDescent="0.35">
      <c r="B374" s="102"/>
      <c r="C374" s="423" t="s">
        <v>125</v>
      </c>
      <c r="D374" s="423"/>
      <c r="E374" s="423"/>
      <c r="F374" s="423"/>
      <c r="G374" s="423"/>
      <c r="H374" s="423"/>
      <c r="I374" s="423"/>
      <c r="J374" s="423"/>
      <c r="K374" s="423"/>
      <c r="L374" s="423"/>
      <c r="M374" s="423"/>
      <c r="N374" s="423"/>
      <c r="O374" s="423"/>
      <c r="P374" s="95"/>
    </row>
    <row r="375" spans="2:17" ht="17.25" customHeight="1" thickBot="1" x14ac:dyDescent="0.4">
      <c r="B375" s="102"/>
      <c r="C375" s="424"/>
      <c r="D375" s="424"/>
      <c r="E375" s="424"/>
      <c r="F375" s="424"/>
      <c r="G375" s="424"/>
      <c r="H375" s="424"/>
      <c r="I375" s="424"/>
      <c r="J375" s="424"/>
      <c r="K375" s="424"/>
      <c r="L375" s="424"/>
      <c r="M375" s="424"/>
      <c r="N375" s="424"/>
      <c r="O375" s="424"/>
      <c r="P375" s="95"/>
      <c r="Q375" s="24"/>
    </row>
    <row r="376" spans="2:17" ht="17.25" customHeight="1" thickBot="1" x14ac:dyDescent="0.25">
      <c r="B376" s="102"/>
      <c r="C376" s="103"/>
      <c r="D376" s="103"/>
      <c r="E376" s="25"/>
      <c r="F376" s="26"/>
      <c r="G376" s="425" t="str">
        <f>$G$10</f>
        <v>2010 BILL</v>
      </c>
      <c r="H376" s="426"/>
      <c r="I376" s="427"/>
      <c r="J376" s="425" t="str">
        <f>$J$10</f>
        <v>2011 BILL</v>
      </c>
      <c r="K376" s="426"/>
      <c r="L376" s="427"/>
      <c r="M376" s="425" t="s">
        <v>43</v>
      </c>
      <c r="N376" s="426"/>
      <c r="O376" s="427"/>
      <c r="P376" s="95"/>
      <c r="Q376" s="24"/>
    </row>
    <row r="377" spans="2:17" ht="26.25" thickBot="1" x14ac:dyDescent="0.25">
      <c r="B377" s="102"/>
      <c r="C377" s="25"/>
      <c r="D377" s="25"/>
      <c r="E377" s="27"/>
      <c r="F377" s="28"/>
      <c r="G377" s="245" t="s">
        <v>37</v>
      </c>
      <c r="H377" s="246" t="s">
        <v>38</v>
      </c>
      <c r="I377" s="247" t="s">
        <v>39</v>
      </c>
      <c r="J377" s="248" t="s">
        <v>37</v>
      </c>
      <c r="K377" s="246" t="s">
        <v>38</v>
      </c>
      <c r="L377" s="247" t="s">
        <v>39</v>
      </c>
      <c r="M377" s="122" t="s">
        <v>44</v>
      </c>
      <c r="N377" s="123" t="s">
        <v>45</v>
      </c>
      <c r="O377" s="124" t="s">
        <v>46</v>
      </c>
      <c r="P377" s="95"/>
      <c r="Q377" s="24"/>
    </row>
    <row r="378" spans="2:17" ht="17.25" customHeight="1" thickBot="1" x14ac:dyDescent="0.25">
      <c r="B378" s="102"/>
      <c r="C378" s="421" t="s">
        <v>40</v>
      </c>
      <c r="D378" s="422"/>
      <c r="E378" s="25"/>
      <c r="F378" s="251" t="s">
        <v>41</v>
      </c>
      <c r="G378" s="249"/>
      <c r="H378" s="243"/>
      <c r="I378" s="135">
        <f>+'2012 Existing Rates'!$C$8</f>
        <v>241.78</v>
      </c>
      <c r="J378" s="133"/>
      <c r="K378" s="244"/>
      <c r="L378" s="162">
        <f>+'Rate Schedule '!$E$19</f>
        <v>195.33</v>
      </c>
      <c r="M378" s="163">
        <f t="shared" ref="M378:M383" si="52">+L378-I378</f>
        <v>-46.449999999999989</v>
      </c>
      <c r="N378" s="164">
        <f>+M378/I378</f>
        <v>-0.19211680039705512</v>
      </c>
      <c r="O378" s="156" t="e">
        <f>L378/L391</f>
        <v>#REF!</v>
      </c>
      <c r="P378" s="95"/>
      <c r="Q378" s="24"/>
    </row>
    <row r="379" spans="2:17" ht="17.25" customHeight="1" thickBot="1" x14ac:dyDescent="0.25">
      <c r="B379" s="102"/>
      <c r="C379" s="100">
        <v>2400000</v>
      </c>
      <c r="D379" s="101" t="s">
        <v>12</v>
      </c>
      <c r="E379" s="25"/>
      <c r="F379" s="252" t="s">
        <v>52</v>
      </c>
      <c r="G379" s="250">
        <f>+C380</f>
        <v>5400</v>
      </c>
      <c r="H379" s="126" t="e">
        <f>'2012 Existing Rates'!#REF!</f>
        <v>#REF!</v>
      </c>
      <c r="I379" s="141" t="e">
        <f>+G379*H379</f>
        <v>#REF!</v>
      </c>
      <c r="J379" s="132">
        <f>G379</f>
        <v>5400</v>
      </c>
      <c r="K379" s="125">
        <f>'Rate Schedule '!$E$20</f>
        <v>2.4857</v>
      </c>
      <c r="L379" s="145">
        <f>+J379*K379</f>
        <v>13422.78</v>
      </c>
      <c r="M379" s="163" t="e">
        <f t="shared" si="52"/>
        <v>#REF!</v>
      </c>
      <c r="N379" s="164" t="e">
        <f>+M379/I379</f>
        <v>#REF!</v>
      </c>
      <c r="O379" s="156" t="e">
        <f>L379/L391</f>
        <v>#REF!</v>
      </c>
      <c r="P379" s="95"/>
      <c r="Q379" s="24"/>
    </row>
    <row r="380" spans="2:17" ht="17.25" customHeight="1" thickBot="1" x14ac:dyDescent="0.25">
      <c r="B380" s="102"/>
      <c r="C380" s="100">
        <v>5400</v>
      </c>
      <c r="D380" s="101" t="s">
        <v>13</v>
      </c>
      <c r="E380" s="25"/>
      <c r="F380" s="252" t="s">
        <v>119</v>
      </c>
      <c r="G380" s="212">
        <f>G379</f>
        <v>5400</v>
      </c>
      <c r="H380" s="253" t="e">
        <f>'2012 Existing Rates'!#REF!</f>
        <v>#REF!</v>
      </c>
      <c r="I380" s="141" t="e">
        <f>+G380*H380</f>
        <v>#REF!</v>
      </c>
      <c r="J380" s="132">
        <f>+C380</f>
        <v>5400</v>
      </c>
      <c r="K380" s="125" t="e">
        <f>'Rate Schedule '!#REF!</f>
        <v>#REF!</v>
      </c>
      <c r="L380" s="145" t="e">
        <f>+J380*K380</f>
        <v>#REF!</v>
      </c>
      <c r="M380" s="163" t="e">
        <f t="shared" si="52"/>
        <v>#REF!</v>
      </c>
      <c r="N380" s="164" t="e">
        <f>+M380/I380</f>
        <v>#REF!</v>
      </c>
      <c r="O380" s="156" t="e">
        <f>L380/L391</f>
        <v>#REF!</v>
      </c>
      <c r="P380" s="95"/>
    </row>
    <row r="381" spans="2:17" ht="17.25" customHeight="1" x14ac:dyDescent="0.2">
      <c r="B381" s="102"/>
      <c r="C381" s="231"/>
      <c r="D381" s="242"/>
      <c r="E381" s="25"/>
      <c r="F381" s="129" t="s">
        <v>79</v>
      </c>
      <c r="G381" s="151"/>
      <c r="H381" s="150"/>
      <c r="I381" s="141" t="e">
        <f>'2012 Existing Rates'!#REF!</f>
        <v>#REF!</v>
      </c>
      <c r="J381" s="151"/>
      <c r="K381" s="150"/>
      <c r="L381" s="141" t="e">
        <f>'2012 Existing Rates'!#REF!</f>
        <v>#REF!</v>
      </c>
      <c r="M381" s="163" t="e">
        <f t="shared" si="52"/>
        <v>#REF!</v>
      </c>
      <c r="N381" s="164" t="e">
        <f>+M381/I381</f>
        <v>#REF!</v>
      </c>
      <c r="O381" s="156" t="e">
        <f>L381/L391</f>
        <v>#REF!</v>
      </c>
      <c r="P381" s="95"/>
    </row>
    <row r="382" spans="2:17" ht="17.25" customHeight="1" x14ac:dyDescent="0.2">
      <c r="B382" s="102"/>
      <c r="C382" s="54"/>
      <c r="D382" s="55"/>
      <c r="E382" s="25"/>
      <c r="F382" s="129" t="s">
        <v>120</v>
      </c>
      <c r="G382" s="132">
        <f>G380</f>
        <v>5400</v>
      </c>
      <c r="H382" s="126"/>
      <c r="I382" s="141">
        <f>+G382*H382</f>
        <v>0</v>
      </c>
      <c r="J382" s="132">
        <f>G382</f>
        <v>5400</v>
      </c>
      <c r="K382" s="125" t="e">
        <f>'Rate Schedule '!#REF!</f>
        <v>#REF!</v>
      </c>
      <c r="L382" s="145" t="e">
        <f>+J382*K382</f>
        <v>#REF!</v>
      </c>
      <c r="M382" s="163" t="e">
        <f t="shared" si="52"/>
        <v>#REF!</v>
      </c>
      <c r="N382" s="164">
        <v>0</v>
      </c>
      <c r="O382" s="156" t="e">
        <f>L382/L391</f>
        <v>#REF!</v>
      </c>
      <c r="P382" s="95"/>
    </row>
    <row r="383" spans="2:17" ht="17.25" customHeight="1" thickBot="1" x14ac:dyDescent="0.25">
      <c r="B383" s="102"/>
      <c r="C383" s="25"/>
      <c r="D383" s="25"/>
      <c r="E383" s="25"/>
      <c r="F383" s="130" t="s">
        <v>121</v>
      </c>
      <c r="G383" s="132">
        <f>+C380</f>
        <v>5400</v>
      </c>
      <c r="H383" s="126" t="e">
        <f>'2012 Existing Rates'!#REF!</f>
        <v>#REF!</v>
      </c>
      <c r="I383" s="145" t="e">
        <f>+G383*H383</f>
        <v>#REF!</v>
      </c>
      <c r="J383" s="132">
        <f>+C380</f>
        <v>5400</v>
      </c>
      <c r="K383" s="125" t="e">
        <f>'Rate Schedule '!#REF!</f>
        <v>#REF!</v>
      </c>
      <c r="L383" s="145" t="e">
        <f>+J383*K383</f>
        <v>#REF!</v>
      </c>
      <c r="M383" s="163" t="e">
        <f t="shared" si="52"/>
        <v>#REF!</v>
      </c>
      <c r="N383" s="164" t="e">
        <f t="shared" ref="N383:N391" si="53">+M383/I383</f>
        <v>#REF!</v>
      </c>
      <c r="O383" s="156" t="e">
        <f>L383/L391</f>
        <v>#REF!</v>
      </c>
      <c r="P383" s="95"/>
    </row>
    <row r="384" spans="2:17" ht="17.25" customHeight="1" thickBot="1" x14ac:dyDescent="0.25">
      <c r="B384" s="102"/>
      <c r="C384" s="25"/>
      <c r="D384" s="25"/>
      <c r="E384" s="25"/>
      <c r="F384" s="279" t="s">
        <v>116</v>
      </c>
      <c r="G384" s="417"/>
      <c r="H384" s="418"/>
      <c r="I384" s="280" t="e">
        <f>SUM(I378:I383)</f>
        <v>#REF!</v>
      </c>
      <c r="J384" s="417"/>
      <c r="K384" s="418"/>
      <c r="L384" s="280" t="e">
        <f>SUM(L378:L383)</f>
        <v>#REF!</v>
      </c>
      <c r="M384" s="283" t="e">
        <f>SUM(M378:M383)</f>
        <v>#REF!</v>
      </c>
      <c r="N384" s="284" t="e">
        <f t="shared" si="53"/>
        <v>#REF!</v>
      </c>
      <c r="O384" s="285" t="e">
        <f>SUM(O378:O383)</f>
        <v>#REF!</v>
      </c>
      <c r="P384" s="95"/>
    </row>
    <row r="385" spans="2:17" ht="17.25" customHeight="1" thickBot="1" x14ac:dyDescent="0.25">
      <c r="B385" s="102"/>
      <c r="C385" s="25"/>
      <c r="D385" s="25"/>
      <c r="E385" s="25"/>
      <c r="F385" s="129" t="s">
        <v>122</v>
      </c>
      <c r="G385" s="233">
        <f>C380</f>
        <v>5400</v>
      </c>
      <c r="H385" s="234" t="e">
        <f>#REF!</f>
        <v>#REF!</v>
      </c>
      <c r="I385" s="141" t="e">
        <f>+G385*H385</f>
        <v>#REF!</v>
      </c>
      <c r="J385" s="233">
        <f>C380</f>
        <v>5400</v>
      </c>
      <c r="K385" s="234" t="e">
        <f>#REF!</f>
        <v>#REF!</v>
      </c>
      <c r="L385" s="141" t="e">
        <f>+J385*K385</f>
        <v>#REF!</v>
      </c>
      <c r="M385" s="235" t="e">
        <f t="shared" ref="M385:M390" si="54">+L385-I385</f>
        <v>#REF!</v>
      </c>
      <c r="N385" s="153" t="e">
        <f t="shared" si="53"/>
        <v>#REF!</v>
      </c>
      <c r="O385" s="156" t="e">
        <f>L385/L391</f>
        <v>#REF!</v>
      </c>
      <c r="P385" s="95"/>
    </row>
    <row r="386" spans="2:17" ht="17.25" customHeight="1" thickBot="1" x14ac:dyDescent="0.25">
      <c r="B386" s="102"/>
      <c r="C386" s="25"/>
      <c r="D386" s="25"/>
      <c r="E386" s="25"/>
      <c r="F386" s="279" t="s">
        <v>118</v>
      </c>
      <c r="G386" s="417"/>
      <c r="H386" s="418"/>
      <c r="I386" s="280" t="e">
        <f>I384+I385</f>
        <v>#REF!</v>
      </c>
      <c r="J386" s="417"/>
      <c r="K386" s="418"/>
      <c r="L386" s="280" t="e">
        <f>L384+L385</f>
        <v>#REF!</v>
      </c>
      <c r="M386" s="283" t="e">
        <f t="shared" si="54"/>
        <v>#REF!</v>
      </c>
      <c r="N386" s="284" t="e">
        <f t="shared" si="53"/>
        <v>#REF!</v>
      </c>
      <c r="O386" s="286" t="e">
        <f>L386/L391</f>
        <v>#REF!</v>
      </c>
      <c r="P386" s="95"/>
    </row>
    <row r="387" spans="2:17" ht="17.25" customHeight="1" x14ac:dyDescent="0.2">
      <c r="B387" s="102"/>
      <c r="C387" s="25"/>
      <c r="D387" s="25"/>
      <c r="E387" s="25"/>
      <c r="F387" s="127" t="s">
        <v>47</v>
      </c>
      <c r="G387" s="133" t="e">
        <f>C379*#REF!</f>
        <v>#REF!</v>
      </c>
      <c r="H387" s="134" t="e">
        <f>#REF!+#REF!</f>
        <v>#REF!</v>
      </c>
      <c r="I387" s="135" t="e">
        <f>+G387*H387</f>
        <v>#REF!</v>
      </c>
      <c r="J387" s="133" t="e">
        <f>C379*#REF!</f>
        <v>#REF!</v>
      </c>
      <c r="K387" s="134" t="e">
        <f>#REF!+#REF!</f>
        <v>#REF!</v>
      </c>
      <c r="L387" s="162" t="e">
        <f>+J387*K387</f>
        <v>#REF!</v>
      </c>
      <c r="M387" s="163" t="e">
        <f t="shared" si="54"/>
        <v>#REF!</v>
      </c>
      <c r="N387" s="164" t="e">
        <f t="shared" si="53"/>
        <v>#REF!</v>
      </c>
      <c r="O387" s="156" t="e">
        <f>L387/L391</f>
        <v>#REF!</v>
      </c>
      <c r="P387" s="95"/>
    </row>
    <row r="388" spans="2:17" ht="17.25" customHeight="1" thickBot="1" x14ac:dyDescent="0.25">
      <c r="B388" s="102"/>
      <c r="C388" s="25"/>
      <c r="D388" s="25"/>
      <c r="E388" s="25"/>
      <c r="F388" s="127" t="s">
        <v>48</v>
      </c>
      <c r="G388" s="133" t="e">
        <f>G387</f>
        <v>#REF!</v>
      </c>
      <c r="H388" s="134" t="e">
        <f>+#REF!</f>
        <v>#REF!</v>
      </c>
      <c r="I388" s="135" t="e">
        <f>+G388*H388</f>
        <v>#REF!</v>
      </c>
      <c r="J388" s="133" t="e">
        <f>J387</f>
        <v>#REF!</v>
      </c>
      <c r="K388" s="134" t="e">
        <f>#REF!</f>
        <v>#REF!</v>
      </c>
      <c r="L388" s="162" t="e">
        <f>+J388*K388</f>
        <v>#REF!</v>
      </c>
      <c r="M388" s="163" t="e">
        <f t="shared" si="54"/>
        <v>#REF!</v>
      </c>
      <c r="N388" s="164" t="e">
        <f t="shared" si="53"/>
        <v>#REF!</v>
      </c>
      <c r="O388" s="156" t="e">
        <f>L388/L391</f>
        <v>#REF!</v>
      </c>
      <c r="P388" s="95"/>
    </row>
    <row r="389" spans="2:17" ht="17.25" customHeight="1" thickBot="1" x14ac:dyDescent="0.25">
      <c r="B389" s="102"/>
      <c r="C389" s="25"/>
      <c r="D389" s="25"/>
      <c r="E389" s="25"/>
      <c r="F389" s="279" t="s">
        <v>97</v>
      </c>
      <c r="G389" s="417"/>
      <c r="H389" s="418"/>
      <c r="I389" s="280" t="e">
        <f>SUM(I386:I388)</f>
        <v>#REF!</v>
      </c>
      <c r="J389" s="417"/>
      <c r="K389" s="418"/>
      <c r="L389" s="280" t="e">
        <f>SUM(L386:L388)</f>
        <v>#REF!</v>
      </c>
      <c r="M389" s="280" t="e">
        <f t="shared" si="54"/>
        <v>#REF!</v>
      </c>
      <c r="N389" s="284" t="e">
        <f t="shared" si="53"/>
        <v>#REF!</v>
      </c>
      <c r="O389" s="286" t="e">
        <f>L389/L391</f>
        <v>#REF!</v>
      </c>
      <c r="P389" s="95"/>
    </row>
    <row r="390" spans="2:17" ht="17.25" customHeight="1" thickBot="1" x14ac:dyDescent="0.25">
      <c r="B390" s="102"/>
      <c r="C390" s="25"/>
      <c r="D390" s="25"/>
      <c r="E390" s="25"/>
      <c r="F390" s="188" t="s">
        <v>170</v>
      </c>
      <c r="G390" s="189"/>
      <c r="H390" s="193">
        <v>0.13</v>
      </c>
      <c r="I390" s="190" t="e">
        <f>I389*H390</f>
        <v>#REF!</v>
      </c>
      <c r="J390" s="189"/>
      <c r="K390" s="193">
        <v>0.13</v>
      </c>
      <c r="L390" s="191" t="e">
        <f>L389*K390</f>
        <v>#REF!</v>
      </c>
      <c r="M390" s="160" t="e">
        <f t="shared" si="54"/>
        <v>#REF!</v>
      </c>
      <c r="N390" s="161" t="e">
        <f t="shared" si="53"/>
        <v>#REF!</v>
      </c>
      <c r="O390" s="166" t="e">
        <f>L390/L391</f>
        <v>#REF!</v>
      </c>
      <c r="P390" s="95"/>
    </row>
    <row r="391" spans="2:17" ht="17.25" customHeight="1" thickBot="1" x14ac:dyDescent="0.25">
      <c r="B391" s="102"/>
      <c r="C391" s="25"/>
      <c r="D391" s="25"/>
      <c r="E391" s="29"/>
      <c r="F391" s="293" t="s">
        <v>49</v>
      </c>
      <c r="G391" s="417"/>
      <c r="H391" s="418"/>
      <c r="I391" s="280" t="e">
        <f>I389+I390</f>
        <v>#REF!</v>
      </c>
      <c r="J391" s="417"/>
      <c r="K391" s="418"/>
      <c r="L391" s="280" t="e">
        <f>L389+L390</f>
        <v>#REF!</v>
      </c>
      <c r="M391" s="280" t="e">
        <f>M389+M390</f>
        <v>#REF!</v>
      </c>
      <c r="N391" s="284" t="e">
        <f t="shared" si="53"/>
        <v>#REF!</v>
      </c>
      <c r="O391" s="285" t="e">
        <f>O389+O390</f>
        <v>#REF!</v>
      </c>
      <c r="P391" s="95"/>
    </row>
    <row r="392" spans="2:17" ht="17.25" customHeight="1" thickBot="1" x14ac:dyDescent="0.25">
      <c r="B392" s="96"/>
      <c r="C392" s="108"/>
      <c r="D392" s="108"/>
      <c r="E392" s="108"/>
      <c r="F392" s="109"/>
      <c r="G392" s="110"/>
      <c r="H392" s="111"/>
      <c r="I392" s="112"/>
      <c r="J392" s="110"/>
      <c r="K392" s="113"/>
      <c r="L392" s="112"/>
      <c r="M392" s="114"/>
      <c r="N392" s="115"/>
      <c r="O392" s="116"/>
      <c r="P392" s="97"/>
    </row>
    <row r="393" spans="2:17" ht="17.25" customHeight="1" thickBot="1" x14ac:dyDescent="0.25">
      <c r="B393" s="24"/>
      <c r="C393" s="25"/>
      <c r="D393" s="25"/>
      <c r="E393" s="25"/>
      <c r="F393" s="42"/>
      <c r="G393" s="43"/>
      <c r="H393" s="44"/>
      <c r="I393" s="45"/>
      <c r="J393" s="43"/>
      <c r="K393" s="46"/>
      <c r="L393" s="45"/>
      <c r="M393" s="47"/>
      <c r="N393" s="105"/>
      <c r="O393" s="106"/>
      <c r="P393" s="24"/>
    </row>
    <row r="394" spans="2:17" ht="17.25" customHeight="1" x14ac:dyDescent="0.35">
      <c r="B394" s="104"/>
      <c r="C394" s="420"/>
      <c r="D394" s="420"/>
      <c r="E394" s="420"/>
      <c r="F394" s="420"/>
      <c r="G394" s="420"/>
      <c r="H394" s="420"/>
      <c r="I394" s="420"/>
      <c r="J394" s="420"/>
      <c r="K394" s="420"/>
      <c r="L394" s="420"/>
      <c r="M394" s="420"/>
      <c r="N394" s="420"/>
      <c r="O394" s="420"/>
      <c r="P394" s="94"/>
    </row>
    <row r="395" spans="2:17" ht="23.25" x14ac:dyDescent="0.35">
      <c r="B395" s="102"/>
      <c r="C395" s="423" t="s">
        <v>126</v>
      </c>
      <c r="D395" s="423"/>
      <c r="E395" s="423"/>
      <c r="F395" s="423"/>
      <c r="G395" s="423"/>
      <c r="H395" s="423"/>
      <c r="I395" s="423"/>
      <c r="J395" s="423"/>
      <c r="K395" s="423"/>
      <c r="L395" s="423"/>
      <c r="M395" s="423"/>
      <c r="N395" s="423"/>
      <c r="O395" s="423"/>
      <c r="P395" s="95"/>
    </row>
    <row r="396" spans="2:17" ht="17.25" customHeight="1" thickBot="1" x14ac:dyDescent="0.4">
      <c r="B396" s="102"/>
      <c r="C396" s="424"/>
      <c r="D396" s="424"/>
      <c r="E396" s="424"/>
      <c r="F396" s="424"/>
      <c r="G396" s="424"/>
      <c r="H396" s="424"/>
      <c r="I396" s="424"/>
      <c r="J396" s="424"/>
      <c r="K396" s="424"/>
      <c r="L396" s="424"/>
      <c r="M396" s="424"/>
      <c r="N396" s="424"/>
      <c r="O396" s="424"/>
      <c r="P396" s="95"/>
    </row>
    <row r="397" spans="2:17" ht="17.25" customHeight="1" thickBot="1" x14ac:dyDescent="0.25">
      <c r="B397" s="102"/>
      <c r="C397" s="103"/>
      <c r="D397" s="103"/>
      <c r="E397" s="25"/>
      <c r="F397" s="26"/>
      <c r="G397" s="425" t="str">
        <f>$G$10</f>
        <v>2010 BILL</v>
      </c>
      <c r="H397" s="426"/>
      <c r="I397" s="427"/>
      <c r="J397" s="425" t="str">
        <f>$J$10</f>
        <v>2011 BILL</v>
      </c>
      <c r="K397" s="426"/>
      <c r="L397" s="427"/>
      <c r="M397" s="425" t="s">
        <v>43</v>
      </c>
      <c r="N397" s="426"/>
      <c r="O397" s="427"/>
      <c r="P397" s="95"/>
    </row>
    <row r="398" spans="2:17" ht="17.25" customHeight="1" thickBot="1" x14ac:dyDescent="0.25">
      <c r="B398" s="102"/>
      <c r="C398" s="25"/>
      <c r="D398" s="25"/>
      <c r="E398" s="27"/>
      <c r="F398" s="28"/>
      <c r="G398" s="245" t="s">
        <v>37</v>
      </c>
      <c r="H398" s="246" t="s">
        <v>38</v>
      </c>
      <c r="I398" s="247" t="s">
        <v>39</v>
      </c>
      <c r="J398" s="248" t="s">
        <v>37</v>
      </c>
      <c r="K398" s="246" t="s">
        <v>38</v>
      </c>
      <c r="L398" s="247" t="s">
        <v>39</v>
      </c>
      <c r="M398" s="122" t="s">
        <v>44</v>
      </c>
      <c r="N398" s="123" t="s">
        <v>45</v>
      </c>
      <c r="O398" s="124" t="s">
        <v>46</v>
      </c>
      <c r="P398" s="95"/>
    </row>
    <row r="399" spans="2:17" ht="17.25" customHeight="1" thickBot="1" x14ac:dyDescent="0.25">
      <c r="B399" s="102"/>
      <c r="C399" s="421" t="s">
        <v>40</v>
      </c>
      <c r="D399" s="422"/>
      <c r="E399" s="25"/>
      <c r="F399" s="251" t="s">
        <v>41</v>
      </c>
      <c r="G399" s="249"/>
      <c r="H399" s="243"/>
      <c r="I399" s="135">
        <f>+'2012 Existing Rates'!$C$9</f>
        <v>2794.55</v>
      </c>
      <c r="J399" s="133"/>
      <c r="K399" s="244"/>
      <c r="L399" s="162">
        <f>+'Rate Schedule '!$E$23</f>
        <v>2794.55</v>
      </c>
      <c r="M399" s="163">
        <f t="shared" ref="M399:M404" si="55">+L399-I399</f>
        <v>0</v>
      </c>
      <c r="N399" s="164">
        <f t="shared" ref="N399:N407" si="56">+M399/I399</f>
        <v>0</v>
      </c>
      <c r="O399" s="156" t="e">
        <f>L399/L412</f>
        <v>#REF!</v>
      </c>
      <c r="P399" s="241"/>
      <c r="Q399" s="24"/>
    </row>
    <row r="400" spans="2:17" ht="17.25" customHeight="1" thickBot="1" x14ac:dyDescent="0.25">
      <c r="B400" s="102"/>
      <c r="C400" s="100">
        <v>30000</v>
      </c>
      <c r="D400" s="101" t="s">
        <v>12</v>
      </c>
      <c r="E400" s="25"/>
      <c r="F400" s="252" t="s">
        <v>52</v>
      </c>
      <c r="G400" s="250">
        <f>+C401</f>
        <v>60</v>
      </c>
      <c r="H400" s="126" t="e">
        <f>'2012 Existing Rates'!#REF!</f>
        <v>#REF!</v>
      </c>
      <c r="I400" s="141" t="e">
        <f>+G400*H400</f>
        <v>#REF!</v>
      </c>
      <c r="J400" s="132">
        <f>G400</f>
        <v>60</v>
      </c>
      <c r="K400" s="125">
        <f>'Rate Schedule '!$E$24</f>
        <v>2.2079</v>
      </c>
      <c r="L400" s="145">
        <f>+J400*K400</f>
        <v>132.47399999999999</v>
      </c>
      <c r="M400" s="163" t="e">
        <f t="shared" si="55"/>
        <v>#REF!</v>
      </c>
      <c r="N400" s="164" t="e">
        <f t="shared" si="56"/>
        <v>#REF!</v>
      </c>
      <c r="O400" s="156" t="e">
        <f>L400/L412</f>
        <v>#REF!</v>
      </c>
      <c r="P400" s="95"/>
    </row>
    <row r="401" spans="2:16" ht="17.25" customHeight="1" thickBot="1" x14ac:dyDescent="0.25">
      <c r="B401" s="102"/>
      <c r="C401" s="100">
        <v>60</v>
      </c>
      <c r="D401" s="101" t="s">
        <v>13</v>
      </c>
      <c r="E401" s="25"/>
      <c r="F401" s="252" t="s">
        <v>119</v>
      </c>
      <c r="G401" s="212">
        <f>G400</f>
        <v>60</v>
      </c>
      <c r="H401" s="253" t="e">
        <f>'2012 Existing Rates'!#REF!</f>
        <v>#REF!</v>
      </c>
      <c r="I401" s="141" t="e">
        <f>+G401*H401</f>
        <v>#REF!</v>
      </c>
      <c r="J401" s="132">
        <f>+C401</f>
        <v>60</v>
      </c>
      <c r="K401" s="125" t="e">
        <f>'Rate Schedule '!#REF!</f>
        <v>#REF!</v>
      </c>
      <c r="L401" s="145" t="e">
        <f>+J401*K401</f>
        <v>#REF!</v>
      </c>
      <c r="M401" s="163" t="e">
        <f t="shared" si="55"/>
        <v>#REF!</v>
      </c>
      <c r="N401" s="164" t="e">
        <f t="shared" si="56"/>
        <v>#REF!</v>
      </c>
      <c r="O401" s="156" t="e">
        <f>L401/L412</f>
        <v>#REF!</v>
      </c>
      <c r="P401" s="95"/>
    </row>
    <row r="402" spans="2:16" ht="17.25" customHeight="1" x14ac:dyDescent="0.2">
      <c r="B402" s="102"/>
      <c r="C402" s="231"/>
      <c r="D402" s="242"/>
      <c r="E402" s="25"/>
      <c r="F402" s="129" t="s">
        <v>79</v>
      </c>
      <c r="G402" s="151"/>
      <c r="H402" s="150"/>
      <c r="I402" s="141" t="e">
        <f>'2012 Existing Rates'!#REF!</f>
        <v>#REF!</v>
      </c>
      <c r="J402" s="151"/>
      <c r="K402" s="150"/>
      <c r="L402" s="141" t="e">
        <f>'2012 Existing Rates'!#REF!</f>
        <v>#REF!</v>
      </c>
      <c r="M402" s="163" t="e">
        <f t="shared" si="55"/>
        <v>#REF!</v>
      </c>
      <c r="N402" s="164" t="e">
        <f t="shared" si="56"/>
        <v>#REF!</v>
      </c>
      <c r="O402" s="156" t="e">
        <f>L402/L412</f>
        <v>#REF!</v>
      </c>
      <c r="P402" s="95"/>
    </row>
    <row r="403" spans="2:16" ht="17.25" customHeight="1" x14ac:dyDescent="0.2">
      <c r="B403" s="102"/>
      <c r="C403" s="54"/>
      <c r="D403" s="55"/>
      <c r="E403" s="25"/>
      <c r="F403" s="129" t="s">
        <v>120</v>
      </c>
      <c r="G403" s="132">
        <f>G401</f>
        <v>60</v>
      </c>
      <c r="H403" s="126"/>
      <c r="I403" s="141">
        <f>+G403*H403</f>
        <v>0</v>
      </c>
      <c r="J403" s="132">
        <f>G403</f>
        <v>60</v>
      </c>
      <c r="K403" s="125" t="e">
        <f>'Rate Schedule '!#REF!</f>
        <v>#REF!</v>
      </c>
      <c r="L403" s="145" t="e">
        <f>+J403*K403</f>
        <v>#REF!</v>
      </c>
      <c r="M403" s="163" t="e">
        <f t="shared" si="55"/>
        <v>#REF!</v>
      </c>
      <c r="N403" s="164">
        <v>0</v>
      </c>
      <c r="O403" s="156" t="e">
        <f>L403/L412</f>
        <v>#REF!</v>
      </c>
      <c r="P403" s="95"/>
    </row>
    <row r="404" spans="2:16" ht="17.25" customHeight="1" thickBot="1" x14ac:dyDescent="0.25">
      <c r="B404" s="102"/>
      <c r="C404" s="25"/>
      <c r="D404" s="25"/>
      <c r="E404" s="25"/>
      <c r="F404" s="130" t="s">
        <v>121</v>
      </c>
      <c r="G404" s="132">
        <f>+C401</f>
        <v>60</v>
      </c>
      <c r="H404" s="126" t="e">
        <f>'2012 Existing Rates'!#REF!</f>
        <v>#REF!</v>
      </c>
      <c r="I404" s="145" t="e">
        <f>+G404*H404</f>
        <v>#REF!</v>
      </c>
      <c r="J404" s="132">
        <f>+C401</f>
        <v>60</v>
      </c>
      <c r="K404" s="125" t="e">
        <f>'Rate Schedule '!#REF!</f>
        <v>#REF!</v>
      </c>
      <c r="L404" s="145" t="e">
        <f>+J404*K404</f>
        <v>#REF!</v>
      </c>
      <c r="M404" s="163" t="e">
        <f t="shared" si="55"/>
        <v>#REF!</v>
      </c>
      <c r="N404" s="164" t="e">
        <f t="shared" si="56"/>
        <v>#REF!</v>
      </c>
      <c r="O404" s="156" t="e">
        <f>L404/L412</f>
        <v>#REF!</v>
      </c>
      <c r="P404" s="95"/>
    </row>
    <row r="405" spans="2:16" ht="17.25" customHeight="1" thickBot="1" x14ac:dyDescent="0.25">
      <c r="B405" s="102"/>
      <c r="C405" s="25"/>
      <c r="D405" s="25"/>
      <c r="E405" s="25"/>
      <c r="F405" s="279" t="s">
        <v>116</v>
      </c>
      <c r="G405" s="417"/>
      <c r="H405" s="418"/>
      <c r="I405" s="280" t="e">
        <f>SUM(I399:I404)</f>
        <v>#REF!</v>
      </c>
      <c r="J405" s="417"/>
      <c r="K405" s="418"/>
      <c r="L405" s="280" t="e">
        <f>SUM(L399:L404)</f>
        <v>#REF!</v>
      </c>
      <c r="M405" s="283" t="e">
        <f>SUM(M399:M404)</f>
        <v>#REF!</v>
      </c>
      <c r="N405" s="284" t="e">
        <f t="shared" si="56"/>
        <v>#REF!</v>
      </c>
      <c r="O405" s="285" t="e">
        <f>SUM(O399:O404)</f>
        <v>#REF!</v>
      </c>
      <c r="P405" s="95"/>
    </row>
    <row r="406" spans="2:16" ht="17.25" customHeight="1" thickBot="1" x14ac:dyDescent="0.25">
      <c r="B406" s="102"/>
      <c r="C406" s="25"/>
      <c r="D406" s="25"/>
      <c r="E406" s="25"/>
      <c r="F406" s="129" t="s">
        <v>122</v>
      </c>
      <c r="G406" s="233">
        <f>C401</f>
        <v>60</v>
      </c>
      <c r="H406" s="234" t="e">
        <f>#REF!</f>
        <v>#REF!</v>
      </c>
      <c r="I406" s="141" t="e">
        <f>+G406*H406</f>
        <v>#REF!</v>
      </c>
      <c r="J406" s="233">
        <f>C401</f>
        <v>60</v>
      </c>
      <c r="K406" s="234" t="e">
        <f>#REF!</f>
        <v>#REF!</v>
      </c>
      <c r="L406" s="141" t="e">
        <f>+J406*K406</f>
        <v>#REF!</v>
      </c>
      <c r="M406" s="235" t="e">
        <f t="shared" ref="M406:M412" si="57">+L406-I406</f>
        <v>#REF!</v>
      </c>
      <c r="N406" s="153" t="e">
        <f t="shared" si="56"/>
        <v>#REF!</v>
      </c>
      <c r="O406" s="156" t="e">
        <f>L406/L412</f>
        <v>#REF!</v>
      </c>
      <c r="P406" s="95"/>
    </row>
    <row r="407" spans="2:16" ht="17.25" customHeight="1" thickBot="1" x14ac:dyDescent="0.25">
      <c r="B407" s="102"/>
      <c r="C407" s="25"/>
      <c r="D407" s="25"/>
      <c r="E407" s="25"/>
      <c r="F407" s="279" t="s">
        <v>118</v>
      </c>
      <c r="G407" s="417"/>
      <c r="H407" s="418"/>
      <c r="I407" s="280" t="e">
        <f>I405+I406</f>
        <v>#REF!</v>
      </c>
      <c r="J407" s="417"/>
      <c r="K407" s="418"/>
      <c r="L407" s="280" t="e">
        <f>L405+L406</f>
        <v>#REF!</v>
      </c>
      <c r="M407" s="283" t="e">
        <f t="shared" si="57"/>
        <v>#REF!</v>
      </c>
      <c r="N407" s="284" t="e">
        <f t="shared" si="56"/>
        <v>#REF!</v>
      </c>
      <c r="O407" s="286" t="e">
        <f>L407/L412</f>
        <v>#REF!</v>
      </c>
      <c r="P407" s="95"/>
    </row>
    <row r="408" spans="2:16" ht="17.25" customHeight="1" x14ac:dyDescent="0.2">
      <c r="B408" s="102"/>
      <c r="C408" s="25"/>
      <c r="D408" s="25"/>
      <c r="E408" s="25"/>
      <c r="F408" s="127" t="s">
        <v>47</v>
      </c>
      <c r="G408" s="133" t="e">
        <f>C400*#REF!</f>
        <v>#REF!</v>
      </c>
      <c r="H408" s="134" t="e">
        <f>#REF!+#REF!</f>
        <v>#REF!</v>
      </c>
      <c r="I408" s="135" t="e">
        <f>+G408*H408</f>
        <v>#REF!</v>
      </c>
      <c r="J408" s="133" t="e">
        <f>C400*#REF!</f>
        <v>#REF!</v>
      </c>
      <c r="K408" s="134" t="e">
        <f>#REF!+#REF!</f>
        <v>#REF!</v>
      </c>
      <c r="L408" s="162" t="e">
        <f>+J408*K408</f>
        <v>#REF!</v>
      </c>
      <c r="M408" s="163" t="e">
        <f t="shared" si="57"/>
        <v>#REF!</v>
      </c>
      <c r="N408" s="164" t="e">
        <f>+M408/I408</f>
        <v>#REF!</v>
      </c>
      <c r="O408" s="156" t="e">
        <f>L408/L412</f>
        <v>#REF!</v>
      </c>
      <c r="P408" s="95"/>
    </row>
    <row r="409" spans="2:16" ht="17.25" customHeight="1" thickBot="1" x14ac:dyDescent="0.25">
      <c r="B409" s="102"/>
      <c r="C409" s="25"/>
      <c r="D409" s="25"/>
      <c r="E409" s="25"/>
      <c r="F409" s="127" t="s">
        <v>48</v>
      </c>
      <c r="G409" s="133" t="e">
        <f>G408</f>
        <v>#REF!</v>
      </c>
      <c r="H409" s="134" t="e">
        <f>+#REF!</f>
        <v>#REF!</v>
      </c>
      <c r="I409" s="135" t="e">
        <f>+G409*H409</f>
        <v>#REF!</v>
      </c>
      <c r="J409" s="133" t="e">
        <f>J408</f>
        <v>#REF!</v>
      </c>
      <c r="K409" s="134" t="e">
        <f>#REF!</f>
        <v>#REF!</v>
      </c>
      <c r="L409" s="162" t="e">
        <f>+J409*K409</f>
        <v>#REF!</v>
      </c>
      <c r="M409" s="163" t="e">
        <f t="shared" si="57"/>
        <v>#REF!</v>
      </c>
      <c r="N409" s="164" t="e">
        <f>+M409/I409</f>
        <v>#REF!</v>
      </c>
      <c r="O409" s="156" t="e">
        <f>L409/L412</f>
        <v>#REF!</v>
      </c>
      <c r="P409" s="95"/>
    </row>
    <row r="410" spans="2:16" ht="17.25" customHeight="1" thickBot="1" x14ac:dyDescent="0.25">
      <c r="B410" s="102"/>
      <c r="C410" s="25"/>
      <c r="D410" s="25"/>
      <c r="E410" s="25"/>
      <c r="F410" s="279" t="s">
        <v>97</v>
      </c>
      <c r="G410" s="417"/>
      <c r="H410" s="418"/>
      <c r="I410" s="280" t="e">
        <f>SUM(I407:I409)</f>
        <v>#REF!</v>
      </c>
      <c r="J410" s="417"/>
      <c r="K410" s="418"/>
      <c r="L410" s="280" t="e">
        <f>SUM(L407:L409)</f>
        <v>#REF!</v>
      </c>
      <c r="M410" s="280" t="e">
        <f t="shared" si="57"/>
        <v>#REF!</v>
      </c>
      <c r="N410" s="284" t="e">
        <f>+M410/I410</f>
        <v>#REF!</v>
      </c>
      <c r="O410" s="286" t="e">
        <f>L410/L412</f>
        <v>#REF!</v>
      </c>
      <c r="P410" s="95"/>
    </row>
    <row r="411" spans="2:16" ht="17.25" customHeight="1" thickBot="1" x14ac:dyDescent="0.25">
      <c r="B411" s="102"/>
      <c r="C411" s="25"/>
      <c r="D411" s="25"/>
      <c r="E411" s="25"/>
      <c r="F411" s="188" t="s">
        <v>170</v>
      </c>
      <c r="G411" s="189"/>
      <c r="H411" s="193">
        <v>0.13</v>
      </c>
      <c r="I411" s="190" t="e">
        <f>I410*H411</f>
        <v>#REF!</v>
      </c>
      <c r="J411" s="189"/>
      <c r="K411" s="193">
        <v>0.13</v>
      </c>
      <c r="L411" s="191" t="e">
        <f>L410*K411</f>
        <v>#REF!</v>
      </c>
      <c r="M411" s="160" t="e">
        <f t="shared" si="57"/>
        <v>#REF!</v>
      </c>
      <c r="N411" s="161" t="e">
        <f>+M411/I411</f>
        <v>#REF!</v>
      </c>
      <c r="O411" s="166" t="e">
        <f>L411/L412</f>
        <v>#REF!</v>
      </c>
      <c r="P411" s="95"/>
    </row>
    <row r="412" spans="2:16" ht="17.25" customHeight="1" thickBot="1" x14ac:dyDescent="0.25">
      <c r="B412" s="102"/>
      <c r="C412" s="25"/>
      <c r="D412" s="25"/>
      <c r="E412" s="29"/>
      <c r="F412" s="293" t="s">
        <v>49</v>
      </c>
      <c r="G412" s="417"/>
      <c r="H412" s="418"/>
      <c r="I412" s="280" t="e">
        <f>I410+I411</f>
        <v>#REF!</v>
      </c>
      <c r="J412" s="417"/>
      <c r="K412" s="418"/>
      <c r="L412" s="280" t="e">
        <f>L410+L411</f>
        <v>#REF!</v>
      </c>
      <c r="M412" s="280" t="e">
        <f t="shared" si="57"/>
        <v>#REF!</v>
      </c>
      <c r="N412" s="284" t="e">
        <f>+M412/I412</f>
        <v>#REF!</v>
      </c>
      <c r="O412" s="285" t="e">
        <f>O410+O411</f>
        <v>#REF!</v>
      </c>
      <c r="P412" s="95"/>
    </row>
    <row r="413" spans="2:16" ht="17.25" customHeight="1" thickBot="1" x14ac:dyDescent="0.25">
      <c r="B413" s="96"/>
      <c r="C413" s="108"/>
      <c r="D413" s="108"/>
      <c r="E413" s="108"/>
      <c r="F413" s="109"/>
      <c r="G413" s="110"/>
      <c r="H413" s="111"/>
      <c r="I413" s="112"/>
      <c r="J413" s="110"/>
      <c r="K413" s="113"/>
      <c r="L413" s="112"/>
      <c r="M413" s="114"/>
      <c r="N413" s="115"/>
      <c r="O413" s="116"/>
      <c r="P413" s="97"/>
    </row>
    <row r="414" spans="2:16" ht="17.25" customHeight="1" thickBot="1" x14ac:dyDescent="0.25">
      <c r="B414" s="24"/>
      <c r="C414" s="25"/>
      <c r="D414" s="25"/>
      <c r="E414" s="25"/>
      <c r="F414" s="42"/>
      <c r="G414" s="43"/>
      <c r="H414" s="44"/>
      <c r="I414" s="45"/>
      <c r="J414" s="43"/>
      <c r="K414" s="46"/>
      <c r="L414" s="45"/>
      <c r="M414" s="47"/>
      <c r="N414" s="105"/>
      <c r="O414" s="106"/>
      <c r="P414" s="24"/>
    </row>
    <row r="415" spans="2:16" ht="17.25" customHeight="1" x14ac:dyDescent="0.35">
      <c r="B415" s="104"/>
      <c r="C415" s="420"/>
      <c r="D415" s="420"/>
      <c r="E415" s="420"/>
      <c r="F415" s="420"/>
      <c r="G415" s="420"/>
      <c r="H415" s="420"/>
      <c r="I415" s="420"/>
      <c r="J415" s="420"/>
      <c r="K415" s="420"/>
      <c r="L415" s="420"/>
      <c r="M415" s="420"/>
      <c r="N415" s="420"/>
      <c r="O415" s="420"/>
      <c r="P415" s="94"/>
    </row>
    <row r="416" spans="2:16" ht="23.25" x14ac:dyDescent="0.35">
      <c r="B416" s="102"/>
      <c r="C416" s="423" t="s">
        <v>126</v>
      </c>
      <c r="D416" s="423"/>
      <c r="E416" s="423"/>
      <c r="F416" s="423"/>
      <c r="G416" s="423"/>
      <c r="H416" s="423"/>
      <c r="I416" s="423"/>
      <c r="J416" s="423"/>
      <c r="K416" s="423"/>
      <c r="L416" s="423"/>
      <c r="M416" s="423"/>
      <c r="N416" s="423"/>
      <c r="O416" s="423"/>
      <c r="P416" s="95"/>
    </row>
    <row r="417" spans="2:17" ht="17.25" customHeight="1" thickBot="1" x14ac:dyDescent="0.4">
      <c r="B417" s="102"/>
      <c r="C417" s="424"/>
      <c r="D417" s="424"/>
      <c r="E417" s="424"/>
      <c r="F417" s="424"/>
      <c r="G417" s="424"/>
      <c r="H417" s="424"/>
      <c r="I417" s="424"/>
      <c r="J417" s="424"/>
      <c r="K417" s="424"/>
      <c r="L417" s="424"/>
      <c r="M417" s="424"/>
      <c r="N417" s="424"/>
      <c r="O417" s="424"/>
      <c r="P417" s="95"/>
      <c r="Q417" s="24"/>
    </row>
    <row r="418" spans="2:17" ht="17.25" customHeight="1" thickBot="1" x14ac:dyDescent="0.25">
      <c r="B418" s="102"/>
      <c r="C418" s="103"/>
      <c r="D418" s="103"/>
      <c r="E418" s="25"/>
      <c r="F418" s="26"/>
      <c r="G418" s="425" t="str">
        <f>$G$10</f>
        <v>2010 BILL</v>
      </c>
      <c r="H418" s="426"/>
      <c r="I418" s="427"/>
      <c r="J418" s="425" t="str">
        <f>$J$10</f>
        <v>2011 BILL</v>
      </c>
      <c r="K418" s="426"/>
      <c r="L418" s="427"/>
      <c r="M418" s="425" t="s">
        <v>43</v>
      </c>
      <c r="N418" s="426"/>
      <c r="O418" s="427"/>
      <c r="P418" s="95"/>
      <c r="Q418" s="24"/>
    </row>
    <row r="419" spans="2:17" ht="26.25" thickBot="1" x14ac:dyDescent="0.25">
      <c r="B419" s="102"/>
      <c r="C419" s="25"/>
      <c r="D419" s="25"/>
      <c r="E419" s="27"/>
      <c r="F419" s="28"/>
      <c r="G419" s="245" t="s">
        <v>37</v>
      </c>
      <c r="H419" s="246" t="s">
        <v>38</v>
      </c>
      <c r="I419" s="247" t="s">
        <v>39</v>
      </c>
      <c r="J419" s="248" t="s">
        <v>37</v>
      </c>
      <c r="K419" s="246" t="s">
        <v>38</v>
      </c>
      <c r="L419" s="247" t="s">
        <v>39</v>
      </c>
      <c r="M419" s="122" t="s">
        <v>44</v>
      </c>
      <c r="N419" s="123" t="s">
        <v>45</v>
      </c>
      <c r="O419" s="124" t="s">
        <v>46</v>
      </c>
      <c r="P419" s="95"/>
      <c r="Q419" s="24"/>
    </row>
    <row r="420" spans="2:17" ht="17.25" customHeight="1" thickBot="1" x14ac:dyDescent="0.25">
      <c r="B420" s="102"/>
      <c r="C420" s="421" t="s">
        <v>40</v>
      </c>
      <c r="D420" s="422"/>
      <c r="E420" s="25"/>
      <c r="F420" s="251" t="s">
        <v>41</v>
      </c>
      <c r="G420" s="249"/>
      <c r="H420" s="243"/>
      <c r="I420" s="135">
        <f>+'2012 Existing Rates'!$C$9</f>
        <v>2794.55</v>
      </c>
      <c r="J420" s="133"/>
      <c r="K420" s="244"/>
      <c r="L420" s="162">
        <f>+'Rate Schedule '!$E$23</f>
        <v>2794.55</v>
      </c>
      <c r="M420" s="163">
        <f t="shared" ref="M420:M425" si="58">+L420-I420</f>
        <v>0</v>
      </c>
      <c r="N420" s="164">
        <f>+M420/I420</f>
        <v>0</v>
      </c>
      <c r="O420" s="156" t="e">
        <f>L420/L433</f>
        <v>#REF!</v>
      </c>
      <c r="P420" s="95"/>
      <c r="Q420" s="24"/>
    </row>
    <row r="421" spans="2:17" ht="17.25" customHeight="1" thickBot="1" x14ac:dyDescent="0.25">
      <c r="B421" s="102"/>
      <c r="C421" s="100">
        <v>75000</v>
      </c>
      <c r="D421" s="101" t="s">
        <v>12</v>
      </c>
      <c r="E421" s="25"/>
      <c r="F421" s="252" t="s">
        <v>52</v>
      </c>
      <c r="G421" s="250">
        <f>+C422</f>
        <v>100</v>
      </c>
      <c r="H421" s="126" t="e">
        <f>'2012 Existing Rates'!#REF!</f>
        <v>#REF!</v>
      </c>
      <c r="I421" s="141" t="e">
        <f>+G421*H421</f>
        <v>#REF!</v>
      </c>
      <c r="J421" s="132">
        <f>G421</f>
        <v>100</v>
      </c>
      <c r="K421" s="125">
        <f>'Rate Schedule '!$E$24</f>
        <v>2.2079</v>
      </c>
      <c r="L421" s="145">
        <f>+J421*K421</f>
        <v>220.79</v>
      </c>
      <c r="M421" s="163" t="e">
        <f t="shared" si="58"/>
        <v>#REF!</v>
      </c>
      <c r="N421" s="164" t="e">
        <f>+M421/I421</f>
        <v>#REF!</v>
      </c>
      <c r="O421" s="156" t="e">
        <f>L421/L433</f>
        <v>#REF!</v>
      </c>
      <c r="P421" s="95"/>
      <c r="Q421" s="24"/>
    </row>
    <row r="422" spans="2:17" ht="17.25" customHeight="1" thickBot="1" x14ac:dyDescent="0.25">
      <c r="B422" s="102"/>
      <c r="C422" s="100">
        <v>100</v>
      </c>
      <c r="D422" s="101" t="s">
        <v>13</v>
      </c>
      <c r="E422" s="25"/>
      <c r="F422" s="252" t="s">
        <v>119</v>
      </c>
      <c r="G422" s="212">
        <f>G421</f>
        <v>100</v>
      </c>
      <c r="H422" s="253" t="e">
        <f>'2012 Existing Rates'!#REF!</f>
        <v>#REF!</v>
      </c>
      <c r="I422" s="141" t="e">
        <f>+G422*H422</f>
        <v>#REF!</v>
      </c>
      <c r="J422" s="132">
        <f>+C422</f>
        <v>100</v>
      </c>
      <c r="K422" s="125" t="e">
        <f>'Rate Schedule '!#REF!</f>
        <v>#REF!</v>
      </c>
      <c r="L422" s="145" t="e">
        <f>+J422*K422</f>
        <v>#REF!</v>
      </c>
      <c r="M422" s="163" t="e">
        <f t="shared" si="58"/>
        <v>#REF!</v>
      </c>
      <c r="N422" s="164" t="e">
        <f>+M422/I422</f>
        <v>#REF!</v>
      </c>
      <c r="O422" s="156" t="e">
        <f>L422/L433</f>
        <v>#REF!</v>
      </c>
      <c r="P422" s="95"/>
    </row>
    <row r="423" spans="2:17" ht="17.25" customHeight="1" x14ac:dyDescent="0.2">
      <c r="B423" s="102"/>
      <c r="C423" s="231"/>
      <c r="D423" s="242"/>
      <c r="E423" s="25"/>
      <c r="F423" s="129" t="s">
        <v>79</v>
      </c>
      <c r="G423" s="151"/>
      <c r="H423" s="150"/>
      <c r="I423" s="141" t="e">
        <f>'2012 Existing Rates'!#REF!</f>
        <v>#REF!</v>
      </c>
      <c r="J423" s="151"/>
      <c r="K423" s="150"/>
      <c r="L423" s="141" t="e">
        <f>'2012 Existing Rates'!#REF!</f>
        <v>#REF!</v>
      </c>
      <c r="M423" s="163" t="e">
        <f t="shared" si="58"/>
        <v>#REF!</v>
      </c>
      <c r="N423" s="164" t="e">
        <f>+M423/I423</f>
        <v>#REF!</v>
      </c>
      <c r="O423" s="156" t="e">
        <f>L423/L433</f>
        <v>#REF!</v>
      </c>
      <c r="P423" s="95"/>
    </row>
    <row r="424" spans="2:17" ht="17.25" customHeight="1" x14ac:dyDescent="0.2">
      <c r="B424" s="102"/>
      <c r="C424" s="54"/>
      <c r="D424" s="55"/>
      <c r="E424" s="25"/>
      <c r="F424" s="129" t="s">
        <v>120</v>
      </c>
      <c r="G424" s="132">
        <f>G422</f>
        <v>100</v>
      </c>
      <c r="H424" s="126"/>
      <c r="I424" s="141">
        <f>+G424*H424</f>
        <v>0</v>
      </c>
      <c r="J424" s="132">
        <f>G424</f>
        <v>100</v>
      </c>
      <c r="K424" s="125" t="e">
        <f>'Rate Schedule '!#REF!</f>
        <v>#REF!</v>
      </c>
      <c r="L424" s="145" t="e">
        <f>+J424*K424</f>
        <v>#REF!</v>
      </c>
      <c r="M424" s="163" t="e">
        <f t="shared" si="58"/>
        <v>#REF!</v>
      </c>
      <c r="N424" s="164">
        <v>0</v>
      </c>
      <c r="O424" s="156" t="e">
        <f>L424/L433</f>
        <v>#REF!</v>
      </c>
      <c r="P424" s="95"/>
    </row>
    <row r="425" spans="2:17" ht="17.25" customHeight="1" thickBot="1" x14ac:dyDescent="0.25">
      <c r="B425" s="102"/>
      <c r="C425" s="25"/>
      <c r="D425" s="25"/>
      <c r="E425" s="25"/>
      <c r="F425" s="130" t="s">
        <v>121</v>
      </c>
      <c r="G425" s="132">
        <f>+C422</f>
        <v>100</v>
      </c>
      <c r="H425" s="126" t="e">
        <f>'2012 Existing Rates'!#REF!</f>
        <v>#REF!</v>
      </c>
      <c r="I425" s="145" t="e">
        <f>+G425*H425</f>
        <v>#REF!</v>
      </c>
      <c r="J425" s="132">
        <f>+C422</f>
        <v>100</v>
      </c>
      <c r="K425" s="125" t="e">
        <f>'Rate Schedule '!#REF!</f>
        <v>#REF!</v>
      </c>
      <c r="L425" s="145" t="e">
        <f>+J425*K425</f>
        <v>#REF!</v>
      </c>
      <c r="M425" s="163" t="e">
        <f t="shared" si="58"/>
        <v>#REF!</v>
      </c>
      <c r="N425" s="164" t="e">
        <f t="shared" ref="N425:N433" si="59">+M425/I425</f>
        <v>#REF!</v>
      </c>
      <c r="O425" s="156" t="e">
        <f>L425/L433</f>
        <v>#REF!</v>
      </c>
      <c r="P425" s="95"/>
    </row>
    <row r="426" spans="2:17" ht="17.25" customHeight="1" thickBot="1" x14ac:dyDescent="0.25">
      <c r="B426" s="102"/>
      <c r="C426" s="25"/>
      <c r="D426" s="25"/>
      <c r="E426" s="25"/>
      <c r="F426" s="279" t="s">
        <v>116</v>
      </c>
      <c r="G426" s="417"/>
      <c r="H426" s="418"/>
      <c r="I426" s="280" t="e">
        <f>SUM(I420:I425)</f>
        <v>#REF!</v>
      </c>
      <c r="J426" s="417"/>
      <c r="K426" s="418"/>
      <c r="L426" s="280" t="e">
        <f>SUM(L420:L425)</f>
        <v>#REF!</v>
      </c>
      <c r="M426" s="283" t="e">
        <f>SUM(M420:M425)</f>
        <v>#REF!</v>
      </c>
      <c r="N426" s="284" t="e">
        <f t="shared" si="59"/>
        <v>#REF!</v>
      </c>
      <c r="O426" s="285" t="e">
        <f>SUM(O420:O425)</f>
        <v>#REF!</v>
      </c>
      <c r="P426" s="95"/>
    </row>
    <row r="427" spans="2:17" ht="17.25" customHeight="1" thickBot="1" x14ac:dyDescent="0.25">
      <c r="B427" s="102"/>
      <c r="C427" s="25"/>
      <c r="D427" s="25"/>
      <c r="E427" s="25"/>
      <c r="F427" s="129" t="s">
        <v>122</v>
      </c>
      <c r="G427" s="233">
        <f>C422</f>
        <v>100</v>
      </c>
      <c r="H427" s="234" t="e">
        <f>#REF!</f>
        <v>#REF!</v>
      </c>
      <c r="I427" s="141" t="e">
        <f>+G427*H427</f>
        <v>#REF!</v>
      </c>
      <c r="J427" s="233">
        <f>C422</f>
        <v>100</v>
      </c>
      <c r="K427" s="234" t="e">
        <f>#REF!</f>
        <v>#REF!</v>
      </c>
      <c r="L427" s="141" t="e">
        <f>+J427*K427</f>
        <v>#REF!</v>
      </c>
      <c r="M427" s="235" t="e">
        <f t="shared" ref="M427:M433" si="60">+L427-I427</f>
        <v>#REF!</v>
      </c>
      <c r="N427" s="153" t="e">
        <f t="shared" si="59"/>
        <v>#REF!</v>
      </c>
      <c r="O427" s="156" t="e">
        <f>L427/L433</f>
        <v>#REF!</v>
      </c>
      <c r="P427" s="95"/>
    </row>
    <row r="428" spans="2:17" ht="17.25" customHeight="1" thickBot="1" x14ac:dyDescent="0.25">
      <c r="B428" s="102"/>
      <c r="C428" s="25"/>
      <c r="D428" s="25"/>
      <c r="E428" s="25"/>
      <c r="F428" s="279" t="s">
        <v>118</v>
      </c>
      <c r="G428" s="417"/>
      <c r="H428" s="418"/>
      <c r="I428" s="280" t="e">
        <f>I426+I427</f>
        <v>#REF!</v>
      </c>
      <c r="J428" s="417"/>
      <c r="K428" s="418"/>
      <c r="L428" s="280" t="e">
        <f>L426+L427</f>
        <v>#REF!</v>
      </c>
      <c r="M428" s="283" t="e">
        <f t="shared" si="60"/>
        <v>#REF!</v>
      </c>
      <c r="N428" s="284" t="e">
        <f t="shared" si="59"/>
        <v>#REF!</v>
      </c>
      <c r="O428" s="286" t="e">
        <f>L428/L433</f>
        <v>#REF!</v>
      </c>
      <c r="P428" s="95"/>
    </row>
    <row r="429" spans="2:17" ht="17.25" customHeight="1" x14ac:dyDescent="0.2">
      <c r="B429" s="102"/>
      <c r="C429" s="25"/>
      <c r="D429" s="25"/>
      <c r="E429" s="25"/>
      <c r="F429" s="127" t="s">
        <v>47</v>
      </c>
      <c r="G429" s="133" t="e">
        <f>C421*#REF!</f>
        <v>#REF!</v>
      </c>
      <c r="H429" s="134" t="e">
        <f>#REF!+#REF!</f>
        <v>#REF!</v>
      </c>
      <c r="I429" s="135" t="e">
        <f>+G429*H429</f>
        <v>#REF!</v>
      </c>
      <c r="J429" s="133" t="e">
        <f>C421*#REF!</f>
        <v>#REF!</v>
      </c>
      <c r="K429" s="134" t="e">
        <f>#REF!+#REF!</f>
        <v>#REF!</v>
      </c>
      <c r="L429" s="162" t="e">
        <f>+J429*K429</f>
        <v>#REF!</v>
      </c>
      <c r="M429" s="163" t="e">
        <f t="shared" si="60"/>
        <v>#REF!</v>
      </c>
      <c r="N429" s="164" t="e">
        <f t="shared" si="59"/>
        <v>#REF!</v>
      </c>
      <c r="O429" s="156" t="e">
        <f>L429/L433</f>
        <v>#REF!</v>
      </c>
      <c r="P429" s="95"/>
    </row>
    <row r="430" spans="2:17" ht="17.25" customHeight="1" thickBot="1" x14ac:dyDescent="0.25">
      <c r="B430" s="102"/>
      <c r="C430" s="25"/>
      <c r="D430" s="25"/>
      <c r="E430" s="25"/>
      <c r="F430" s="127" t="s">
        <v>48</v>
      </c>
      <c r="G430" s="133" t="e">
        <f>G429</f>
        <v>#REF!</v>
      </c>
      <c r="H430" s="134" t="e">
        <f>+#REF!</f>
        <v>#REF!</v>
      </c>
      <c r="I430" s="135" t="e">
        <f>+G430*H430</f>
        <v>#REF!</v>
      </c>
      <c r="J430" s="133" t="e">
        <f>J429</f>
        <v>#REF!</v>
      </c>
      <c r="K430" s="134" t="e">
        <f>#REF!</f>
        <v>#REF!</v>
      </c>
      <c r="L430" s="162" t="e">
        <f>+J430*K430</f>
        <v>#REF!</v>
      </c>
      <c r="M430" s="163" t="e">
        <f t="shared" si="60"/>
        <v>#REF!</v>
      </c>
      <c r="N430" s="164" t="e">
        <f t="shared" si="59"/>
        <v>#REF!</v>
      </c>
      <c r="O430" s="156" t="e">
        <f>L430/L433</f>
        <v>#REF!</v>
      </c>
      <c r="P430" s="95"/>
    </row>
    <row r="431" spans="2:17" ht="17.25" customHeight="1" thickBot="1" x14ac:dyDescent="0.25">
      <c r="B431" s="102"/>
      <c r="C431" s="25"/>
      <c r="D431" s="25"/>
      <c r="E431" s="25"/>
      <c r="F431" s="279" t="s">
        <v>97</v>
      </c>
      <c r="G431" s="417"/>
      <c r="H431" s="418"/>
      <c r="I431" s="280" t="e">
        <f>SUM(I428:I430)</f>
        <v>#REF!</v>
      </c>
      <c r="J431" s="417"/>
      <c r="K431" s="418"/>
      <c r="L431" s="280" t="e">
        <f>SUM(L428:L430)</f>
        <v>#REF!</v>
      </c>
      <c r="M431" s="280" t="e">
        <f t="shared" si="60"/>
        <v>#REF!</v>
      </c>
      <c r="N431" s="284" t="e">
        <f t="shared" si="59"/>
        <v>#REF!</v>
      </c>
      <c r="O431" s="286" t="e">
        <f>L431/L433</f>
        <v>#REF!</v>
      </c>
      <c r="P431" s="95"/>
    </row>
    <row r="432" spans="2:17" ht="17.25" customHeight="1" thickBot="1" x14ac:dyDescent="0.25">
      <c r="B432" s="102"/>
      <c r="C432" s="25"/>
      <c r="D432" s="25"/>
      <c r="E432" s="25"/>
      <c r="F432" s="188" t="s">
        <v>170</v>
      </c>
      <c r="G432" s="189"/>
      <c r="H432" s="193">
        <v>0.13</v>
      </c>
      <c r="I432" s="190" t="e">
        <f>I431*H432</f>
        <v>#REF!</v>
      </c>
      <c r="J432" s="189"/>
      <c r="K432" s="193">
        <v>0.13</v>
      </c>
      <c r="L432" s="191" t="e">
        <f>L431*K432</f>
        <v>#REF!</v>
      </c>
      <c r="M432" s="160" t="e">
        <f t="shared" si="60"/>
        <v>#REF!</v>
      </c>
      <c r="N432" s="161" t="e">
        <f t="shared" si="59"/>
        <v>#REF!</v>
      </c>
      <c r="O432" s="166" t="e">
        <f>L432/L433</f>
        <v>#REF!</v>
      </c>
      <c r="P432" s="95"/>
    </row>
    <row r="433" spans="2:17" ht="17.25" customHeight="1" thickBot="1" x14ac:dyDescent="0.25">
      <c r="B433" s="102"/>
      <c r="C433" s="25"/>
      <c r="D433" s="25"/>
      <c r="E433" s="29"/>
      <c r="F433" s="293" t="s">
        <v>49</v>
      </c>
      <c r="G433" s="417"/>
      <c r="H433" s="418"/>
      <c r="I433" s="280" t="e">
        <f>I431+I432</f>
        <v>#REF!</v>
      </c>
      <c r="J433" s="417"/>
      <c r="K433" s="418"/>
      <c r="L433" s="280" t="e">
        <f>L431+L432</f>
        <v>#REF!</v>
      </c>
      <c r="M433" s="280" t="e">
        <f t="shared" si="60"/>
        <v>#REF!</v>
      </c>
      <c r="N433" s="284" t="e">
        <f t="shared" si="59"/>
        <v>#REF!</v>
      </c>
      <c r="O433" s="285" t="e">
        <f>O431+O432</f>
        <v>#REF!</v>
      </c>
      <c r="P433" s="95"/>
    </row>
    <row r="434" spans="2:17" ht="17.25" customHeight="1" thickBot="1" x14ac:dyDescent="0.25">
      <c r="B434" s="96"/>
      <c r="C434" s="108"/>
      <c r="D434" s="108"/>
      <c r="E434" s="108"/>
      <c r="F434" s="109"/>
      <c r="G434" s="110"/>
      <c r="H434" s="111"/>
      <c r="I434" s="112"/>
      <c r="J434" s="110"/>
      <c r="K434" s="113"/>
      <c r="L434" s="112"/>
      <c r="M434" s="114"/>
      <c r="N434" s="115"/>
      <c r="O434" s="116"/>
      <c r="P434" s="97"/>
    </row>
    <row r="435" spans="2:17" ht="17.25" customHeight="1" thickBot="1" x14ac:dyDescent="0.25">
      <c r="B435" s="24"/>
      <c r="C435" s="25"/>
      <c r="D435" s="25"/>
      <c r="E435" s="25"/>
      <c r="F435" s="42"/>
      <c r="G435" s="43"/>
      <c r="H435" s="44"/>
      <c r="I435" s="45"/>
      <c r="J435" s="43"/>
      <c r="K435" s="46"/>
      <c r="L435" s="45"/>
      <c r="M435" s="47"/>
      <c r="N435" s="105"/>
      <c r="O435" s="106"/>
      <c r="P435" s="24"/>
    </row>
    <row r="436" spans="2:17" ht="17.25" customHeight="1" x14ac:dyDescent="0.35">
      <c r="B436" s="104"/>
      <c r="C436" s="420"/>
      <c r="D436" s="420"/>
      <c r="E436" s="420"/>
      <c r="F436" s="420"/>
      <c r="G436" s="420"/>
      <c r="H436" s="420"/>
      <c r="I436" s="420"/>
      <c r="J436" s="420"/>
      <c r="K436" s="420"/>
      <c r="L436" s="420"/>
      <c r="M436" s="420"/>
      <c r="N436" s="420"/>
      <c r="O436" s="420"/>
      <c r="P436" s="94"/>
    </row>
    <row r="437" spans="2:17" ht="23.25" x14ac:dyDescent="0.35">
      <c r="B437" s="102"/>
      <c r="C437" s="423" t="s">
        <v>126</v>
      </c>
      <c r="D437" s="423"/>
      <c r="E437" s="423"/>
      <c r="F437" s="423"/>
      <c r="G437" s="423"/>
      <c r="H437" s="423"/>
      <c r="I437" s="423"/>
      <c r="J437" s="423"/>
      <c r="K437" s="423"/>
      <c r="L437" s="423"/>
      <c r="M437" s="423"/>
      <c r="N437" s="423"/>
      <c r="O437" s="423"/>
      <c r="P437" s="95"/>
    </row>
    <row r="438" spans="2:17" ht="17.25" customHeight="1" thickBot="1" x14ac:dyDescent="0.4">
      <c r="B438" s="102"/>
      <c r="C438" s="424"/>
      <c r="D438" s="424"/>
      <c r="E438" s="424"/>
      <c r="F438" s="424"/>
      <c r="G438" s="424"/>
      <c r="H438" s="424"/>
      <c r="I438" s="424"/>
      <c r="J438" s="424"/>
      <c r="K438" s="424"/>
      <c r="L438" s="424"/>
      <c r="M438" s="424"/>
      <c r="N438" s="424"/>
      <c r="O438" s="424"/>
      <c r="P438" s="95"/>
      <c r="Q438" s="24"/>
    </row>
    <row r="439" spans="2:17" ht="17.25" customHeight="1" thickBot="1" x14ac:dyDescent="0.25">
      <c r="B439" s="102"/>
      <c r="C439" s="103"/>
      <c r="D439" s="103"/>
      <c r="E439" s="25"/>
      <c r="F439" s="26"/>
      <c r="G439" s="425" t="str">
        <f>$G$10</f>
        <v>2010 BILL</v>
      </c>
      <c r="H439" s="426"/>
      <c r="I439" s="427"/>
      <c r="J439" s="425" t="str">
        <f>$J$10</f>
        <v>2011 BILL</v>
      </c>
      <c r="K439" s="426"/>
      <c r="L439" s="427"/>
      <c r="M439" s="425" t="s">
        <v>43</v>
      </c>
      <c r="N439" s="426"/>
      <c r="O439" s="427"/>
      <c r="P439" s="95"/>
      <c r="Q439" s="24"/>
    </row>
    <row r="440" spans="2:17" ht="26.25" thickBot="1" x14ac:dyDescent="0.25">
      <c r="B440" s="102"/>
      <c r="C440" s="25"/>
      <c r="D440" s="25"/>
      <c r="E440" s="27"/>
      <c r="F440" s="28"/>
      <c r="G440" s="245" t="s">
        <v>37</v>
      </c>
      <c r="H440" s="246" t="s">
        <v>38</v>
      </c>
      <c r="I440" s="247" t="s">
        <v>39</v>
      </c>
      <c r="J440" s="248" t="s">
        <v>37</v>
      </c>
      <c r="K440" s="246" t="s">
        <v>38</v>
      </c>
      <c r="L440" s="247" t="s">
        <v>39</v>
      </c>
      <c r="M440" s="122" t="s">
        <v>44</v>
      </c>
      <c r="N440" s="123" t="s">
        <v>45</v>
      </c>
      <c r="O440" s="124" t="s">
        <v>46</v>
      </c>
      <c r="P440" s="95"/>
      <c r="Q440" s="24"/>
    </row>
    <row r="441" spans="2:17" ht="17.25" customHeight="1" thickBot="1" x14ac:dyDescent="0.25">
      <c r="B441" s="102"/>
      <c r="C441" s="421" t="s">
        <v>40</v>
      </c>
      <c r="D441" s="422"/>
      <c r="E441" s="25"/>
      <c r="F441" s="251" t="s">
        <v>41</v>
      </c>
      <c r="G441" s="249"/>
      <c r="H441" s="243"/>
      <c r="I441" s="135">
        <f>+'2012 Existing Rates'!$C$9</f>
        <v>2794.55</v>
      </c>
      <c r="J441" s="133"/>
      <c r="K441" s="244"/>
      <c r="L441" s="162">
        <f>+'Rate Schedule '!$E$23</f>
        <v>2794.55</v>
      </c>
      <c r="M441" s="163">
        <f t="shared" ref="M441:M446" si="61">+L441-I441</f>
        <v>0</v>
      </c>
      <c r="N441" s="164">
        <f>+M441/I441</f>
        <v>0</v>
      </c>
      <c r="O441" s="156" t="e">
        <f>L441/L454</f>
        <v>#REF!</v>
      </c>
      <c r="P441" s="95"/>
      <c r="Q441" s="24"/>
    </row>
    <row r="442" spans="2:17" ht="17.25" customHeight="1" thickBot="1" x14ac:dyDescent="0.25">
      <c r="B442" s="102"/>
      <c r="C442" s="100">
        <v>200000</v>
      </c>
      <c r="D442" s="101" t="s">
        <v>12</v>
      </c>
      <c r="E442" s="25"/>
      <c r="F442" s="252" t="s">
        <v>52</v>
      </c>
      <c r="G442" s="250">
        <f>+C443</f>
        <v>500</v>
      </c>
      <c r="H442" s="126" t="e">
        <f>'2012 Existing Rates'!#REF!</f>
        <v>#REF!</v>
      </c>
      <c r="I442" s="141" t="e">
        <f>+G442*H442</f>
        <v>#REF!</v>
      </c>
      <c r="J442" s="132">
        <f>G442</f>
        <v>500</v>
      </c>
      <c r="K442" s="125">
        <f>'Rate Schedule '!$E$24</f>
        <v>2.2079</v>
      </c>
      <c r="L442" s="145">
        <f>+J442*K442</f>
        <v>1103.95</v>
      </c>
      <c r="M442" s="163" t="e">
        <f t="shared" si="61"/>
        <v>#REF!</v>
      </c>
      <c r="N442" s="164" t="e">
        <f>+M442/I442</f>
        <v>#REF!</v>
      </c>
      <c r="O442" s="156" t="e">
        <f>L442/L454</f>
        <v>#REF!</v>
      </c>
      <c r="P442" s="95"/>
      <c r="Q442" s="24"/>
    </row>
    <row r="443" spans="2:17" ht="17.25" customHeight="1" thickBot="1" x14ac:dyDescent="0.25">
      <c r="B443" s="102"/>
      <c r="C443" s="100">
        <v>500</v>
      </c>
      <c r="D443" s="101" t="s">
        <v>13</v>
      </c>
      <c r="E443" s="25"/>
      <c r="F443" s="252" t="s">
        <v>119</v>
      </c>
      <c r="G443" s="212">
        <f>G442</f>
        <v>500</v>
      </c>
      <c r="H443" s="253" t="e">
        <f>'2012 Existing Rates'!#REF!</f>
        <v>#REF!</v>
      </c>
      <c r="I443" s="141" t="e">
        <f>+G443*H443</f>
        <v>#REF!</v>
      </c>
      <c r="J443" s="132">
        <f>+C443</f>
        <v>500</v>
      </c>
      <c r="K443" s="125" t="e">
        <f>'Rate Schedule '!#REF!</f>
        <v>#REF!</v>
      </c>
      <c r="L443" s="145" t="e">
        <f>+J443*K443</f>
        <v>#REF!</v>
      </c>
      <c r="M443" s="163" t="e">
        <f t="shared" si="61"/>
        <v>#REF!</v>
      </c>
      <c r="N443" s="164" t="e">
        <f>+M443/I443</f>
        <v>#REF!</v>
      </c>
      <c r="O443" s="156" t="e">
        <f>L443/L454</f>
        <v>#REF!</v>
      </c>
      <c r="P443" s="95"/>
    </row>
    <row r="444" spans="2:17" ht="17.25" customHeight="1" x14ac:dyDescent="0.2">
      <c r="B444" s="102"/>
      <c r="C444" s="231"/>
      <c r="D444" s="242"/>
      <c r="E444" s="25"/>
      <c r="F444" s="129" t="s">
        <v>79</v>
      </c>
      <c r="G444" s="151"/>
      <c r="H444" s="150"/>
      <c r="I444" s="141" t="e">
        <f>'2012 Existing Rates'!#REF!</f>
        <v>#REF!</v>
      </c>
      <c r="J444" s="151"/>
      <c r="K444" s="150"/>
      <c r="L444" s="141" t="e">
        <f>'2012 Existing Rates'!#REF!</f>
        <v>#REF!</v>
      </c>
      <c r="M444" s="163" t="e">
        <f t="shared" si="61"/>
        <v>#REF!</v>
      </c>
      <c r="N444" s="164" t="e">
        <f>+M444/I444</f>
        <v>#REF!</v>
      </c>
      <c r="O444" s="156" t="e">
        <f>L444/L454</f>
        <v>#REF!</v>
      </c>
      <c r="P444" s="95"/>
    </row>
    <row r="445" spans="2:17" ht="17.25" customHeight="1" x14ac:dyDescent="0.2">
      <c r="B445" s="102"/>
      <c r="C445" s="54"/>
      <c r="D445" s="55"/>
      <c r="E445" s="25"/>
      <c r="F445" s="129" t="s">
        <v>120</v>
      </c>
      <c r="G445" s="132">
        <f>G443</f>
        <v>500</v>
      </c>
      <c r="H445" s="126"/>
      <c r="I445" s="141">
        <f>+G445*H445</f>
        <v>0</v>
      </c>
      <c r="J445" s="132">
        <f>G445</f>
        <v>500</v>
      </c>
      <c r="K445" s="125" t="e">
        <f>'Rate Schedule '!#REF!</f>
        <v>#REF!</v>
      </c>
      <c r="L445" s="145" t="e">
        <f>+J445*K445</f>
        <v>#REF!</v>
      </c>
      <c r="M445" s="163" t="e">
        <f t="shared" si="61"/>
        <v>#REF!</v>
      </c>
      <c r="N445" s="164">
        <v>0</v>
      </c>
      <c r="O445" s="156" t="e">
        <f>L445/L454</f>
        <v>#REF!</v>
      </c>
      <c r="P445" s="95"/>
    </row>
    <row r="446" spans="2:17" ht="17.25" customHeight="1" thickBot="1" x14ac:dyDescent="0.25">
      <c r="B446" s="102"/>
      <c r="C446" s="25"/>
      <c r="D446" s="25"/>
      <c r="E446" s="25"/>
      <c r="F446" s="130" t="s">
        <v>121</v>
      </c>
      <c r="G446" s="132">
        <f>+C443</f>
        <v>500</v>
      </c>
      <c r="H446" s="126" t="e">
        <f>'2012 Existing Rates'!#REF!</f>
        <v>#REF!</v>
      </c>
      <c r="I446" s="145" t="e">
        <f>+G446*H446</f>
        <v>#REF!</v>
      </c>
      <c r="J446" s="132">
        <f>+C443</f>
        <v>500</v>
      </c>
      <c r="K446" s="125" t="e">
        <f>'Rate Schedule '!#REF!</f>
        <v>#REF!</v>
      </c>
      <c r="L446" s="145" t="e">
        <f>+J446*K446</f>
        <v>#REF!</v>
      </c>
      <c r="M446" s="163" t="e">
        <f t="shared" si="61"/>
        <v>#REF!</v>
      </c>
      <c r="N446" s="164" t="e">
        <f t="shared" ref="N446:N454" si="62">+M446/I446</f>
        <v>#REF!</v>
      </c>
      <c r="O446" s="156" t="e">
        <f>L446/L454</f>
        <v>#REF!</v>
      </c>
      <c r="P446" s="95"/>
    </row>
    <row r="447" spans="2:17" ht="17.25" customHeight="1" thickBot="1" x14ac:dyDescent="0.25">
      <c r="B447" s="102"/>
      <c r="C447" s="25"/>
      <c r="D447" s="25"/>
      <c r="E447" s="25"/>
      <c r="F447" s="279" t="s">
        <v>116</v>
      </c>
      <c r="G447" s="417"/>
      <c r="H447" s="418"/>
      <c r="I447" s="280" t="e">
        <f>SUM(I441:I446)</f>
        <v>#REF!</v>
      </c>
      <c r="J447" s="417"/>
      <c r="K447" s="418"/>
      <c r="L447" s="280" t="e">
        <f>SUM(L441:L446)</f>
        <v>#REF!</v>
      </c>
      <c r="M447" s="283" t="e">
        <f>SUM(M441:M446)</f>
        <v>#REF!</v>
      </c>
      <c r="N447" s="284" t="e">
        <f t="shared" si="62"/>
        <v>#REF!</v>
      </c>
      <c r="O447" s="285" t="e">
        <f>SUM(O441:O446)</f>
        <v>#REF!</v>
      </c>
      <c r="P447" s="95"/>
    </row>
    <row r="448" spans="2:17" ht="17.25" customHeight="1" thickBot="1" x14ac:dyDescent="0.25">
      <c r="B448" s="102"/>
      <c r="C448" s="25"/>
      <c r="D448" s="25"/>
      <c r="E448" s="25"/>
      <c r="F448" s="129" t="s">
        <v>122</v>
      </c>
      <c r="G448" s="233">
        <f>C443</f>
        <v>500</v>
      </c>
      <c r="H448" s="234" t="e">
        <f>#REF!</f>
        <v>#REF!</v>
      </c>
      <c r="I448" s="141" t="e">
        <f>+G448*H448</f>
        <v>#REF!</v>
      </c>
      <c r="J448" s="233">
        <f>C443</f>
        <v>500</v>
      </c>
      <c r="K448" s="234" t="e">
        <f>#REF!</f>
        <v>#REF!</v>
      </c>
      <c r="L448" s="141" t="e">
        <f>+J448*K448</f>
        <v>#REF!</v>
      </c>
      <c r="M448" s="235" t="e">
        <f t="shared" ref="M448:M454" si="63">+L448-I448</f>
        <v>#REF!</v>
      </c>
      <c r="N448" s="153" t="e">
        <f t="shared" si="62"/>
        <v>#REF!</v>
      </c>
      <c r="O448" s="156" t="e">
        <f>L448/L454</f>
        <v>#REF!</v>
      </c>
      <c r="P448" s="95"/>
    </row>
    <row r="449" spans="2:17" ht="17.25" customHeight="1" thickBot="1" x14ac:dyDescent="0.25">
      <c r="B449" s="102"/>
      <c r="C449" s="25"/>
      <c r="D449" s="25"/>
      <c r="E449" s="25"/>
      <c r="F449" s="279" t="s">
        <v>118</v>
      </c>
      <c r="G449" s="417"/>
      <c r="H449" s="418"/>
      <c r="I449" s="280" t="e">
        <f>I447+I448</f>
        <v>#REF!</v>
      </c>
      <c r="J449" s="417"/>
      <c r="K449" s="418"/>
      <c r="L449" s="280" t="e">
        <f>L447+L448</f>
        <v>#REF!</v>
      </c>
      <c r="M449" s="283" t="e">
        <f t="shared" si="63"/>
        <v>#REF!</v>
      </c>
      <c r="N449" s="284" t="e">
        <f t="shared" si="62"/>
        <v>#REF!</v>
      </c>
      <c r="O449" s="286" t="e">
        <f>L449/L454</f>
        <v>#REF!</v>
      </c>
      <c r="P449" s="95"/>
    </row>
    <row r="450" spans="2:17" ht="17.25" customHeight="1" x14ac:dyDescent="0.2">
      <c r="B450" s="102"/>
      <c r="C450" s="25"/>
      <c r="D450" s="25"/>
      <c r="E450" s="25"/>
      <c r="F450" s="127" t="s">
        <v>47</v>
      </c>
      <c r="G450" s="133" t="e">
        <f>C442*#REF!</f>
        <v>#REF!</v>
      </c>
      <c r="H450" s="134" t="e">
        <f>#REF!+#REF!</f>
        <v>#REF!</v>
      </c>
      <c r="I450" s="135" t="e">
        <f>+G450*H450</f>
        <v>#REF!</v>
      </c>
      <c r="J450" s="133" t="e">
        <f>C442*#REF!</f>
        <v>#REF!</v>
      </c>
      <c r="K450" s="134" t="e">
        <f>#REF!+#REF!</f>
        <v>#REF!</v>
      </c>
      <c r="L450" s="162" t="e">
        <f>+J450*K450</f>
        <v>#REF!</v>
      </c>
      <c r="M450" s="163" t="e">
        <f t="shared" si="63"/>
        <v>#REF!</v>
      </c>
      <c r="N450" s="164" t="e">
        <f t="shared" si="62"/>
        <v>#REF!</v>
      </c>
      <c r="O450" s="156" t="e">
        <f>L450/L454</f>
        <v>#REF!</v>
      </c>
      <c r="P450" s="95"/>
    </row>
    <row r="451" spans="2:17" ht="17.25" customHeight="1" thickBot="1" x14ac:dyDescent="0.25">
      <c r="B451" s="102"/>
      <c r="C451" s="25"/>
      <c r="D451" s="25"/>
      <c r="E451" s="25"/>
      <c r="F451" s="127" t="s">
        <v>48</v>
      </c>
      <c r="G451" s="133" t="e">
        <f>G450</f>
        <v>#REF!</v>
      </c>
      <c r="H451" s="134" t="e">
        <f>+#REF!</f>
        <v>#REF!</v>
      </c>
      <c r="I451" s="135" t="e">
        <f>+G451*H451</f>
        <v>#REF!</v>
      </c>
      <c r="J451" s="133" t="e">
        <f>J450</f>
        <v>#REF!</v>
      </c>
      <c r="K451" s="134" t="e">
        <f>#REF!</f>
        <v>#REF!</v>
      </c>
      <c r="L451" s="162" t="e">
        <f>+J451*K451</f>
        <v>#REF!</v>
      </c>
      <c r="M451" s="163" t="e">
        <f t="shared" si="63"/>
        <v>#REF!</v>
      </c>
      <c r="N451" s="164" t="e">
        <f t="shared" si="62"/>
        <v>#REF!</v>
      </c>
      <c r="O451" s="156" t="e">
        <f>L451/L454</f>
        <v>#REF!</v>
      </c>
      <c r="P451" s="95"/>
    </row>
    <row r="452" spans="2:17" ht="17.25" customHeight="1" thickBot="1" x14ac:dyDescent="0.25">
      <c r="B452" s="102"/>
      <c r="C452" s="25"/>
      <c r="D452" s="25"/>
      <c r="E452" s="25"/>
      <c r="F452" s="279" t="s">
        <v>97</v>
      </c>
      <c r="G452" s="417"/>
      <c r="H452" s="418"/>
      <c r="I452" s="280" t="e">
        <f>SUM(I449:I451)</f>
        <v>#REF!</v>
      </c>
      <c r="J452" s="417"/>
      <c r="K452" s="418"/>
      <c r="L452" s="280" t="e">
        <f>SUM(L449:L451)</f>
        <v>#REF!</v>
      </c>
      <c r="M452" s="280" t="e">
        <f t="shared" si="63"/>
        <v>#REF!</v>
      </c>
      <c r="N452" s="284" t="e">
        <f t="shared" si="62"/>
        <v>#REF!</v>
      </c>
      <c r="O452" s="286" t="e">
        <f>L452/L454</f>
        <v>#REF!</v>
      </c>
      <c r="P452" s="95"/>
    </row>
    <row r="453" spans="2:17" ht="17.25" customHeight="1" thickBot="1" x14ac:dyDescent="0.25">
      <c r="B453" s="102"/>
      <c r="C453" s="25"/>
      <c r="D453" s="25"/>
      <c r="E453" s="25"/>
      <c r="F453" s="188" t="s">
        <v>170</v>
      </c>
      <c r="G453" s="189"/>
      <c r="H453" s="193">
        <v>0.13</v>
      </c>
      <c r="I453" s="190" t="e">
        <f>I452*H453</f>
        <v>#REF!</v>
      </c>
      <c r="J453" s="189"/>
      <c r="K453" s="193">
        <v>0.13</v>
      </c>
      <c r="L453" s="191" t="e">
        <f>L452*K453</f>
        <v>#REF!</v>
      </c>
      <c r="M453" s="160" t="e">
        <f t="shared" si="63"/>
        <v>#REF!</v>
      </c>
      <c r="N453" s="161" t="e">
        <f t="shared" si="62"/>
        <v>#REF!</v>
      </c>
      <c r="O453" s="166" t="e">
        <f>L453/L454</f>
        <v>#REF!</v>
      </c>
      <c r="P453" s="95"/>
    </row>
    <row r="454" spans="2:17" ht="17.25" customHeight="1" thickBot="1" x14ac:dyDescent="0.25">
      <c r="B454" s="102"/>
      <c r="C454" s="25"/>
      <c r="D454" s="25"/>
      <c r="E454" s="29"/>
      <c r="F454" s="293" t="s">
        <v>49</v>
      </c>
      <c r="G454" s="417"/>
      <c r="H454" s="418"/>
      <c r="I454" s="280" t="e">
        <f>I452+I453</f>
        <v>#REF!</v>
      </c>
      <c r="J454" s="417"/>
      <c r="K454" s="418"/>
      <c r="L454" s="280" t="e">
        <f>L452+L453</f>
        <v>#REF!</v>
      </c>
      <c r="M454" s="280" t="e">
        <f t="shared" si="63"/>
        <v>#REF!</v>
      </c>
      <c r="N454" s="284" t="e">
        <f t="shared" si="62"/>
        <v>#REF!</v>
      </c>
      <c r="O454" s="285" t="e">
        <f>O452+O453</f>
        <v>#REF!</v>
      </c>
      <c r="P454" s="95"/>
    </row>
    <row r="455" spans="2:17" ht="17.25" customHeight="1" thickBot="1" x14ac:dyDescent="0.25">
      <c r="B455" s="96"/>
      <c r="C455" s="108"/>
      <c r="D455" s="108"/>
      <c r="E455" s="108"/>
      <c r="F455" s="109"/>
      <c r="G455" s="110"/>
      <c r="H455" s="111"/>
      <c r="I455" s="112"/>
      <c r="J455" s="110"/>
      <c r="K455" s="113"/>
      <c r="L455" s="112"/>
      <c r="M455" s="114"/>
      <c r="N455" s="115"/>
      <c r="O455" s="116"/>
      <c r="P455" s="97"/>
    </row>
    <row r="456" spans="2:17" ht="17.25" customHeight="1" thickBot="1" x14ac:dyDescent="0.25">
      <c r="B456" s="24"/>
      <c r="C456" s="25"/>
      <c r="D456" s="25"/>
      <c r="E456" s="25"/>
      <c r="F456" s="42"/>
      <c r="G456" s="43"/>
      <c r="H456" s="44"/>
      <c r="I456" s="45"/>
      <c r="J456" s="43"/>
      <c r="K456" s="46"/>
      <c r="L456" s="45"/>
      <c r="M456" s="47"/>
      <c r="N456" s="105"/>
      <c r="O456" s="106"/>
      <c r="P456" s="24"/>
    </row>
    <row r="457" spans="2:17" ht="17.25" customHeight="1" x14ac:dyDescent="0.35">
      <c r="B457" s="104"/>
      <c r="C457" s="420"/>
      <c r="D457" s="420"/>
      <c r="E457" s="420"/>
      <c r="F457" s="420"/>
      <c r="G457" s="420"/>
      <c r="H457" s="420"/>
      <c r="I457" s="420"/>
      <c r="J457" s="420"/>
      <c r="K457" s="420"/>
      <c r="L457" s="420"/>
      <c r="M457" s="420"/>
      <c r="N457" s="420"/>
      <c r="O457" s="420"/>
      <c r="P457" s="94"/>
    </row>
    <row r="458" spans="2:17" ht="23.25" x14ac:dyDescent="0.35">
      <c r="B458" s="102"/>
      <c r="C458" s="423" t="s">
        <v>126</v>
      </c>
      <c r="D458" s="423"/>
      <c r="E458" s="423"/>
      <c r="F458" s="423"/>
      <c r="G458" s="423"/>
      <c r="H458" s="423"/>
      <c r="I458" s="423"/>
      <c r="J458" s="423"/>
      <c r="K458" s="423"/>
      <c r="L458" s="423"/>
      <c r="M458" s="423"/>
      <c r="N458" s="423"/>
      <c r="O458" s="423"/>
      <c r="P458" s="95"/>
    </row>
    <row r="459" spans="2:17" ht="17.25" customHeight="1" thickBot="1" x14ac:dyDescent="0.4">
      <c r="B459" s="102"/>
      <c r="C459" s="424"/>
      <c r="D459" s="424"/>
      <c r="E459" s="424"/>
      <c r="F459" s="424"/>
      <c r="G459" s="424"/>
      <c r="H459" s="424"/>
      <c r="I459" s="424"/>
      <c r="J459" s="424"/>
      <c r="K459" s="424"/>
      <c r="L459" s="424"/>
      <c r="M459" s="424"/>
      <c r="N459" s="424"/>
      <c r="O459" s="424"/>
      <c r="P459" s="95"/>
      <c r="Q459" s="24"/>
    </row>
    <row r="460" spans="2:17" ht="17.25" customHeight="1" thickBot="1" x14ac:dyDescent="0.25">
      <c r="B460" s="102"/>
      <c r="C460" s="103"/>
      <c r="D460" s="103"/>
      <c r="E460" s="25"/>
      <c r="F460" s="26"/>
      <c r="G460" s="425" t="str">
        <f>$G$10</f>
        <v>2010 BILL</v>
      </c>
      <c r="H460" s="426"/>
      <c r="I460" s="427"/>
      <c r="J460" s="425" t="str">
        <f>$J$10</f>
        <v>2011 BILL</v>
      </c>
      <c r="K460" s="426"/>
      <c r="L460" s="427"/>
      <c r="M460" s="425" t="s">
        <v>43</v>
      </c>
      <c r="N460" s="426"/>
      <c r="O460" s="427"/>
      <c r="P460" s="95"/>
      <c r="Q460" s="24"/>
    </row>
    <row r="461" spans="2:17" ht="26.25" thickBot="1" x14ac:dyDescent="0.25">
      <c r="B461" s="102"/>
      <c r="C461" s="25"/>
      <c r="D461" s="25"/>
      <c r="E461" s="27"/>
      <c r="F461" s="28"/>
      <c r="G461" s="245" t="s">
        <v>37</v>
      </c>
      <c r="H461" s="246" t="s">
        <v>38</v>
      </c>
      <c r="I461" s="247" t="s">
        <v>39</v>
      </c>
      <c r="J461" s="248" t="s">
        <v>37</v>
      </c>
      <c r="K461" s="246" t="s">
        <v>38</v>
      </c>
      <c r="L461" s="247" t="s">
        <v>39</v>
      </c>
      <c r="M461" s="122" t="s">
        <v>44</v>
      </c>
      <c r="N461" s="123" t="s">
        <v>45</v>
      </c>
      <c r="O461" s="124" t="s">
        <v>46</v>
      </c>
      <c r="P461" s="95"/>
      <c r="Q461" s="24"/>
    </row>
    <row r="462" spans="2:17" ht="17.25" customHeight="1" thickBot="1" x14ac:dyDescent="0.25">
      <c r="B462" s="102"/>
      <c r="C462" s="421" t="s">
        <v>40</v>
      </c>
      <c r="D462" s="422"/>
      <c r="E462" s="25"/>
      <c r="F462" s="251" t="s">
        <v>41</v>
      </c>
      <c r="G462" s="249"/>
      <c r="H462" s="243"/>
      <c r="I462" s="135">
        <f>+'2012 Existing Rates'!$C$9</f>
        <v>2794.55</v>
      </c>
      <c r="J462" s="133"/>
      <c r="K462" s="244"/>
      <c r="L462" s="162">
        <f>+'Rate Schedule '!$E$23</f>
        <v>2794.55</v>
      </c>
      <c r="M462" s="163">
        <f t="shared" ref="M462:M467" si="64">+L462-I462</f>
        <v>0</v>
      </c>
      <c r="N462" s="164">
        <f>+M462/I462</f>
        <v>0</v>
      </c>
      <c r="O462" s="156" t="e">
        <f>L462/L475</f>
        <v>#REF!</v>
      </c>
      <c r="P462" s="95"/>
      <c r="Q462" s="24"/>
    </row>
    <row r="463" spans="2:17" ht="17.25" customHeight="1" thickBot="1" x14ac:dyDescent="0.25">
      <c r="B463" s="102"/>
      <c r="C463" s="100">
        <v>800000</v>
      </c>
      <c r="D463" s="101" t="s">
        <v>12</v>
      </c>
      <c r="E463" s="25"/>
      <c r="F463" s="252" t="s">
        <v>52</v>
      </c>
      <c r="G463" s="250">
        <f>+C464</f>
        <v>1000</v>
      </c>
      <c r="H463" s="126" t="e">
        <f>'2012 Existing Rates'!#REF!</f>
        <v>#REF!</v>
      </c>
      <c r="I463" s="141" t="e">
        <f>+G463*H463</f>
        <v>#REF!</v>
      </c>
      <c r="J463" s="132">
        <f>G463</f>
        <v>1000</v>
      </c>
      <c r="K463" s="125">
        <f>'Rate Schedule '!$E$24</f>
        <v>2.2079</v>
      </c>
      <c r="L463" s="145">
        <f>+J463*K463</f>
        <v>2207.9</v>
      </c>
      <c r="M463" s="163" t="e">
        <f t="shared" si="64"/>
        <v>#REF!</v>
      </c>
      <c r="N463" s="164" t="e">
        <f>+M463/I463</f>
        <v>#REF!</v>
      </c>
      <c r="O463" s="156" t="e">
        <f>L463/L475</f>
        <v>#REF!</v>
      </c>
      <c r="P463" s="95"/>
      <c r="Q463" s="24"/>
    </row>
    <row r="464" spans="2:17" ht="17.25" customHeight="1" thickBot="1" x14ac:dyDescent="0.25">
      <c r="B464" s="102"/>
      <c r="C464" s="100">
        <v>1000</v>
      </c>
      <c r="D464" s="101" t="s">
        <v>13</v>
      </c>
      <c r="E464" s="25"/>
      <c r="F464" s="252" t="s">
        <v>119</v>
      </c>
      <c r="G464" s="212">
        <f>G463</f>
        <v>1000</v>
      </c>
      <c r="H464" s="253" t="e">
        <f>'2012 Existing Rates'!#REF!</f>
        <v>#REF!</v>
      </c>
      <c r="I464" s="141" t="e">
        <f>+G464*H464</f>
        <v>#REF!</v>
      </c>
      <c r="J464" s="132">
        <f>+C464</f>
        <v>1000</v>
      </c>
      <c r="K464" s="125" t="e">
        <f>'Rate Schedule '!#REF!</f>
        <v>#REF!</v>
      </c>
      <c r="L464" s="145" t="e">
        <f>+J464*K464</f>
        <v>#REF!</v>
      </c>
      <c r="M464" s="163" t="e">
        <f t="shared" si="64"/>
        <v>#REF!</v>
      </c>
      <c r="N464" s="164" t="e">
        <f>+M464/I464</f>
        <v>#REF!</v>
      </c>
      <c r="O464" s="156" t="e">
        <f>L464/L475</f>
        <v>#REF!</v>
      </c>
      <c r="P464" s="95"/>
    </row>
    <row r="465" spans="2:17" ht="17.25" customHeight="1" x14ac:dyDescent="0.2">
      <c r="B465" s="102"/>
      <c r="C465" s="231"/>
      <c r="D465" s="242"/>
      <c r="E465" s="25"/>
      <c r="F465" s="129" t="s">
        <v>79</v>
      </c>
      <c r="G465" s="151"/>
      <c r="H465" s="150"/>
      <c r="I465" s="141" t="e">
        <f>'2012 Existing Rates'!#REF!</f>
        <v>#REF!</v>
      </c>
      <c r="J465" s="151"/>
      <c r="K465" s="150"/>
      <c r="L465" s="141" t="e">
        <f>'2012 Existing Rates'!#REF!</f>
        <v>#REF!</v>
      </c>
      <c r="M465" s="163" t="e">
        <f t="shared" si="64"/>
        <v>#REF!</v>
      </c>
      <c r="N465" s="164" t="e">
        <f>+M465/I465</f>
        <v>#REF!</v>
      </c>
      <c r="O465" s="156" t="e">
        <f>L465/L475</f>
        <v>#REF!</v>
      </c>
      <c r="P465" s="95"/>
    </row>
    <row r="466" spans="2:17" ht="17.25" customHeight="1" x14ac:dyDescent="0.2">
      <c r="B466" s="102"/>
      <c r="C466" s="54"/>
      <c r="D466" s="55"/>
      <c r="E466" s="25"/>
      <c r="F466" s="129" t="s">
        <v>120</v>
      </c>
      <c r="G466" s="132">
        <f>G464</f>
        <v>1000</v>
      </c>
      <c r="H466" s="126"/>
      <c r="I466" s="141">
        <f>+G466*H466</f>
        <v>0</v>
      </c>
      <c r="J466" s="132">
        <f>G466</f>
        <v>1000</v>
      </c>
      <c r="K466" s="125" t="e">
        <f>'Rate Schedule '!#REF!</f>
        <v>#REF!</v>
      </c>
      <c r="L466" s="145" t="e">
        <f>+J466*K466</f>
        <v>#REF!</v>
      </c>
      <c r="M466" s="163" t="e">
        <f t="shared" si="64"/>
        <v>#REF!</v>
      </c>
      <c r="N466" s="164">
        <v>0</v>
      </c>
      <c r="O466" s="156" t="e">
        <f>L466/L475</f>
        <v>#REF!</v>
      </c>
      <c r="P466" s="95"/>
    </row>
    <row r="467" spans="2:17" ht="17.25" customHeight="1" thickBot="1" x14ac:dyDescent="0.25">
      <c r="B467" s="102"/>
      <c r="C467" s="25"/>
      <c r="D467" s="25"/>
      <c r="E467" s="25"/>
      <c r="F467" s="130" t="s">
        <v>121</v>
      </c>
      <c r="G467" s="132">
        <f>+C464</f>
        <v>1000</v>
      </c>
      <c r="H467" s="126" t="e">
        <f>'2012 Existing Rates'!#REF!</f>
        <v>#REF!</v>
      </c>
      <c r="I467" s="145" t="e">
        <f>+G467*H467</f>
        <v>#REF!</v>
      </c>
      <c r="J467" s="132">
        <f>+C464</f>
        <v>1000</v>
      </c>
      <c r="K467" s="125" t="e">
        <f>'Rate Schedule '!#REF!</f>
        <v>#REF!</v>
      </c>
      <c r="L467" s="145" t="e">
        <f>+J467*K467</f>
        <v>#REF!</v>
      </c>
      <c r="M467" s="163" t="e">
        <f t="shared" si="64"/>
        <v>#REF!</v>
      </c>
      <c r="N467" s="164" t="e">
        <f t="shared" ref="N467:N475" si="65">+M467/I467</f>
        <v>#REF!</v>
      </c>
      <c r="O467" s="156" t="e">
        <f>L467/L475</f>
        <v>#REF!</v>
      </c>
      <c r="P467" s="95"/>
    </row>
    <row r="468" spans="2:17" ht="17.25" customHeight="1" thickBot="1" x14ac:dyDescent="0.25">
      <c r="B468" s="102"/>
      <c r="C468" s="25"/>
      <c r="D468" s="25"/>
      <c r="E468" s="25"/>
      <c r="F468" s="279" t="s">
        <v>116</v>
      </c>
      <c r="G468" s="417"/>
      <c r="H468" s="418"/>
      <c r="I468" s="280" t="e">
        <f>SUM(I462:I467)</f>
        <v>#REF!</v>
      </c>
      <c r="J468" s="417"/>
      <c r="K468" s="418"/>
      <c r="L468" s="280" t="e">
        <f>SUM(L462:L467)</f>
        <v>#REF!</v>
      </c>
      <c r="M468" s="283" t="e">
        <f>SUM(M462:M467)</f>
        <v>#REF!</v>
      </c>
      <c r="N468" s="284" t="e">
        <f t="shared" si="65"/>
        <v>#REF!</v>
      </c>
      <c r="O468" s="285" t="e">
        <f>SUM(O462:O467)</f>
        <v>#REF!</v>
      </c>
      <c r="P468" s="95"/>
    </row>
    <row r="469" spans="2:17" ht="17.25" customHeight="1" thickBot="1" x14ac:dyDescent="0.25">
      <c r="B469" s="102"/>
      <c r="C469" s="25"/>
      <c r="D469" s="25"/>
      <c r="E469" s="25"/>
      <c r="F469" s="129" t="s">
        <v>122</v>
      </c>
      <c r="G469" s="233">
        <f>C464</f>
        <v>1000</v>
      </c>
      <c r="H469" s="234" t="e">
        <f>#REF!</f>
        <v>#REF!</v>
      </c>
      <c r="I469" s="141" t="e">
        <f>+G469*H469</f>
        <v>#REF!</v>
      </c>
      <c r="J469" s="233">
        <f>C464</f>
        <v>1000</v>
      </c>
      <c r="K469" s="234" t="e">
        <f>#REF!</f>
        <v>#REF!</v>
      </c>
      <c r="L469" s="141" t="e">
        <f>+J469*K469</f>
        <v>#REF!</v>
      </c>
      <c r="M469" s="235" t="e">
        <f t="shared" ref="M469:M475" si="66">+L469-I469</f>
        <v>#REF!</v>
      </c>
      <c r="N469" s="153" t="e">
        <f t="shared" si="65"/>
        <v>#REF!</v>
      </c>
      <c r="O469" s="156" t="e">
        <f>L469/L475</f>
        <v>#REF!</v>
      </c>
      <c r="P469" s="95"/>
    </row>
    <row r="470" spans="2:17" ht="17.25" customHeight="1" thickBot="1" x14ac:dyDescent="0.25">
      <c r="B470" s="102"/>
      <c r="C470" s="25"/>
      <c r="D470" s="25"/>
      <c r="E470" s="25"/>
      <c r="F470" s="279" t="s">
        <v>118</v>
      </c>
      <c r="G470" s="417"/>
      <c r="H470" s="418"/>
      <c r="I470" s="280" t="e">
        <f>I468+I469</f>
        <v>#REF!</v>
      </c>
      <c r="J470" s="417"/>
      <c r="K470" s="418"/>
      <c r="L470" s="280" t="e">
        <f>L468+L469</f>
        <v>#REF!</v>
      </c>
      <c r="M470" s="283" t="e">
        <f t="shared" si="66"/>
        <v>#REF!</v>
      </c>
      <c r="N470" s="284" t="e">
        <f t="shared" si="65"/>
        <v>#REF!</v>
      </c>
      <c r="O470" s="286" t="e">
        <f>L470/L475</f>
        <v>#REF!</v>
      </c>
      <c r="P470" s="95"/>
    </row>
    <row r="471" spans="2:17" ht="17.25" customHeight="1" x14ac:dyDescent="0.2">
      <c r="B471" s="102"/>
      <c r="C471" s="25"/>
      <c r="D471" s="25"/>
      <c r="E471" s="25"/>
      <c r="F471" s="127" t="s">
        <v>47</v>
      </c>
      <c r="G471" s="133" t="e">
        <f>C463*#REF!</f>
        <v>#REF!</v>
      </c>
      <c r="H471" s="134" t="e">
        <f>#REF!+#REF!</f>
        <v>#REF!</v>
      </c>
      <c r="I471" s="135" t="e">
        <f>+G471*H471</f>
        <v>#REF!</v>
      </c>
      <c r="J471" s="133" t="e">
        <f>C463*#REF!</f>
        <v>#REF!</v>
      </c>
      <c r="K471" s="134" t="e">
        <f>#REF!+#REF!</f>
        <v>#REF!</v>
      </c>
      <c r="L471" s="162" t="e">
        <f>+J471*K471</f>
        <v>#REF!</v>
      </c>
      <c r="M471" s="163" t="e">
        <f t="shared" si="66"/>
        <v>#REF!</v>
      </c>
      <c r="N471" s="164" t="e">
        <f t="shared" si="65"/>
        <v>#REF!</v>
      </c>
      <c r="O471" s="156" t="e">
        <f>L471/L475</f>
        <v>#REF!</v>
      </c>
      <c r="P471" s="95"/>
    </row>
    <row r="472" spans="2:17" ht="17.25" customHeight="1" thickBot="1" x14ac:dyDescent="0.25">
      <c r="B472" s="102"/>
      <c r="C472" s="25"/>
      <c r="D472" s="25"/>
      <c r="E472" s="25"/>
      <c r="F472" s="127" t="s">
        <v>48</v>
      </c>
      <c r="G472" s="133" t="e">
        <f>G471</f>
        <v>#REF!</v>
      </c>
      <c r="H472" s="134" t="e">
        <f>+#REF!</f>
        <v>#REF!</v>
      </c>
      <c r="I472" s="135" t="e">
        <f>+G472*H472</f>
        <v>#REF!</v>
      </c>
      <c r="J472" s="133" t="e">
        <f>J471</f>
        <v>#REF!</v>
      </c>
      <c r="K472" s="134" t="e">
        <f>#REF!</f>
        <v>#REF!</v>
      </c>
      <c r="L472" s="162" t="e">
        <f>+J472*K472</f>
        <v>#REF!</v>
      </c>
      <c r="M472" s="163" t="e">
        <f t="shared" si="66"/>
        <v>#REF!</v>
      </c>
      <c r="N472" s="164" t="e">
        <f t="shared" si="65"/>
        <v>#REF!</v>
      </c>
      <c r="O472" s="156" t="e">
        <f>L472/L475</f>
        <v>#REF!</v>
      </c>
      <c r="P472" s="95"/>
    </row>
    <row r="473" spans="2:17" ht="17.25" customHeight="1" thickBot="1" x14ac:dyDescent="0.25">
      <c r="B473" s="102"/>
      <c r="C473" s="25"/>
      <c r="D473" s="25"/>
      <c r="E473" s="25"/>
      <c r="F473" s="279" t="s">
        <v>97</v>
      </c>
      <c r="G473" s="417"/>
      <c r="H473" s="418"/>
      <c r="I473" s="280" t="e">
        <f>SUM(I470:I472)</f>
        <v>#REF!</v>
      </c>
      <c r="J473" s="417"/>
      <c r="K473" s="418"/>
      <c r="L473" s="280" t="e">
        <f>SUM(L470:L472)</f>
        <v>#REF!</v>
      </c>
      <c r="M473" s="280" t="e">
        <f t="shared" si="66"/>
        <v>#REF!</v>
      </c>
      <c r="N473" s="284" t="e">
        <f t="shared" si="65"/>
        <v>#REF!</v>
      </c>
      <c r="O473" s="286" t="e">
        <f>L473/L475</f>
        <v>#REF!</v>
      </c>
      <c r="P473" s="95"/>
    </row>
    <row r="474" spans="2:17" ht="17.25" customHeight="1" thickBot="1" x14ac:dyDescent="0.25">
      <c r="B474" s="102"/>
      <c r="C474" s="25"/>
      <c r="D474" s="25"/>
      <c r="E474" s="25"/>
      <c r="F474" s="188" t="s">
        <v>170</v>
      </c>
      <c r="G474" s="189"/>
      <c r="H474" s="193">
        <v>0.13</v>
      </c>
      <c r="I474" s="190" t="e">
        <f>I473*H474</f>
        <v>#REF!</v>
      </c>
      <c r="J474" s="189"/>
      <c r="K474" s="193">
        <v>0.13</v>
      </c>
      <c r="L474" s="191" t="e">
        <f>L473*K474</f>
        <v>#REF!</v>
      </c>
      <c r="M474" s="160" t="e">
        <f t="shared" si="66"/>
        <v>#REF!</v>
      </c>
      <c r="N474" s="161" t="e">
        <f t="shared" si="65"/>
        <v>#REF!</v>
      </c>
      <c r="O474" s="166" t="e">
        <f>L474/L475</f>
        <v>#REF!</v>
      </c>
      <c r="P474" s="95"/>
    </row>
    <row r="475" spans="2:17" ht="17.25" customHeight="1" thickBot="1" x14ac:dyDescent="0.25">
      <c r="B475" s="102"/>
      <c r="C475" s="25"/>
      <c r="D475" s="25"/>
      <c r="E475" s="29"/>
      <c r="F475" s="293" t="s">
        <v>49</v>
      </c>
      <c r="G475" s="417"/>
      <c r="H475" s="418"/>
      <c r="I475" s="280" t="e">
        <f>I473+I474</f>
        <v>#REF!</v>
      </c>
      <c r="J475" s="417"/>
      <c r="K475" s="418"/>
      <c r="L475" s="280" t="e">
        <f>L473+L474</f>
        <v>#REF!</v>
      </c>
      <c r="M475" s="280" t="e">
        <f t="shared" si="66"/>
        <v>#REF!</v>
      </c>
      <c r="N475" s="284" t="e">
        <f t="shared" si="65"/>
        <v>#REF!</v>
      </c>
      <c r="O475" s="285" t="e">
        <f>O473+O474</f>
        <v>#REF!</v>
      </c>
      <c r="P475" s="95"/>
    </row>
    <row r="476" spans="2:17" ht="17.25" customHeight="1" thickBot="1" x14ac:dyDescent="0.25">
      <c r="B476" s="96"/>
      <c r="C476" s="108"/>
      <c r="D476" s="108"/>
      <c r="E476" s="108"/>
      <c r="F476" s="109"/>
      <c r="G476" s="110"/>
      <c r="H476" s="111"/>
      <c r="I476" s="112"/>
      <c r="J476" s="110"/>
      <c r="K476" s="113"/>
      <c r="L476" s="112"/>
      <c r="M476" s="114"/>
      <c r="N476" s="115"/>
      <c r="O476" s="116"/>
      <c r="P476" s="97"/>
    </row>
    <row r="477" spans="2:17" ht="17.25" customHeight="1" thickBot="1" x14ac:dyDescent="0.25">
      <c r="B477" s="24"/>
      <c r="C477" s="25"/>
      <c r="D477" s="25"/>
      <c r="E477" s="25"/>
      <c r="F477" s="42"/>
      <c r="G477" s="43"/>
      <c r="H477" s="44"/>
      <c r="I477" s="45"/>
      <c r="J477" s="43"/>
      <c r="K477" s="46"/>
      <c r="L477" s="45"/>
      <c r="M477" s="47"/>
      <c r="N477" s="105"/>
      <c r="O477" s="106"/>
      <c r="P477" s="24"/>
    </row>
    <row r="478" spans="2:17" ht="17.25" customHeight="1" x14ac:dyDescent="0.35">
      <c r="B478" s="104"/>
      <c r="C478" s="420"/>
      <c r="D478" s="420"/>
      <c r="E478" s="420"/>
      <c r="F478" s="420"/>
      <c r="G478" s="420"/>
      <c r="H478" s="420"/>
      <c r="I478" s="420"/>
      <c r="J478" s="420"/>
      <c r="K478" s="420"/>
      <c r="L478" s="420"/>
      <c r="M478" s="420"/>
      <c r="N478" s="420"/>
      <c r="O478" s="420"/>
      <c r="P478" s="94"/>
    </row>
    <row r="479" spans="2:17" ht="23.25" x14ac:dyDescent="0.35">
      <c r="B479" s="102"/>
      <c r="C479" s="423" t="s">
        <v>126</v>
      </c>
      <c r="D479" s="423"/>
      <c r="E479" s="423"/>
      <c r="F479" s="423"/>
      <c r="G479" s="423"/>
      <c r="H479" s="423"/>
      <c r="I479" s="423"/>
      <c r="J479" s="423"/>
      <c r="K479" s="423"/>
      <c r="L479" s="423"/>
      <c r="M479" s="423"/>
      <c r="N479" s="423"/>
      <c r="O479" s="423"/>
      <c r="P479" s="95"/>
    </row>
    <row r="480" spans="2:17" ht="17.25" customHeight="1" thickBot="1" x14ac:dyDescent="0.4">
      <c r="B480" s="102"/>
      <c r="C480" s="424"/>
      <c r="D480" s="424"/>
      <c r="E480" s="424"/>
      <c r="F480" s="424"/>
      <c r="G480" s="424"/>
      <c r="H480" s="424"/>
      <c r="I480" s="424"/>
      <c r="J480" s="424"/>
      <c r="K480" s="424"/>
      <c r="L480" s="424"/>
      <c r="M480" s="424"/>
      <c r="N480" s="424"/>
      <c r="O480" s="424"/>
      <c r="P480" s="95"/>
      <c r="Q480" s="24"/>
    </row>
    <row r="481" spans="2:17" ht="17.25" customHeight="1" thickBot="1" x14ac:dyDescent="0.25">
      <c r="B481" s="102"/>
      <c r="C481" s="103"/>
      <c r="D481" s="103"/>
      <c r="E481" s="25"/>
      <c r="F481" s="26"/>
      <c r="G481" s="425" t="str">
        <f>$G$10</f>
        <v>2010 BILL</v>
      </c>
      <c r="H481" s="426"/>
      <c r="I481" s="427"/>
      <c r="J481" s="425" t="str">
        <f>$J$10</f>
        <v>2011 BILL</v>
      </c>
      <c r="K481" s="426"/>
      <c r="L481" s="427"/>
      <c r="M481" s="425" t="s">
        <v>43</v>
      </c>
      <c r="N481" s="426"/>
      <c r="O481" s="427"/>
      <c r="P481" s="95"/>
      <c r="Q481" s="24"/>
    </row>
    <row r="482" spans="2:17" ht="26.25" thickBot="1" x14ac:dyDescent="0.25">
      <c r="B482" s="102"/>
      <c r="C482" s="25"/>
      <c r="D482" s="25"/>
      <c r="E482" s="27"/>
      <c r="F482" s="28"/>
      <c r="G482" s="245" t="s">
        <v>37</v>
      </c>
      <c r="H482" s="246" t="s">
        <v>38</v>
      </c>
      <c r="I482" s="247" t="s">
        <v>39</v>
      </c>
      <c r="J482" s="248" t="s">
        <v>37</v>
      </c>
      <c r="K482" s="246" t="s">
        <v>38</v>
      </c>
      <c r="L482" s="247" t="s">
        <v>39</v>
      </c>
      <c r="M482" s="122" t="s">
        <v>44</v>
      </c>
      <c r="N482" s="123" t="s">
        <v>45</v>
      </c>
      <c r="O482" s="124" t="s">
        <v>46</v>
      </c>
      <c r="P482" s="95"/>
      <c r="Q482" s="24"/>
    </row>
    <row r="483" spans="2:17" ht="17.25" customHeight="1" thickBot="1" x14ac:dyDescent="0.25">
      <c r="B483" s="102"/>
      <c r="C483" s="421" t="s">
        <v>40</v>
      </c>
      <c r="D483" s="422"/>
      <c r="E483" s="25"/>
      <c r="F483" s="251" t="s">
        <v>41</v>
      </c>
      <c r="G483" s="249"/>
      <c r="H483" s="243"/>
      <c r="I483" s="135">
        <f>+'2012 Existing Rates'!$C$9</f>
        <v>2794.55</v>
      </c>
      <c r="J483" s="133"/>
      <c r="K483" s="244"/>
      <c r="L483" s="162">
        <f>+'Rate Schedule '!$E$23</f>
        <v>2794.55</v>
      </c>
      <c r="M483" s="163">
        <f t="shared" ref="M483:M488" si="67">+L483-I483</f>
        <v>0</v>
      </c>
      <c r="N483" s="164">
        <f>+M483/I483</f>
        <v>0</v>
      </c>
      <c r="O483" s="156" t="e">
        <f>L483/L496</f>
        <v>#REF!</v>
      </c>
      <c r="P483" s="95"/>
      <c r="Q483" s="24"/>
    </row>
    <row r="484" spans="2:17" ht="17.25" customHeight="1" thickBot="1" x14ac:dyDescent="0.25">
      <c r="B484" s="102"/>
      <c r="C484" s="100">
        <v>1600000</v>
      </c>
      <c r="D484" s="101" t="s">
        <v>12</v>
      </c>
      <c r="E484" s="25"/>
      <c r="F484" s="252" t="s">
        <v>52</v>
      </c>
      <c r="G484" s="250">
        <f>+C485</f>
        <v>4000</v>
      </c>
      <c r="H484" s="126" t="e">
        <f>'2012 Existing Rates'!#REF!</f>
        <v>#REF!</v>
      </c>
      <c r="I484" s="141" t="e">
        <f>+G484*H484</f>
        <v>#REF!</v>
      </c>
      <c r="J484" s="132">
        <f>G484</f>
        <v>4000</v>
      </c>
      <c r="K484" s="125">
        <f>'Rate Schedule '!$E$24</f>
        <v>2.2079</v>
      </c>
      <c r="L484" s="145">
        <f>+J484*K484</f>
        <v>8831.6</v>
      </c>
      <c r="M484" s="163" t="e">
        <f t="shared" si="67"/>
        <v>#REF!</v>
      </c>
      <c r="N484" s="164" t="e">
        <f>+M484/I484</f>
        <v>#REF!</v>
      </c>
      <c r="O484" s="156" t="e">
        <f>L484/L496</f>
        <v>#REF!</v>
      </c>
      <c r="P484" s="95"/>
      <c r="Q484" s="24"/>
    </row>
    <row r="485" spans="2:17" ht="17.25" customHeight="1" thickBot="1" x14ac:dyDescent="0.25">
      <c r="B485" s="102"/>
      <c r="C485" s="100">
        <v>4000</v>
      </c>
      <c r="D485" s="101" t="s">
        <v>13</v>
      </c>
      <c r="E485" s="25"/>
      <c r="F485" s="252" t="s">
        <v>119</v>
      </c>
      <c r="G485" s="212">
        <f>G484</f>
        <v>4000</v>
      </c>
      <c r="H485" s="253" t="e">
        <f>'2012 Existing Rates'!#REF!</f>
        <v>#REF!</v>
      </c>
      <c r="I485" s="141" t="e">
        <f>+G485*H485</f>
        <v>#REF!</v>
      </c>
      <c r="J485" s="132">
        <f>+C485</f>
        <v>4000</v>
      </c>
      <c r="K485" s="125" t="e">
        <f>'Rate Schedule '!#REF!</f>
        <v>#REF!</v>
      </c>
      <c r="L485" s="145" t="e">
        <f>+J485*K485</f>
        <v>#REF!</v>
      </c>
      <c r="M485" s="163" t="e">
        <f t="shared" si="67"/>
        <v>#REF!</v>
      </c>
      <c r="N485" s="164" t="e">
        <f>+M485/I485</f>
        <v>#REF!</v>
      </c>
      <c r="O485" s="156" t="e">
        <f>L485/L496</f>
        <v>#REF!</v>
      </c>
      <c r="P485" s="95"/>
    </row>
    <row r="486" spans="2:17" ht="17.25" customHeight="1" x14ac:dyDescent="0.2">
      <c r="B486" s="102"/>
      <c r="C486" s="231"/>
      <c r="D486" s="242"/>
      <c r="E486" s="25"/>
      <c r="F486" s="129" t="s">
        <v>79</v>
      </c>
      <c r="G486" s="151"/>
      <c r="H486" s="150"/>
      <c r="I486" s="141" t="e">
        <f>'2012 Existing Rates'!#REF!</f>
        <v>#REF!</v>
      </c>
      <c r="J486" s="151"/>
      <c r="K486" s="150"/>
      <c r="L486" s="141" t="e">
        <f>'2012 Existing Rates'!#REF!</f>
        <v>#REF!</v>
      </c>
      <c r="M486" s="163" t="e">
        <f t="shared" si="67"/>
        <v>#REF!</v>
      </c>
      <c r="N486" s="164" t="e">
        <f>+M486/I486</f>
        <v>#REF!</v>
      </c>
      <c r="O486" s="156" t="e">
        <f>L486/L496</f>
        <v>#REF!</v>
      </c>
      <c r="P486" s="95"/>
    </row>
    <row r="487" spans="2:17" ht="17.25" customHeight="1" x14ac:dyDescent="0.2">
      <c r="B487" s="102"/>
      <c r="C487" s="54"/>
      <c r="D487" s="55"/>
      <c r="E487" s="25"/>
      <c r="F487" s="129" t="s">
        <v>120</v>
      </c>
      <c r="G487" s="132">
        <f>G485</f>
        <v>4000</v>
      </c>
      <c r="H487" s="126"/>
      <c r="I487" s="141">
        <f>+G487*H487</f>
        <v>0</v>
      </c>
      <c r="J487" s="132">
        <f>G487</f>
        <v>4000</v>
      </c>
      <c r="K487" s="125" t="e">
        <f>'Rate Schedule '!#REF!</f>
        <v>#REF!</v>
      </c>
      <c r="L487" s="145" t="e">
        <f>+J487*K487</f>
        <v>#REF!</v>
      </c>
      <c r="M487" s="163" t="e">
        <f t="shared" si="67"/>
        <v>#REF!</v>
      </c>
      <c r="N487" s="164">
        <v>0</v>
      </c>
      <c r="O487" s="156" t="e">
        <f>L487/L496</f>
        <v>#REF!</v>
      </c>
      <c r="P487" s="95"/>
    </row>
    <row r="488" spans="2:17" ht="17.25" customHeight="1" thickBot="1" x14ac:dyDescent="0.25">
      <c r="B488" s="102"/>
      <c r="C488" s="25"/>
      <c r="D488" s="25"/>
      <c r="E488" s="25"/>
      <c r="F488" s="130" t="s">
        <v>121</v>
      </c>
      <c r="G488" s="132">
        <f>+C485</f>
        <v>4000</v>
      </c>
      <c r="H488" s="126" t="e">
        <f>'2012 Existing Rates'!#REF!</f>
        <v>#REF!</v>
      </c>
      <c r="I488" s="145" t="e">
        <f>+G488*H488</f>
        <v>#REF!</v>
      </c>
      <c r="J488" s="132">
        <f>+C485</f>
        <v>4000</v>
      </c>
      <c r="K488" s="125" t="e">
        <f>'Rate Schedule '!#REF!</f>
        <v>#REF!</v>
      </c>
      <c r="L488" s="145" t="e">
        <f>+J488*K488</f>
        <v>#REF!</v>
      </c>
      <c r="M488" s="163" t="e">
        <f t="shared" si="67"/>
        <v>#REF!</v>
      </c>
      <c r="N488" s="164" t="e">
        <f t="shared" ref="N488:N496" si="68">+M488/I488</f>
        <v>#REF!</v>
      </c>
      <c r="O488" s="156" t="e">
        <f>L488/L496</f>
        <v>#REF!</v>
      </c>
      <c r="P488" s="95"/>
    </row>
    <row r="489" spans="2:17" ht="17.25" customHeight="1" thickBot="1" x14ac:dyDescent="0.25">
      <c r="B489" s="102"/>
      <c r="C489" s="25"/>
      <c r="D489" s="25"/>
      <c r="E489" s="25"/>
      <c r="F489" s="279" t="s">
        <v>116</v>
      </c>
      <c r="G489" s="417"/>
      <c r="H489" s="418"/>
      <c r="I489" s="280" t="e">
        <f>SUM(I483:I488)</f>
        <v>#REF!</v>
      </c>
      <c r="J489" s="417"/>
      <c r="K489" s="418"/>
      <c r="L489" s="280" t="e">
        <f>SUM(L483:L488)</f>
        <v>#REF!</v>
      </c>
      <c r="M489" s="283" t="e">
        <f>SUM(M483:M488)</f>
        <v>#REF!</v>
      </c>
      <c r="N489" s="284" t="e">
        <f t="shared" si="68"/>
        <v>#REF!</v>
      </c>
      <c r="O489" s="285" t="e">
        <f>SUM(O483:O488)</f>
        <v>#REF!</v>
      </c>
      <c r="P489" s="95"/>
    </row>
    <row r="490" spans="2:17" ht="17.25" customHeight="1" thickBot="1" x14ac:dyDescent="0.25">
      <c r="B490" s="102"/>
      <c r="C490" s="25"/>
      <c r="D490" s="25"/>
      <c r="E490" s="25"/>
      <c r="F490" s="129" t="s">
        <v>122</v>
      </c>
      <c r="G490" s="233">
        <f>C485</f>
        <v>4000</v>
      </c>
      <c r="H490" s="234" t="e">
        <f>#REF!</f>
        <v>#REF!</v>
      </c>
      <c r="I490" s="141" t="e">
        <f>+G490*H490</f>
        <v>#REF!</v>
      </c>
      <c r="J490" s="233">
        <f>C485</f>
        <v>4000</v>
      </c>
      <c r="K490" s="234" t="e">
        <f>#REF!</f>
        <v>#REF!</v>
      </c>
      <c r="L490" s="141" t="e">
        <f>+J490*K490</f>
        <v>#REF!</v>
      </c>
      <c r="M490" s="235" t="e">
        <f t="shared" ref="M490:M496" si="69">+L490-I490</f>
        <v>#REF!</v>
      </c>
      <c r="N490" s="153" t="e">
        <f t="shared" si="68"/>
        <v>#REF!</v>
      </c>
      <c r="O490" s="156" t="e">
        <f>L490/L496</f>
        <v>#REF!</v>
      </c>
      <c r="P490" s="95"/>
    </row>
    <row r="491" spans="2:17" ht="17.25" customHeight="1" thickBot="1" x14ac:dyDescent="0.25">
      <c r="B491" s="102"/>
      <c r="C491" s="25"/>
      <c r="D491" s="25"/>
      <c r="E491" s="25"/>
      <c r="F491" s="279" t="s">
        <v>118</v>
      </c>
      <c r="G491" s="417"/>
      <c r="H491" s="418"/>
      <c r="I491" s="280" t="e">
        <f>I489+I490</f>
        <v>#REF!</v>
      </c>
      <c r="J491" s="417"/>
      <c r="K491" s="418"/>
      <c r="L491" s="280" t="e">
        <f>L489+L490</f>
        <v>#REF!</v>
      </c>
      <c r="M491" s="283" t="e">
        <f t="shared" si="69"/>
        <v>#REF!</v>
      </c>
      <c r="N491" s="284" t="e">
        <f t="shared" si="68"/>
        <v>#REF!</v>
      </c>
      <c r="O491" s="286" t="e">
        <f>L491/L496</f>
        <v>#REF!</v>
      </c>
      <c r="P491" s="95"/>
    </row>
    <row r="492" spans="2:17" ht="17.25" customHeight="1" x14ac:dyDescent="0.2">
      <c r="B492" s="102"/>
      <c r="C492" s="25"/>
      <c r="D492" s="25"/>
      <c r="E492" s="25"/>
      <c r="F492" s="127" t="s">
        <v>47</v>
      </c>
      <c r="G492" s="133" t="e">
        <f>C484*#REF!</f>
        <v>#REF!</v>
      </c>
      <c r="H492" s="134" t="e">
        <f>#REF!+#REF!</f>
        <v>#REF!</v>
      </c>
      <c r="I492" s="135" t="e">
        <f>+G492*H492</f>
        <v>#REF!</v>
      </c>
      <c r="J492" s="133" t="e">
        <f>C484*#REF!</f>
        <v>#REF!</v>
      </c>
      <c r="K492" s="134" t="e">
        <f>#REF!+#REF!</f>
        <v>#REF!</v>
      </c>
      <c r="L492" s="162" t="e">
        <f>+J492*K492</f>
        <v>#REF!</v>
      </c>
      <c r="M492" s="163" t="e">
        <f t="shared" si="69"/>
        <v>#REF!</v>
      </c>
      <c r="N492" s="164" t="e">
        <f t="shared" si="68"/>
        <v>#REF!</v>
      </c>
      <c r="O492" s="156" t="e">
        <f>L492/L496</f>
        <v>#REF!</v>
      </c>
      <c r="P492" s="95"/>
    </row>
    <row r="493" spans="2:17" ht="17.25" customHeight="1" thickBot="1" x14ac:dyDescent="0.25">
      <c r="B493" s="102"/>
      <c r="C493" s="25"/>
      <c r="D493" s="25"/>
      <c r="E493" s="25"/>
      <c r="F493" s="127" t="s">
        <v>48</v>
      </c>
      <c r="G493" s="133" t="e">
        <f>G492</f>
        <v>#REF!</v>
      </c>
      <c r="H493" s="134" t="e">
        <f>+#REF!</f>
        <v>#REF!</v>
      </c>
      <c r="I493" s="135" t="e">
        <f>+G493*H493</f>
        <v>#REF!</v>
      </c>
      <c r="J493" s="133" t="e">
        <f>J492</f>
        <v>#REF!</v>
      </c>
      <c r="K493" s="134" t="e">
        <f>#REF!</f>
        <v>#REF!</v>
      </c>
      <c r="L493" s="162" t="e">
        <f>+J493*K493</f>
        <v>#REF!</v>
      </c>
      <c r="M493" s="163" t="e">
        <f t="shared" si="69"/>
        <v>#REF!</v>
      </c>
      <c r="N493" s="164" t="e">
        <f t="shared" si="68"/>
        <v>#REF!</v>
      </c>
      <c r="O493" s="156" t="e">
        <f>L493/L496</f>
        <v>#REF!</v>
      </c>
      <c r="P493" s="95"/>
    </row>
    <row r="494" spans="2:17" ht="17.25" customHeight="1" thickBot="1" x14ac:dyDescent="0.25">
      <c r="B494" s="102"/>
      <c r="C494" s="25"/>
      <c r="D494" s="25"/>
      <c r="E494" s="25"/>
      <c r="F494" s="279" t="s">
        <v>97</v>
      </c>
      <c r="G494" s="417"/>
      <c r="H494" s="418"/>
      <c r="I494" s="280" t="e">
        <f>SUM(I491:I493)</f>
        <v>#REF!</v>
      </c>
      <c r="J494" s="417"/>
      <c r="K494" s="418"/>
      <c r="L494" s="280" t="e">
        <f>SUM(L491:L493)</f>
        <v>#REF!</v>
      </c>
      <c r="M494" s="280" t="e">
        <f t="shared" si="69"/>
        <v>#REF!</v>
      </c>
      <c r="N494" s="284" t="e">
        <f t="shared" si="68"/>
        <v>#REF!</v>
      </c>
      <c r="O494" s="286" t="e">
        <f>L494/L496</f>
        <v>#REF!</v>
      </c>
      <c r="P494" s="95"/>
    </row>
    <row r="495" spans="2:17" ht="17.25" customHeight="1" thickBot="1" x14ac:dyDescent="0.25">
      <c r="B495" s="102"/>
      <c r="C495" s="25"/>
      <c r="D495" s="25"/>
      <c r="E495" s="25"/>
      <c r="F495" s="188" t="s">
        <v>170</v>
      </c>
      <c r="G495" s="189"/>
      <c r="H495" s="193">
        <v>0.13</v>
      </c>
      <c r="I495" s="190" t="e">
        <f>I494*H495</f>
        <v>#REF!</v>
      </c>
      <c r="J495" s="189"/>
      <c r="K495" s="193">
        <v>0.13</v>
      </c>
      <c r="L495" s="191" t="e">
        <f>L494*K495</f>
        <v>#REF!</v>
      </c>
      <c r="M495" s="160" t="e">
        <f t="shared" si="69"/>
        <v>#REF!</v>
      </c>
      <c r="N495" s="161" t="e">
        <f t="shared" si="68"/>
        <v>#REF!</v>
      </c>
      <c r="O495" s="166" t="e">
        <f>L495/L496</f>
        <v>#REF!</v>
      </c>
      <c r="P495" s="95"/>
    </row>
    <row r="496" spans="2:17" ht="17.25" customHeight="1" thickBot="1" x14ac:dyDescent="0.25">
      <c r="B496" s="102"/>
      <c r="C496" s="25"/>
      <c r="D496" s="25"/>
      <c r="E496" s="29"/>
      <c r="F496" s="293" t="s">
        <v>49</v>
      </c>
      <c r="G496" s="417"/>
      <c r="H496" s="418"/>
      <c r="I496" s="280" t="e">
        <f>I494+I495</f>
        <v>#REF!</v>
      </c>
      <c r="J496" s="417"/>
      <c r="K496" s="418"/>
      <c r="L496" s="280" t="e">
        <f>L494+L495</f>
        <v>#REF!</v>
      </c>
      <c r="M496" s="280" t="e">
        <f t="shared" si="69"/>
        <v>#REF!</v>
      </c>
      <c r="N496" s="284" t="e">
        <f t="shared" si="68"/>
        <v>#REF!</v>
      </c>
      <c r="O496" s="285" t="e">
        <f>O494+O495</f>
        <v>#REF!</v>
      </c>
      <c r="P496" s="95"/>
    </row>
    <row r="497" spans="2:17" ht="17.25" customHeight="1" thickBot="1" x14ac:dyDescent="0.25">
      <c r="B497" s="96"/>
      <c r="C497" s="108"/>
      <c r="D497" s="108"/>
      <c r="E497" s="108"/>
      <c r="F497" s="109"/>
      <c r="G497" s="110"/>
      <c r="H497" s="111"/>
      <c r="I497" s="112"/>
      <c r="J497" s="110"/>
      <c r="K497" s="113"/>
      <c r="L497" s="112"/>
      <c r="M497" s="114"/>
      <c r="N497" s="115"/>
      <c r="O497" s="116"/>
      <c r="P497" s="97"/>
    </row>
    <row r="498" spans="2:17" ht="18" customHeight="1" thickBot="1" x14ac:dyDescent="0.25">
      <c r="B498" s="24"/>
      <c r="C498" s="25"/>
      <c r="D498" s="25"/>
      <c r="E498" s="25"/>
      <c r="F498" s="42"/>
      <c r="G498" s="43"/>
      <c r="H498" s="44"/>
      <c r="I498" s="45"/>
      <c r="J498" s="43"/>
      <c r="K498" s="46"/>
      <c r="L498" s="45"/>
      <c r="M498" s="47"/>
      <c r="N498" s="105"/>
      <c r="O498" s="106"/>
      <c r="P498" s="24"/>
    </row>
    <row r="499" spans="2:17" ht="17.25" customHeight="1" x14ac:dyDescent="0.35">
      <c r="B499" s="104"/>
      <c r="C499" s="420"/>
      <c r="D499" s="420"/>
      <c r="E499" s="420"/>
      <c r="F499" s="420"/>
      <c r="G499" s="420"/>
      <c r="H499" s="420"/>
      <c r="I499" s="420"/>
      <c r="J499" s="420"/>
      <c r="K499" s="420"/>
      <c r="L499" s="420"/>
      <c r="M499" s="420"/>
      <c r="N499" s="420"/>
      <c r="O499" s="420"/>
      <c r="P499" s="94"/>
    </row>
    <row r="500" spans="2:17" ht="23.25" x14ac:dyDescent="0.35">
      <c r="B500" s="102"/>
      <c r="C500" s="423" t="s">
        <v>126</v>
      </c>
      <c r="D500" s="423"/>
      <c r="E500" s="423"/>
      <c r="F500" s="423"/>
      <c r="G500" s="423"/>
      <c r="H500" s="423"/>
      <c r="I500" s="423"/>
      <c r="J500" s="423"/>
      <c r="K500" s="423"/>
      <c r="L500" s="423"/>
      <c r="M500" s="423"/>
      <c r="N500" s="423"/>
      <c r="O500" s="423"/>
      <c r="P500" s="95"/>
    </row>
    <row r="501" spans="2:17" ht="17.25" customHeight="1" thickBot="1" x14ac:dyDescent="0.4">
      <c r="B501" s="102"/>
      <c r="C501" s="424"/>
      <c r="D501" s="424"/>
      <c r="E501" s="424"/>
      <c r="F501" s="424"/>
      <c r="G501" s="424"/>
      <c r="H501" s="424"/>
      <c r="I501" s="424"/>
      <c r="J501" s="424"/>
      <c r="K501" s="424"/>
      <c r="L501" s="424"/>
      <c r="M501" s="424"/>
      <c r="N501" s="424"/>
      <c r="O501" s="424"/>
      <c r="P501" s="95"/>
      <c r="Q501" s="24"/>
    </row>
    <row r="502" spans="2:17" ht="17.25" customHeight="1" thickBot="1" x14ac:dyDescent="0.25">
      <c r="B502" s="102"/>
      <c r="C502" s="103"/>
      <c r="D502" s="103"/>
      <c r="E502" s="25"/>
      <c r="F502" s="26"/>
      <c r="G502" s="425" t="str">
        <f>$G$10</f>
        <v>2010 BILL</v>
      </c>
      <c r="H502" s="426"/>
      <c r="I502" s="427"/>
      <c r="J502" s="425" t="str">
        <f>$J$10</f>
        <v>2011 BILL</v>
      </c>
      <c r="K502" s="426"/>
      <c r="L502" s="427"/>
      <c r="M502" s="425" t="s">
        <v>43</v>
      </c>
      <c r="N502" s="426"/>
      <c r="O502" s="427"/>
      <c r="P502" s="95"/>
      <c r="Q502" s="24"/>
    </row>
    <row r="503" spans="2:17" ht="26.25" thickBot="1" x14ac:dyDescent="0.25">
      <c r="B503" s="102"/>
      <c r="C503" s="25"/>
      <c r="D503" s="25"/>
      <c r="E503" s="27"/>
      <c r="F503" s="28"/>
      <c r="G503" s="245" t="s">
        <v>37</v>
      </c>
      <c r="H503" s="246" t="s">
        <v>38</v>
      </c>
      <c r="I503" s="247" t="s">
        <v>39</v>
      </c>
      <c r="J503" s="248" t="s">
        <v>37</v>
      </c>
      <c r="K503" s="246" t="s">
        <v>38</v>
      </c>
      <c r="L503" s="247" t="s">
        <v>39</v>
      </c>
      <c r="M503" s="122" t="s">
        <v>44</v>
      </c>
      <c r="N503" s="123" t="s">
        <v>45</v>
      </c>
      <c r="O503" s="124" t="s">
        <v>46</v>
      </c>
      <c r="P503" s="95"/>
      <c r="Q503" s="24"/>
    </row>
    <row r="504" spans="2:17" ht="17.25" customHeight="1" thickBot="1" x14ac:dyDescent="0.25">
      <c r="B504" s="102"/>
      <c r="C504" s="421" t="s">
        <v>40</v>
      </c>
      <c r="D504" s="422"/>
      <c r="E504" s="25"/>
      <c r="F504" s="251" t="s">
        <v>41</v>
      </c>
      <c r="G504" s="249"/>
      <c r="H504" s="243"/>
      <c r="I504" s="135">
        <f>+'2012 Existing Rates'!$C$9</f>
        <v>2794.55</v>
      </c>
      <c r="J504" s="133"/>
      <c r="K504" s="244"/>
      <c r="L504" s="162">
        <f>+'Rate Schedule '!$E$23</f>
        <v>2794.55</v>
      </c>
      <c r="M504" s="163">
        <f t="shared" ref="M504:M509" si="70">+L504-I504</f>
        <v>0</v>
      </c>
      <c r="N504" s="164">
        <f>+M504/I504</f>
        <v>0</v>
      </c>
      <c r="O504" s="156" t="e">
        <f>L504/L517</f>
        <v>#REF!</v>
      </c>
      <c r="P504" s="95"/>
      <c r="Q504" s="24"/>
    </row>
    <row r="505" spans="2:17" ht="17.25" customHeight="1" thickBot="1" x14ac:dyDescent="0.25">
      <c r="B505" s="102"/>
      <c r="C505" s="100">
        <v>2400000</v>
      </c>
      <c r="D505" s="101" t="s">
        <v>12</v>
      </c>
      <c r="E505" s="25"/>
      <c r="F505" s="252" t="s">
        <v>52</v>
      </c>
      <c r="G505" s="250">
        <f>+C506</f>
        <v>5400</v>
      </c>
      <c r="H505" s="126" t="e">
        <f>'2012 Existing Rates'!#REF!</f>
        <v>#REF!</v>
      </c>
      <c r="I505" s="141" t="e">
        <f>+G505*H505</f>
        <v>#REF!</v>
      </c>
      <c r="J505" s="132">
        <f>G505</f>
        <v>5400</v>
      </c>
      <c r="K505" s="125">
        <f>'Rate Schedule '!$E$24</f>
        <v>2.2079</v>
      </c>
      <c r="L505" s="145">
        <f>+J505*K505</f>
        <v>11922.66</v>
      </c>
      <c r="M505" s="163" t="e">
        <f t="shared" si="70"/>
        <v>#REF!</v>
      </c>
      <c r="N505" s="164" t="e">
        <f>+M505/I505</f>
        <v>#REF!</v>
      </c>
      <c r="O505" s="156" t="e">
        <f>L505/L517</f>
        <v>#REF!</v>
      </c>
      <c r="P505" s="95"/>
      <c r="Q505" s="24"/>
    </row>
    <row r="506" spans="2:17" ht="17.25" customHeight="1" thickBot="1" x14ac:dyDescent="0.25">
      <c r="B506" s="102"/>
      <c r="C506" s="100">
        <v>5400</v>
      </c>
      <c r="D506" s="101" t="s">
        <v>13</v>
      </c>
      <c r="E506" s="25"/>
      <c r="F506" s="252" t="s">
        <v>119</v>
      </c>
      <c r="G506" s="212">
        <f>G505</f>
        <v>5400</v>
      </c>
      <c r="H506" s="253" t="e">
        <f>'2012 Existing Rates'!#REF!</f>
        <v>#REF!</v>
      </c>
      <c r="I506" s="141" t="e">
        <f>+G506*H506</f>
        <v>#REF!</v>
      </c>
      <c r="J506" s="132">
        <f>+C506</f>
        <v>5400</v>
      </c>
      <c r="K506" s="125" t="e">
        <f>'Rate Schedule '!#REF!</f>
        <v>#REF!</v>
      </c>
      <c r="L506" s="145" t="e">
        <f>+J506*K506</f>
        <v>#REF!</v>
      </c>
      <c r="M506" s="163" t="e">
        <f t="shared" si="70"/>
        <v>#REF!</v>
      </c>
      <c r="N506" s="164" t="e">
        <f>+M506/I506</f>
        <v>#REF!</v>
      </c>
      <c r="O506" s="156" t="e">
        <f>L506/L517</f>
        <v>#REF!</v>
      </c>
      <c r="P506" s="95"/>
    </row>
    <row r="507" spans="2:17" ht="17.25" customHeight="1" x14ac:dyDescent="0.2">
      <c r="B507" s="102"/>
      <c r="C507" s="231"/>
      <c r="D507" s="242"/>
      <c r="E507" s="25"/>
      <c r="F507" s="129" t="s">
        <v>79</v>
      </c>
      <c r="G507" s="151"/>
      <c r="H507" s="150"/>
      <c r="I507" s="141" t="e">
        <f>'2012 Existing Rates'!#REF!</f>
        <v>#REF!</v>
      </c>
      <c r="J507" s="151"/>
      <c r="K507" s="150"/>
      <c r="L507" s="141" t="e">
        <f>'2012 Existing Rates'!#REF!</f>
        <v>#REF!</v>
      </c>
      <c r="M507" s="163" t="e">
        <f t="shared" si="70"/>
        <v>#REF!</v>
      </c>
      <c r="N507" s="164" t="e">
        <f>+M507/I507</f>
        <v>#REF!</v>
      </c>
      <c r="O507" s="156" t="e">
        <f>L507/L517</f>
        <v>#REF!</v>
      </c>
      <c r="P507" s="95"/>
    </row>
    <row r="508" spans="2:17" ht="17.25" customHeight="1" x14ac:dyDescent="0.2">
      <c r="B508" s="102"/>
      <c r="C508" s="54"/>
      <c r="D508" s="55"/>
      <c r="E508" s="25"/>
      <c r="F508" s="129" t="s">
        <v>120</v>
      </c>
      <c r="G508" s="132">
        <f>G506</f>
        <v>5400</v>
      </c>
      <c r="H508" s="126"/>
      <c r="I508" s="141">
        <f>+G508*H508</f>
        <v>0</v>
      </c>
      <c r="J508" s="132">
        <f>G508</f>
        <v>5400</v>
      </c>
      <c r="K508" s="125" t="e">
        <f>'Rate Schedule '!#REF!</f>
        <v>#REF!</v>
      </c>
      <c r="L508" s="145" t="e">
        <f>+J508*K508</f>
        <v>#REF!</v>
      </c>
      <c r="M508" s="163" t="e">
        <f t="shared" si="70"/>
        <v>#REF!</v>
      </c>
      <c r="N508" s="164">
        <v>0</v>
      </c>
      <c r="O508" s="156" t="e">
        <f>L508/L517</f>
        <v>#REF!</v>
      </c>
      <c r="P508" s="95"/>
    </row>
    <row r="509" spans="2:17" ht="17.25" customHeight="1" thickBot="1" x14ac:dyDescent="0.25">
      <c r="B509" s="102"/>
      <c r="C509" s="25"/>
      <c r="D509" s="25"/>
      <c r="E509" s="25"/>
      <c r="F509" s="130" t="s">
        <v>121</v>
      </c>
      <c r="G509" s="132">
        <f>+C506</f>
        <v>5400</v>
      </c>
      <c r="H509" s="126" t="e">
        <f>'2012 Existing Rates'!#REF!</f>
        <v>#REF!</v>
      </c>
      <c r="I509" s="145" t="e">
        <f>+G509*H509</f>
        <v>#REF!</v>
      </c>
      <c r="J509" s="132">
        <f>+C506</f>
        <v>5400</v>
      </c>
      <c r="K509" s="125" t="e">
        <f>'Rate Schedule '!#REF!</f>
        <v>#REF!</v>
      </c>
      <c r="L509" s="145" t="e">
        <f>+J509*K509</f>
        <v>#REF!</v>
      </c>
      <c r="M509" s="163" t="e">
        <f t="shared" si="70"/>
        <v>#REF!</v>
      </c>
      <c r="N509" s="164" t="e">
        <f t="shared" ref="N509:N517" si="71">+M509/I509</f>
        <v>#REF!</v>
      </c>
      <c r="O509" s="156" t="e">
        <f>L509/L517</f>
        <v>#REF!</v>
      </c>
      <c r="P509" s="95"/>
    </row>
    <row r="510" spans="2:17" ht="17.25" customHeight="1" thickBot="1" x14ac:dyDescent="0.25">
      <c r="B510" s="102"/>
      <c r="C510" s="25"/>
      <c r="D510" s="25"/>
      <c r="E510" s="25"/>
      <c r="F510" s="279" t="s">
        <v>116</v>
      </c>
      <c r="G510" s="417"/>
      <c r="H510" s="418"/>
      <c r="I510" s="280" t="e">
        <f>SUM(I504:I509)</f>
        <v>#REF!</v>
      </c>
      <c r="J510" s="417"/>
      <c r="K510" s="418"/>
      <c r="L510" s="280" t="e">
        <f>SUM(L504:L509)</f>
        <v>#REF!</v>
      </c>
      <c r="M510" s="283" t="e">
        <f>SUM(M504:M509)</f>
        <v>#REF!</v>
      </c>
      <c r="N510" s="284" t="e">
        <f t="shared" si="71"/>
        <v>#REF!</v>
      </c>
      <c r="O510" s="285" t="e">
        <f>SUM(O504:O509)</f>
        <v>#REF!</v>
      </c>
      <c r="P510" s="95"/>
    </row>
    <row r="511" spans="2:17" ht="17.25" customHeight="1" thickBot="1" x14ac:dyDescent="0.25">
      <c r="B511" s="102"/>
      <c r="C511" s="25"/>
      <c r="D511" s="25"/>
      <c r="E511" s="25"/>
      <c r="F511" s="129" t="s">
        <v>122</v>
      </c>
      <c r="G511" s="233">
        <f>C506</f>
        <v>5400</v>
      </c>
      <c r="H511" s="234" t="e">
        <f>#REF!</f>
        <v>#REF!</v>
      </c>
      <c r="I511" s="141" t="e">
        <f>+G511*H511</f>
        <v>#REF!</v>
      </c>
      <c r="J511" s="233">
        <f>C506</f>
        <v>5400</v>
      </c>
      <c r="K511" s="234" t="e">
        <f>#REF!</f>
        <v>#REF!</v>
      </c>
      <c r="L511" s="141" t="e">
        <f>+J511*K511</f>
        <v>#REF!</v>
      </c>
      <c r="M511" s="235" t="e">
        <f t="shared" ref="M511:M517" si="72">+L511-I511</f>
        <v>#REF!</v>
      </c>
      <c r="N511" s="153" t="e">
        <f t="shared" si="71"/>
        <v>#REF!</v>
      </c>
      <c r="O511" s="156" t="e">
        <f>L511/L517</f>
        <v>#REF!</v>
      </c>
      <c r="P511" s="95"/>
    </row>
    <row r="512" spans="2:17" ht="17.25" customHeight="1" thickBot="1" x14ac:dyDescent="0.25">
      <c r="B512" s="102"/>
      <c r="C512" s="25"/>
      <c r="D512" s="25"/>
      <c r="E512" s="25"/>
      <c r="F512" s="279" t="s">
        <v>118</v>
      </c>
      <c r="G512" s="417"/>
      <c r="H512" s="418"/>
      <c r="I512" s="280" t="e">
        <f>I510+I511</f>
        <v>#REF!</v>
      </c>
      <c r="J512" s="417"/>
      <c r="K512" s="418"/>
      <c r="L512" s="280" t="e">
        <f>L510+L511</f>
        <v>#REF!</v>
      </c>
      <c r="M512" s="283" t="e">
        <f t="shared" si="72"/>
        <v>#REF!</v>
      </c>
      <c r="N512" s="284" t="e">
        <f t="shared" si="71"/>
        <v>#REF!</v>
      </c>
      <c r="O512" s="286" t="e">
        <f>L512/L517</f>
        <v>#REF!</v>
      </c>
      <c r="P512" s="95"/>
    </row>
    <row r="513" spans="2:17" ht="17.25" customHeight="1" x14ac:dyDescent="0.2">
      <c r="B513" s="102"/>
      <c r="C513" s="25"/>
      <c r="D513" s="25"/>
      <c r="E513" s="25"/>
      <c r="F513" s="127" t="s">
        <v>47</v>
      </c>
      <c r="G513" s="133" t="e">
        <f>C505*#REF!</f>
        <v>#REF!</v>
      </c>
      <c r="H513" s="134" t="e">
        <f>#REF!+#REF!</f>
        <v>#REF!</v>
      </c>
      <c r="I513" s="135" t="e">
        <f>+G513*H513</f>
        <v>#REF!</v>
      </c>
      <c r="J513" s="133" t="e">
        <f>C505*#REF!</f>
        <v>#REF!</v>
      </c>
      <c r="K513" s="134" t="e">
        <f>#REF!+#REF!</f>
        <v>#REF!</v>
      </c>
      <c r="L513" s="162" t="e">
        <f>+J513*K513</f>
        <v>#REF!</v>
      </c>
      <c r="M513" s="163" t="e">
        <f t="shared" si="72"/>
        <v>#REF!</v>
      </c>
      <c r="N513" s="164" t="e">
        <f t="shared" si="71"/>
        <v>#REF!</v>
      </c>
      <c r="O513" s="156" t="e">
        <f>L513/L517</f>
        <v>#REF!</v>
      </c>
      <c r="P513" s="95"/>
    </row>
    <row r="514" spans="2:17" ht="17.25" customHeight="1" thickBot="1" x14ac:dyDescent="0.25">
      <c r="B514" s="102"/>
      <c r="C514" s="25"/>
      <c r="D514" s="25"/>
      <c r="E514" s="25"/>
      <c r="F514" s="127" t="s">
        <v>48</v>
      </c>
      <c r="G514" s="133" t="e">
        <f>G513</f>
        <v>#REF!</v>
      </c>
      <c r="H514" s="134" t="e">
        <f>+#REF!</f>
        <v>#REF!</v>
      </c>
      <c r="I514" s="135" t="e">
        <f>+G514*H514</f>
        <v>#REF!</v>
      </c>
      <c r="J514" s="133" t="e">
        <f>J513</f>
        <v>#REF!</v>
      </c>
      <c r="K514" s="134" t="e">
        <f>#REF!</f>
        <v>#REF!</v>
      </c>
      <c r="L514" s="162" t="e">
        <f>+J514*K514</f>
        <v>#REF!</v>
      </c>
      <c r="M514" s="163" t="e">
        <f t="shared" si="72"/>
        <v>#REF!</v>
      </c>
      <c r="N514" s="164" t="e">
        <f t="shared" si="71"/>
        <v>#REF!</v>
      </c>
      <c r="O514" s="156" t="e">
        <f>L514/L517</f>
        <v>#REF!</v>
      </c>
      <c r="P514" s="95"/>
    </row>
    <row r="515" spans="2:17" ht="17.25" customHeight="1" thickBot="1" x14ac:dyDescent="0.25">
      <c r="B515" s="102"/>
      <c r="C515" s="25"/>
      <c r="D515" s="25"/>
      <c r="E515" s="25"/>
      <c r="F515" s="279" t="s">
        <v>97</v>
      </c>
      <c r="G515" s="417"/>
      <c r="H515" s="418"/>
      <c r="I515" s="280" t="e">
        <f>SUM(I512:I514)</f>
        <v>#REF!</v>
      </c>
      <c r="J515" s="417"/>
      <c r="K515" s="418"/>
      <c r="L515" s="280" t="e">
        <f>SUM(L512:L514)</f>
        <v>#REF!</v>
      </c>
      <c r="M515" s="280" t="e">
        <f t="shared" si="72"/>
        <v>#REF!</v>
      </c>
      <c r="N515" s="284" t="e">
        <f t="shared" si="71"/>
        <v>#REF!</v>
      </c>
      <c r="O515" s="286" t="e">
        <f>L515/L517</f>
        <v>#REF!</v>
      </c>
      <c r="P515" s="95"/>
    </row>
    <row r="516" spans="2:17" ht="17.25" customHeight="1" thickBot="1" x14ac:dyDescent="0.25">
      <c r="B516" s="102"/>
      <c r="C516" s="25"/>
      <c r="D516" s="25"/>
      <c r="E516" s="25"/>
      <c r="F516" s="188" t="s">
        <v>170</v>
      </c>
      <c r="G516" s="189"/>
      <c r="H516" s="193">
        <v>0.13</v>
      </c>
      <c r="I516" s="190" t="e">
        <f>I515*H516</f>
        <v>#REF!</v>
      </c>
      <c r="J516" s="189"/>
      <c r="K516" s="193">
        <v>0.13</v>
      </c>
      <c r="L516" s="191" t="e">
        <f>L515*K516</f>
        <v>#REF!</v>
      </c>
      <c r="M516" s="160" t="e">
        <f t="shared" si="72"/>
        <v>#REF!</v>
      </c>
      <c r="N516" s="161" t="e">
        <f t="shared" si="71"/>
        <v>#REF!</v>
      </c>
      <c r="O516" s="166" t="e">
        <f>L516/L517</f>
        <v>#REF!</v>
      </c>
      <c r="P516" s="95"/>
    </row>
    <row r="517" spans="2:17" ht="17.25" customHeight="1" thickBot="1" x14ac:dyDescent="0.25">
      <c r="B517" s="102"/>
      <c r="C517" s="25"/>
      <c r="D517" s="25"/>
      <c r="E517" s="29"/>
      <c r="F517" s="293" t="s">
        <v>49</v>
      </c>
      <c r="G517" s="417"/>
      <c r="H517" s="418"/>
      <c r="I517" s="280" t="e">
        <f>I515+I516</f>
        <v>#REF!</v>
      </c>
      <c r="J517" s="417"/>
      <c r="K517" s="418"/>
      <c r="L517" s="280" t="e">
        <f>L515+L516</f>
        <v>#REF!</v>
      </c>
      <c r="M517" s="280" t="e">
        <f t="shared" si="72"/>
        <v>#REF!</v>
      </c>
      <c r="N517" s="284" t="e">
        <f t="shared" si="71"/>
        <v>#REF!</v>
      </c>
      <c r="O517" s="285" t="e">
        <f>O515+O516</f>
        <v>#REF!</v>
      </c>
      <c r="P517" s="95"/>
    </row>
    <row r="518" spans="2:17" ht="17.25" customHeight="1" thickBot="1" x14ac:dyDescent="0.25">
      <c r="B518" s="96"/>
      <c r="C518" s="108"/>
      <c r="D518" s="108"/>
      <c r="E518" s="108"/>
      <c r="F518" s="109"/>
      <c r="G518" s="110"/>
      <c r="H518" s="111"/>
      <c r="I518" s="112"/>
      <c r="J518" s="110"/>
      <c r="K518" s="113"/>
      <c r="L518" s="112"/>
      <c r="M518" s="114"/>
      <c r="N518" s="115"/>
      <c r="O518" s="116"/>
      <c r="P518" s="97"/>
    </row>
    <row r="519" spans="2:17" ht="17.25" customHeight="1" x14ac:dyDescent="0.35">
      <c r="B519" s="104"/>
      <c r="C519" s="420"/>
      <c r="D519" s="420"/>
      <c r="E519" s="420"/>
      <c r="F519" s="420"/>
      <c r="G519" s="420"/>
      <c r="H519" s="420"/>
      <c r="I519" s="420"/>
      <c r="J519" s="420"/>
      <c r="K519" s="420"/>
      <c r="L519" s="420"/>
      <c r="M519" s="420"/>
      <c r="N519" s="420"/>
      <c r="O519" s="420"/>
      <c r="P519" s="94"/>
    </row>
    <row r="520" spans="2:17" ht="23.25" x14ac:dyDescent="0.35">
      <c r="B520" s="102"/>
      <c r="C520" s="423" t="s">
        <v>55</v>
      </c>
      <c r="D520" s="423"/>
      <c r="E520" s="423"/>
      <c r="F520" s="423"/>
      <c r="G520" s="423"/>
      <c r="H520" s="423"/>
      <c r="I520" s="423"/>
      <c r="J520" s="423"/>
      <c r="K520" s="423"/>
      <c r="L520" s="423"/>
      <c r="M520" s="423"/>
      <c r="N520" s="423"/>
      <c r="O520" s="423"/>
      <c r="P520" s="95"/>
    </row>
    <row r="521" spans="2:17" ht="17.25" customHeight="1" thickBot="1" x14ac:dyDescent="0.4">
      <c r="B521" s="102"/>
      <c r="C521" s="424"/>
      <c r="D521" s="424"/>
      <c r="E521" s="424"/>
      <c r="F521" s="424"/>
      <c r="G521" s="424"/>
      <c r="H521" s="424"/>
      <c r="I521" s="424"/>
      <c r="J521" s="424"/>
      <c r="K521" s="424"/>
      <c r="L521" s="424"/>
      <c r="M521" s="424"/>
      <c r="N521" s="424"/>
      <c r="O521" s="424"/>
      <c r="P521" s="95"/>
      <c r="Q521" s="24"/>
    </row>
    <row r="522" spans="2:17" ht="17.25" customHeight="1" thickBot="1" x14ac:dyDescent="0.25">
      <c r="B522" s="102"/>
      <c r="C522" s="103"/>
      <c r="D522" s="103"/>
      <c r="E522" s="25"/>
      <c r="F522" s="26"/>
      <c r="G522" s="425" t="str">
        <f>$G$10</f>
        <v>2010 BILL</v>
      </c>
      <c r="H522" s="426"/>
      <c r="I522" s="427"/>
      <c r="J522" s="425" t="str">
        <f>$J$10</f>
        <v>2011 BILL</v>
      </c>
      <c r="K522" s="426"/>
      <c r="L522" s="427"/>
      <c r="M522" s="425" t="s">
        <v>43</v>
      </c>
      <c r="N522" s="426"/>
      <c r="O522" s="427"/>
      <c r="P522" s="95"/>
      <c r="Q522" s="24"/>
    </row>
    <row r="523" spans="2:17" ht="26.25" thickBot="1" x14ac:dyDescent="0.25">
      <c r="B523" s="102"/>
      <c r="C523" s="25"/>
      <c r="D523" s="25"/>
      <c r="E523" s="27"/>
      <c r="F523" s="28"/>
      <c r="G523" s="245" t="s">
        <v>37</v>
      </c>
      <c r="H523" s="246" t="s">
        <v>38</v>
      </c>
      <c r="I523" s="247" t="s">
        <v>39</v>
      </c>
      <c r="J523" s="248" t="s">
        <v>37</v>
      </c>
      <c r="K523" s="246" t="s">
        <v>38</v>
      </c>
      <c r="L523" s="247" t="s">
        <v>39</v>
      </c>
      <c r="M523" s="122" t="s">
        <v>44</v>
      </c>
      <c r="N523" s="123" t="s">
        <v>45</v>
      </c>
      <c r="O523" s="124" t="s">
        <v>46</v>
      </c>
      <c r="P523" s="95"/>
      <c r="Q523" s="24"/>
    </row>
    <row r="524" spans="2:17" ht="17.25" customHeight="1" thickBot="1" x14ac:dyDescent="0.25">
      <c r="B524" s="102"/>
      <c r="C524" s="421" t="s">
        <v>40</v>
      </c>
      <c r="D524" s="422"/>
      <c r="E524" s="25"/>
      <c r="F524" s="251" t="s">
        <v>41</v>
      </c>
      <c r="G524" s="249"/>
      <c r="H524" s="243"/>
      <c r="I524" s="135">
        <f>+'2012 Existing Rates'!$C$10</f>
        <v>0</v>
      </c>
      <c r="J524" s="133"/>
      <c r="K524" s="244"/>
      <c r="L524" s="162" t="e">
        <f>'Rate Schedule '!#REF!</f>
        <v>#REF!</v>
      </c>
      <c r="M524" s="163" t="e">
        <f t="shared" ref="M524:M529" si="73">+L524-I524</f>
        <v>#REF!</v>
      </c>
      <c r="N524" s="164" t="e">
        <f t="shared" ref="N524:N537" si="74">+M524/I524</f>
        <v>#REF!</v>
      </c>
      <c r="O524" s="156" t="e">
        <f>L524/L537</f>
        <v>#REF!</v>
      </c>
      <c r="P524" s="95"/>
      <c r="Q524" s="24"/>
    </row>
    <row r="525" spans="2:17" ht="17.25" customHeight="1" thickBot="1" x14ac:dyDescent="0.25">
      <c r="B525" s="102"/>
      <c r="C525" s="100">
        <v>2400000</v>
      </c>
      <c r="D525" s="101" t="s">
        <v>12</v>
      </c>
      <c r="E525" s="25"/>
      <c r="F525" s="252" t="s">
        <v>52</v>
      </c>
      <c r="G525" s="250">
        <f>+C526</f>
        <v>5400</v>
      </c>
      <c r="H525" s="126" t="e">
        <f>'2012 Existing Rates'!#REF!</f>
        <v>#REF!</v>
      </c>
      <c r="I525" s="141" t="e">
        <f>+G525*H525</f>
        <v>#REF!</v>
      </c>
      <c r="J525" s="132">
        <f>G525</f>
        <v>5400</v>
      </c>
      <c r="K525" s="125" t="e">
        <f>'Rate Schedule '!#REF!</f>
        <v>#REF!</v>
      </c>
      <c r="L525" s="145" t="e">
        <f>+J525*K525</f>
        <v>#REF!</v>
      </c>
      <c r="M525" s="163" t="e">
        <f t="shared" si="73"/>
        <v>#REF!</v>
      </c>
      <c r="N525" s="164" t="e">
        <f t="shared" si="74"/>
        <v>#REF!</v>
      </c>
      <c r="O525" s="156" t="e">
        <f>L525/L537</f>
        <v>#REF!</v>
      </c>
      <c r="P525" s="95"/>
      <c r="Q525" s="24"/>
    </row>
    <row r="526" spans="2:17" ht="17.25" customHeight="1" thickBot="1" x14ac:dyDescent="0.25">
      <c r="B526" s="102"/>
      <c r="C526" s="100">
        <v>5400</v>
      </c>
      <c r="D526" s="101" t="s">
        <v>13</v>
      </c>
      <c r="E526" s="25"/>
      <c r="F526" s="252" t="s">
        <v>119</v>
      </c>
      <c r="G526" s="212">
        <f>G525</f>
        <v>5400</v>
      </c>
      <c r="H526" s="253" t="e">
        <f>'2012 Existing Rates'!#REF!</f>
        <v>#REF!</v>
      </c>
      <c r="I526" s="141" t="e">
        <f>+G526*H526</f>
        <v>#REF!</v>
      </c>
      <c r="J526" s="132">
        <f>+C526</f>
        <v>5400</v>
      </c>
      <c r="K526" s="125" t="e">
        <f>'Rate Schedule '!#REF!</f>
        <v>#REF!</v>
      </c>
      <c r="L526" s="145" t="e">
        <f>+J526*K526</f>
        <v>#REF!</v>
      </c>
      <c r="M526" s="163" t="e">
        <f t="shared" si="73"/>
        <v>#REF!</v>
      </c>
      <c r="N526" s="164" t="e">
        <f t="shared" si="74"/>
        <v>#REF!</v>
      </c>
      <c r="O526" s="156" t="e">
        <f>L526/L537</f>
        <v>#REF!</v>
      </c>
      <c r="P526" s="95"/>
    </row>
    <row r="527" spans="2:17" ht="17.25" customHeight="1" x14ac:dyDescent="0.2">
      <c r="B527" s="102"/>
      <c r="C527" s="231"/>
      <c r="D527" s="242"/>
      <c r="E527" s="25"/>
      <c r="F527" s="129" t="s">
        <v>79</v>
      </c>
      <c r="G527" s="151"/>
      <c r="H527" s="150"/>
      <c r="I527" s="141" t="e">
        <f>'2012 Existing Rates'!#REF!</f>
        <v>#REF!</v>
      </c>
      <c r="J527" s="151"/>
      <c r="K527" s="150"/>
      <c r="L527" s="141" t="e">
        <f>'Rate Schedule '!#REF!</f>
        <v>#REF!</v>
      </c>
      <c r="M527" s="163" t="e">
        <f t="shared" si="73"/>
        <v>#REF!</v>
      </c>
      <c r="N527" s="164" t="e">
        <f t="shared" si="74"/>
        <v>#REF!</v>
      </c>
      <c r="O527" s="156" t="e">
        <f>L527/L537</f>
        <v>#REF!</v>
      </c>
      <c r="P527" s="95"/>
    </row>
    <row r="528" spans="2:17" ht="17.25" customHeight="1" x14ac:dyDescent="0.2">
      <c r="B528" s="102"/>
      <c r="C528" s="54"/>
      <c r="D528" s="55"/>
      <c r="E528" s="25"/>
      <c r="F528" s="129" t="s">
        <v>120</v>
      </c>
      <c r="G528" s="132">
        <f>G526</f>
        <v>5400</v>
      </c>
      <c r="H528" s="126"/>
      <c r="I528" s="141">
        <f>+G528*H528</f>
        <v>0</v>
      </c>
      <c r="J528" s="132">
        <f>G528</f>
        <v>5400</v>
      </c>
      <c r="K528" s="125" t="e">
        <f>'Rate Schedule '!#REF!</f>
        <v>#REF!</v>
      </c>
      <c r="L528" s="145" t="e">
        <f>+J528*K528</f>
        <v>#REF!</v>
      </c>
      <c r="M528" s="163" t="e">
        <f t="shared" si="73"/>
        <v>#REF!</v>
      </c>
      <c r="N528" s="164">
        <v>0</v>
      </c>
      <c r="O528" s="156" t="e">
        <f>L528/L537</f>
        <v>#REF!</v>
      </c>
      <c r="P528" s="95"/>
    </row>
    <row r="529" spans="2:17" ht="17.25" customHeight="1" thickBot="1" x14ac:dyDescent="0.25">
      <c r="B529" s="102"/>
      <c r="C529" s="25"/>
      <c r="D529" s="25"/>
      <c r="E529" s="25"/>
      <c r="F529" s="130" t="s">
        <v>121</v>
      </c>
      <c r="G529" s="132">
        <f>+C526</f>
        <v>5400</v>
      </c>
      <c r="H529" s="126" t="e">
        <f>'2012 Existing Rates'!#REF!</f>
        <v>#REF!</v>
      </c>
      <c r="I529" s="145" t="e">
        <f>+G529*H529</f>
        <v>#REF!</v>
      </c>
      <c r="J529" s="132">
        <f>+C526</f>
        <v>5400</v>
      </c>
      <c r="K529" s="125" t="e">
        <f>'Rate Schedule '!#REF!</f>
        <v>#REF!</v>
      </c>
      <c r="L529" s="145" t="e">
        <f>+J529*K529</f>
        <v>#REF!</v>
      </c>
      <c r="M529" s="163" t="e">
        <f t="shared" si="73"/>
        <v>#REF!</v>
      </c>
      <c r="N529" s="164" t="e">
        <f t="shared" si="74"/>
        <v>#REF!</v>
      </c>
      <c r="O529" s="156" t="e">
        <f>L529/L537</f>
        <v>#REF!</v>
      </c>
      <c r="P529" s="95"/>
    </row>
    <row r="530" spans="2:17" ht="17.25" customHeight="1" thickBot="1" x14ac:dyDescent="0.25">
      <c r="B530" s="102"/>
      <c r="C530" s="25"/>
      <c r="D530" s="25"/>
      <c r="E530" s="25"/>
      <c r="F530" s="279" t="s">
        <v>116</v>
      </c>
      <c r="G530" s="417"/>
      <c r="H530" s="418"/>
      <c r="I530" s="280" t="e">
        <f>SUM(I524:I529)</f>
        <v>#REF!</v>
      </c>
      <c r="J530" s="417"/>
      <c r="K530" s="418"/>
      <c r="L530" s="280" t="e">
        <f>SUM(L524:L529)</f>
        <v>#REF!</v>
      </c>
      <c r="M530" s="283" t="e">
        <f t="shared" ref="M530:M537" si="75">+L530-I530</f>
        <v>#REF!</v>
      </c>
      <c r="N530" s="284" t="e">
        <f t="shared" si="74"/>
        <v>#REF!</v>
      </c>
      <c r="O530" s="285" t="e">
        <f>SUM(O524:O529)</f>
        <v>#REF!</v>
      </c>
      <c r="P530" s="95"/>
    </row>
    <row r="531" spans="2:17" ht="17.25" customHeight="1" thickBot="1" x14ac:dyDescent="0.25">
      <c r="B531" s="102"/>
      <c r="C531" s="25"/>
      <c r="D531" s="25"/>
      <c r="E531" s="25"/>
      <c r="F531" s="129" t="s">
        <v>122</v>
      </c>
      <c r="G531" s="233">
        <f>C526</f>
        <v>5400</v>
      </c>
      <c r="H531" s="234" t="e">
        <f>#REF!</f>
        <v>#REF!</v>
      </c>
      <c r="I531" s="141" t="e">
        <f>+G531*H531</f>
        <v>#REF!</v>
      </c>
      <c r="J531" s="233">
        <f>C526</f>
        <v>5400</v>
      </c>
      <c r="K531" s="234" t="e">
        <f>#REF!</f>
        <v>#REF!</v>
      </c>
      <c r="L531" s="141" t="e">
        <f>+J531*K531</f>
        <v>#REF!</v>
      </c>
      <c r="M531" s="235" t="e">
        <f t="shared" si="75"/>
        <v>#REF!</v>
      </c>
      <c r="N531" s="153" t="e">
        <f t="shared" si="74"/>
        <v>#REF!</v>
      </c>
      <c r="O531" s="156" t="e">
        <f>L531/L537</f>
        <v>#REF!</v>
      </c>
      <c r="P531" s="95"/>
    </row>
    <row r="532" spans="2:17" ht="17.25" customHeight="1" thickBot="1" x14ac:dyDescent="0.25">
      <c r="B532" s="102"/>
      <c r="C532" s="25"/>
      <c r="D532" s="25"/>
      <c r="E532" s="25"/>
      <c r="F532" s="279" t="s">
        <v>118</v>
      </c>
      <c r="G532" s="417"/>
      <c r="H532" s="418"/>
      <c r="I532" s="280" t="e">
        <f>I530+I531</f>
        <v>#REF!</v>
      </c>
      <c r="J532" s="417"/>
      <c r="K532" s="418"/>
      <c r="L532" s="280" t="e">
        <f>L530+L531</f>
        <v>#REF!</v>
      </c>
      <c r="M532" s="283" t="e">
        <f t="shared" si="75"/>
        <v>#REF!</v>
      </c>
      <c r="N532" s="284" t="e">
        <f t="shared" si="74"/>
        <v>#REF!</v>
      </c>
      <c r="O532" s="286" t="e">
        <f>L532/L537</f>
        <v>#REF!</v>
      </c>
      <c r="P532" s="95"/>
    </row>
    <row r="533" spans="2:17" ht="17.25" customHeight="1" x14ac:dyDescent="0.2">
      <c r="B533" s="102"/>
      <c r="C533" s="25"/>
      <c r="D533" s="25"/>
      <c r="E533" s="25"/>
      <c r="F533" s="127" t="s">
        <v>47</v>
      </c>
      <c r="G533" s="133" t="e">
        <f>C525*#REF!</f>
        <v>#REF!</v>
      </c>
      <c r="H533" s="134" t="e">
        <f>#REF!+#REF!</f>
        <v>#REF!</v>
      </c>
      <c r="I533" s="135" t="e">
        <f>+G533*H533</f>
        <v>#REF!</v>
      </c>
      <c r="J533" s="133" t="e">
        <f>C525*#REF!</f>
        <v>#REF!</v>
      </c>
      <c r="K533" s="134" t="e">
        <f>#REF!+#REF!</f>
        <v>#REF!</v>
      </c>
      <c r="L533" s="162" t="e">
        <f>+J533*K533</f>
        <v>#REF!</v>
      </c>
      <c r="M533" s="163" t="e">
        <f t="shared" si="75"/>
        <v>#REF!</v>
      </c>
      <c r="N533" s="164" t="e">
        <f t="shared" si="74"/>
        <v>#REF!</v>
      </c>
      <c r="O533" s="156" t="e">
        <f>L533/L537</f>
        <v>#REF!</v>
      </c>
      <c r="P533" s="95"/>
    </row>
    <row r="534" spans="2:17" ht="17.25" customHeight="1" thickBot="1" x14ac:dyDescent="0.25">
      <c r="B534" s="102"/>
      <c r="C534" s="25"/>
      <c r="D534" s="25"/>
      <c r="E534" s="25"/>
      <c r="F534" s="127" t="s">
        <v>48</v>
      </c>
      <c r="G534" s="133" t="e">
        <f>G533</f>
        <v>#REF!</v>
      </c>
      <c r="H534" s="134" t="e">
        <f>#REF!</f>
        <v>#REF!</v>
      </c>
      <c r="I534" s="135" t="e">
        <f>+G534*H534</f>
        <v>#REF!</v>
      </c>
      <c r="J534" s="133" t="e">
        <f>J533</f>
        <v>#REF!</v>
      </c>
      <c r="K534" s="134" t="e">
        <f>#REF!</f>
        <v>#REF!</v>
      </c>
      <c r="L534" s="162" t="e">
        <f>+J534*K534</f>
        <v>#REF!</v>
      </c>
      <c r="M534" s="163" t="e">
        <f t="shared" si="75"/>
        <v>#REF!</v>
      </c>
      <c r="N534" s="164" t="e">
        <f t="shared" si="74"/>
        <v>#REF!</v>
      </c>
      <c r="O534" s="156" t="e">
        <f>L534/L537</f>
        <v>#REF!</v>
      </c>
      <c r="P534" s="95"/>
    </row>
    <row r="535" spans="2:17" ht="17.25" customHeight="1" thickBot="1" x14ac:dyDescent="0.25">
      <c r="B535" s="102"/>
      <c r="C535" s="25"/>
      <c r="D535" s="25"/>
      <c r="E535" s="25"/>
      <c r="F535" s="279" t="s">
        <v>97</v>
      </c>
      <c r="G535" s="417"/>
      <c r="H535" s="418"/>
      <c r="I535" s="280" t="e">
        <f>SUM(I532:I534)</f>
        <v>#REF!</v>
      </c>
      <c r="J535" s="417"/>
      <c r="K535" s="418"/>
      <c r="L535" s="280" t="e">
        <f>SUM(L532:L534)</f>
        <v>#REF!</v>
      </c>
      <c r="M535" s="280" t="e">
        <f t="shared" si="75"/>
        <v>#REF!</v>
      </c>
      <c r="N535" s="284" t="e">
        <f t="shared" si="74"/>
        <v>#REF!</v>
      </c>
      <c r="O535" s="286" t="e">
        <f>L535/L537</f>
        <v>#REF!</v>
      </c>
      <c r="P535" s="95"/>
    </row>
    <row r="536" spans="2:17" ht="17.25" customHeight="1" thickBot="1" x14ac:dyDescent="0.25">
      <c r="B536" s="102"/>
      <c r="C536" s="25"/>
      <c r="D536" s="25"/>
      <c r="E536" s="25"/>
      <c r="F536" s="188" t="s">
        <v>170</v>
      </c>
      <c r="G536" s="189"/>
      <c r="H536" s="193">
        <v>0.13</v>
      </c>
      <c r="I536" s="190" t="e">
        <f>I535*H536</f>
        <v>#REF!</v>
      </c>
      <c r="J536" s="189"/>
      <c r="K536" s="193">
        <v>0.13</v>
      </c>
      <c r="L536" s="191" t="e">
        <f>L535*K536</f>
        <v>#REF!</v>
      </c>
      <c r="M536" s="160" t="e">
        <f t="shared" si="75"/>
        <v>#REF!</v>
      </c>
      <c r="N536" s="161" t="e">
        <f t="shared" si="74"/>
        <v>#REF!</v>
      </c>
      <c r="O536" s="166" t="e">
        <f>L536/L537</f>
        <v>#REF!</v>
      </c>
      <c r="P536" s="95"/>
    </row>
    <row r="537" spans="2:17" ht="17.25" customHeight="1" thickBot="1" x14ac:dyDescent="0.25">
      <c r="B537" s="102"/>
      <c r="C537" s="25"/>
      <c r="D537" s="25"/>
      <c r="E537" s="29"/>
      <c r="F537" s="293" t="s">
        <v>49</v>
      </c>
      <c r="G537" s="417"/>
      <c r="H537" s="418"/>
      <c r="I537" s="280" t="e">
        <f>I535+I536</f>
        <v>#REF!</v>
      </c>
      <c r="J537" s="417"/>
      <c r="K537" s="418"/>
      <c r="L537" s="280" t="e">
        <f>L535+L536</f>
        <v>#REF!</v>
      </c>
      <c r="M537" s="280" t="e">
        <f t="shared" si="75"/>
        <v>#REF!</v>
      </c>
      <c r="N537" s="284" t="e">
        <f t="shared" si="74"/>
        <v>#REF!</v>
      </c>
      <c r="O537" s="285" t="e">
        <f>O535+O536</f>
        <v>#REF!</v>
      </c>
      <c r="P537" s="95"/>
    </row>
    <row r="538" spans="2:17" ht="17.25" customHeight="1" thickBot="1" x14ac:dyDescent="0.25">
      <c r="B538" s="96"/>
      <c r="C538" s="108"/>
      <c r="D538" s="108"/>
      <c r="E538" s="108"/>
      <c r="F538" s="109"/>
      <c r="G538" s="110"/>
      <c r="H538" s="111"/>
      <c r="I538" s="112"/>
      <c r="J538" s="110"/>
      <c r="K538" s="113"/>
      <c r="L538" s="112"/>
      <c r="M538" s="114"/>
      <c r="N538" s="115"/>
      <c r="O538" s="116"/>
      <c r="P538" s="97"/>
    </row>
    <row r="539" spans="2:17" ht="17.25" customHeight="1" thickBot="1" x14ac:dyDescent="0.25">
      <c r="B539" s="24"/>
      <c r="C539" s="25"/>
      <c r="D539" s="25"/>
      <c r="E539" s="25"/>
      <c r="F539" s="42"/>
      <c r="G539" s="43"/>
      <c r="H539" s="44"/>
      <c r="I539" s="45"/>
      <c r="J539" s="43"/>
      <c r="K539" s="46"/>
      <c r="L539" s="45"/>
      <c r="M539" s="47"/>
      <c r="N539" s="105"/>
      <c r="O539" s="106"/>
      <c r="P539" s="24"/>
    </row>
    <row r="540" spans="2:17" ht="17.25" customHeight="1" x14ac:dyDescent="0.35">
      <c r="B540" s="104"/>
      <c r="C540" s="420"/>
      <c r="D540" s="420"/>
      <c r="E540" s="420"/>
      <c r="F540" s="420"/>
      <c r="G540" s="420"/>
      <c r="H540" s="420"/>
      <c r="I540" s="420"/>
      <c r="J540" s="420"/>
      <c r="K540" s="420"/>
      <c r="L540" s="420"/>
      <c r="M540" s="420"/>
      <c r="N540" s="420"/>
      <c r="O540" s="420"/>
      <c r="P540" s="94"/>
    </row>
    <row r="541" spans="2:17" ht="23.25" x14ac:dyDescent="0.35">
      <c r="B541" s="102"/>
      <c r="C541" s="423" t="s">
        <v>55</v>
      </c>
      <c r="D541" s="423"/>
      <c r="E541" s="423"/>
      <c r="F541" s="423"/>
      <c r="G541" s="423"/>
      <c r="H541" s="423"/>
      <c r="I541" s="423"/>
      <c r="J541" s="423"/>
      <c r="K541" s="423"/>
      <c r="L541" s="423"/>
      <c r="M541" s="423"/>
      <c r="N541" s="423"/>
      <c r="O541" s="423"/>
      <c r="P541" s="95"/>
    </row>
    <row r="542" spans="2:17" ht="17.25" customHeight="1" thickBot="1" x14ac:dyDescent="0.4">
      <c r="B542" s="102"/>
      <c r="C542" s="424"/>
      <c r="D542" s="424"/>
      <c r="E542" s="424"/>
      <c r="F542" s="424"/>
      <c r="G542" s="424"/>
      <c r="H542" s="424"/>
      <c r="I542" s="424"/>
      <c r="J542" s="424"/>
      <c r="K542" s="424"/>
      <c r="L542" s="424"/>
      <c r="M542" s="424"/>
      <c r="N542" s="424"/>
      <c r="O542" s="424"/>
      <c r="P542" s="95"/>
      <c r="Q542" s="24"/>
    </row>
    <row r="543" spans="2:17" ht="17.25" customHeight="1" thickBot="1" x14ac:dyDescent="0.25">
      <c r="B543" s="102"/>
      <c r="C543" s="103"/>
      <c r="D543" s="103"/>
      <c r="E543" s="25"/>
      <c r="F543" s="26"/>
      <c r="G543" s="425" t="str">
        <f>$G$10</f>
        <v>2010 BILL</v>
      </c>
      <c r="H543" s="426"/>
      <c r="I543" s="427"/>
      <c r="J543" s="425" t="str">
        <f>$J$10</f>
        <v>2011 BILL</v>
      </c>
      <c r="K543" s="426"/>
      <c r="L543" s="427"/>
      <c r="M543" s="425" t="s">
        <v>43</v>
      </c>
      <c r="N543" s="426"/>
      <c r="O543" s="427"/>
      <c r="P543" s="95"/>
      <c r="Q543" s="24"/>
    </row>
    <row r="544" spans="2:17" ht="26.25" thickBot="1" x14ac:dyDescent="0.25">
      <c r="B544" s="102"/>
      <c r="C544" s="25"/>
      <c r="D544" s="25"/>
      <c r="E544" s="27"/>
      <c r="F544" s="28"/>
      <c r="G544" s="245" t="s">
        <v>37</v>
      </c>
      <c r="H544" s="246" t="s">
        <v>38</v>
      </c>
      <c r="I544" s="247" t="s">
        <v>39</v>
      </c>
      <c r="J544" s="248" t="s">
        <v>37</v>
      </c>
      <c r="K544" s="246" t="s">
        <v>38</v>
      </c>
      <c r="L544" s="247" t="s">
        <v>39</v>
      </c>
      <c r="M544" s="122" t="s">
        <v>44</v>
      </c>
      <c r="N544" s="123" t="s">
        <v>45</v>
      </c>
      <c r="O544" s="124" t="s">
        <v>46</v>
      </c>
      <c r="P544" s="95"/>
      <c r="Q544" s="24"/>
    </row>
    <row r="545" spans="2:17" ht="17.25" customHeight="1" thickBot="1" x14ac:dyDescent="0.25">
      <c r="B545" s="102"/>
      <c r="C545" s="421" t="s">
        <v>40</v>
      </c>
      <c r="D545" s="422"/>
      <c r="E545" s="25"/>
      <c r="F545" s="251" t="s">
        <v>41</v>
      </c>
      <c r="G545" s="249"/>
      <c r="H545" s="243"/>
      <c r="I545" s="135">
        <f>+'2012 Existing Rates'!$C$10</f>
        <v>0</v>
      </c>
      <c r="J545" s="133"/>
      <c r="K545" s="244"/>
      <c r="L545" s="162" t="e">
        <f>'Rate Schedule '!#REF!</f>
        <v>#REF!</v>
      </c>
      <c r="M545" s="163" t="e">
        <f t="shared" ref="M545:M550" si="76">+L545-I545</f>
        <v>#REF!</v>
      </c>
      <c r="N545" s="164" t="e">
        <f>+M545/I545</f>
        <v>#REF!</v>
      </c>
      <c r="O545" s="156" t="e">
        <f>L545/L558</f>
        <v>#REF!</v>
      </c>
      <c r="P545" s="95"/>
      <c r="Q545" s="24"/>
    </row>
    <row r="546" spans="2:17" ht="17.25" customHeight="1" thickBot="1" x14ac:dyDescent="0.25">
      <c r="B546" s="102"/>
      <c r="C546" s="100">
        <v>3100000</v>
      </c>
      <c r="D546" s="101" t="s">
        <v>12</v>
      </c>
      <c r="E546" s="25"/>
      <c r="F546" s="252" t="s">
        <v>52</v>
      </c>
      <c r="G546" s="250">
        <f>+C547</f>
        <v>7500</v>
      </c>
      <c r="H546" s="126" t="e">
        <f>'2012 Existing Rates'!#REF!</f>
        <v>#REF!</v>
      </c>
      <c r="I546" s="141" t="e">
        <f>+G546*H546</f>
        <v>#REF!</v>
      </c>
      <c r="J546" s="132">
        <f>G546</f>
        <v>7500</v>
      </c>
      <c r="K546" s="125" t="e">
        <f>'Rate Schedule '!#REF!</f>
        <v>#REF!</v>
      </c>
      <c r="L546" s="145" t="e">
        <f>+J546*K546</f>
        <v>#REF!</v>
      </c>
      <c r="M546" s="163" t="e">
        <f t="shared" si="76"/>
        <v>#REF!</v>
      </c>
      <c r="N546" s="164" t="e">
        <f>+M546/I546</f>
        <v>#REF!</v>
      </c>
      <c r="O546" s="156" t="e">
        <f>L546/L558</f>
        <v>#REF!</v>
      </c>
      <c r="P546" s="95"/>
      <c r="Q546" s="24"/>
    </row>
    <row r="547" spans="2:17" ht="17.25" customHeight="1" thickBot="1" x14ac:dyDescent="0.25">
      <c r="B547" s="102"/>
      <c r="C547" s="100">
        <v>7500</v>
      </c>
      <c r="D547" s="101" t="s">
        <v>13</v>
      </c>
      <c r="E547" s="25"/>
      <c r="F547" s="252" t="s">
        <v>119</v>
      </c>
      <c r="G547" s="212">
        <f>G546</f>
        <v>7500</v>
      </c>
      <c r="H547" s="253" t="e">
        <f>'2012 Existing Rates'!#REF!</f>
        <v>#REF!</v>
      </c>
      <c r="I547" s="141" t="e">
        <f>+G547*H547</f>
        <v>#REF!</v>
      </c>
      <c r="J547" s="132">
        <f>+C547</f>
        <v>7500</v>
      </c>
      <c r="K547" s="125" t="e">
        <f>'Rate Schedule '!#REF!</f>
        <v>#REF!</v>
      </c>
      <c r="L547" s="145" t="e">
        <f>+J547*K547</f>
        <v>#REF!</v>
      </c>
      <c r="M547" s="163" t="e">
        <f t="shared" si="76"/>
        <v>#REF!</v>
      </c>
      <c r="N547" s="164" t="e">
        <f>+M547/I547</f>
        <v>#REF!</v>
      </c>
      <c r="O547" s="156" t="e">
        <f>L547/L558</f>
        <v>#REF!</v>
      </c>
      <c r="P547" s="95"/>
    </row>
    <row r="548" spans="2:17" ht="17.25" customHeight="1" x14ac:dyDescent="0.2">
      <c r="B548" s="102"/>
      <c r="C548" s="231"/>
      <c r="D548" s="242"/>
      <c r="E548" s="25"/>
      <c r="F548" s="129" t="s">
        <v>79</v>
      </c>
      <c r="G548" s="151"/>
      <c r="H548" s="150"/>
      <c r="I548" s="141" t="e">
        <f>'2012 Existing Rates'!#REF!</f>
        <v>#REF!</v>
      </c>
      <c r="J548" s="151"/>
      <c r="K548" s="150"/>
      <c r="L548" s="141" t="e">
        <f>'Rate Schedule '!#REF!</f>
        <v>#REF!</v>
      </c>
      <c r="M548" s="163" t="e">
        <f t="shared" si="76"/>
        <v>#REF!</v>
      </c>
      <c r="N548" s="164" t="e">
        <f>+M548/I548</f>
        <v>#REF!</v>
      </c>
      <c r="O548" s="156" t="e">
        <f>L548/L558</f>
        <v>#REF!</v>
      </c>
      <c r="P548" s="95"/>
    </row>
    <row r="549" spans="2:17" ht="17.25" customHeight="1" x14ac:dyDescent="0.2">
      <c r="B549" s="102"/>
      <c r="C549" s="54"/>
      <c r="D549" s="55"/>
      <c r="E549" s="25"/>
      <c r="F549" s="129" t="s">
        <v>120</v>
      </c>
      <c r="G549" s="132">
        <f>G547</f>
        <v>7500</v>
      </c>
      <c r="H549" s="126"/>
      <c r="I549" s="141">
        <f>+G549*H549</f>
        <v>0</v>
      </c>
      <c r="J549" s="132">
        <f>G549</f>
        <v>7500</v>
      </c>
      <c r="K549" s="125" t="e">
        <f>'Rate Schedule '!#REF!</f>
        <v>#REF!</v>
      </c>
      <c r="L549" s="145" t="e">
        <f>+J549*K549</f>
        <v>#REF!</v>
      </c>
      <c r="M549" s="163" t="e">
        <f t="shared" si="76"/>
        <v>#REF!</v>
      </c>
      <c r="N549" s="164">
        <v>0</v>
      </c>
      <c r="O549" s="156" t="e">
        <f>L549/L558</f>
        <v>#REF!</v>
      </c>
      <c r="P549" s="95"/>
    </row>
    <row r="550" spans="2:17" ht="17.25" customHeight="1" thickBot="1" x14ac:dyDescent="0.25">
      <c r="B550" s="102"/>
      <c r="C550" s="25"/>
      <c r="D550" s="25"/>
      <c r="E550" s="25"/>
      <c r="F550" s="130" t="s">
        <v>121</v>
      </c>
      <c r="G550" s="132">
        <f>+C547</f>
        <v>7500</v>
      </c>
      <c r="H550" s="126" t="e">
        <f>'2012 Existing Rates'!#REF!</f>
        <v>#REF!</v>
      </c>
      <c r="I550" s="145" t="e">
        <f>+G550*H550</f>
        <v>#REF!</v>
      </c>
      <c r="J550" s="132">
        <f>+C547</f>
        <v>7500</v>
      </c>
      <c r="K550" s="125" t="e">
        <f>'Rate Schedule '!#REF!</f>
        <v>#REF!</v>
      </c>
      <c r="L550" s="145" t="e">
        <f>+J550*K550</f>
        <v>#REF!</v>
      </c>
      <c r="M550" s="163" t="e">
        <f t="shared" si="76"/>
        <v>#REF!</v>
      </c>
      <c r="N550" s="164" t="e">
        <f t="shared" ref="N550:N558" si="77">+M550/I550</f>
        <v>#REF!</v>
      </c>
      <c r="O550" s="156" t="e">
        <f>L550/L558</f>
        <v>#REF!</v>
      </c>
      <c r="P550" s="95"/>
    </row>
    <row r="551" spans="2:17" ht="17.25" customHeight="1" thickBot="1" x14ac:dyDescent="0.25">
      <c r="B551" s="102"/>
      <c r="C551" s="25"/>
      <c r="D551" s="25"/>
      <c r="E551" s="25"/>
      <c r="F551" s="279" t="s">
        <v>116</v>
      </c>
      <c r="G551" s="417"/>
      <c r="H551" s="418"/>
      <c r="I551" s="280" t="e">
        <f>SUM(I545:I550)</f>
        <v>#REF!</v>
      </c>
      <c r="J551" s="417"/>
      <c r="K551" s="418"/>
      <c r="L551" s="280" t="e">
        <f>SUM(L545:L550)</f>
        <v>#REF!</v>
      </c>
      <c r="M551" s="283" t="e">
        <f t="shared" ref="M551:M558" si="78">+L551-I551</f>
        <v>#REF!</v>
      </c>
      <c r="N551" s="284" t="e">
        <f t="shared" si="77"/>
        <v>#REF!</v>
      </c>
      <c r="O551" s="285" t="e">
        <f>SUM(O545:O550)</f>
        <v>#REF!</v>
      </c>
      <c r="P551" s="95"/>
    </row>
    <row r="552" spans="2:17" ht="17.25" customHeight="1" thickBot="1" x14ac:dyDescent="0.25">
      <c r="B552" s="102"/>
      <c r="C552" s="25"/>
      <c r="D552" s="25"/>
      <c r="E552" s="25"/>
      <c r="F552" s="129" t="s">
        <v>122</v>
      </c>
      <c r="G552" s="233">
        <f>C547</f>
        <v>7500</v>
      </c>
      <c r="H552" s="234" t="e">
        <f>#REF!</f>
        <v>#REF!</v>
      </c>
      <c r="I552" s="141" t="e">
        <f>+G552*H552</f>
        <v>#REF!</v>
      </c>
      <c r="J552" s="233">
        <f>C547</f>
        <v>7500</v>
      </c>
      <c r="K552" s="234" t="e">
        <f>#REF!</f>
        <v>#REF!</v>
      </c>
      <c r="L552" s="141" t="e">
        <f>+J552*K552</f>
        <v>#REF!</v>
      </c>
      <c r="M552" s="235" t="e">
        <f t="shared" si="78"/>
        <v>#REF!</v>
      </c>
      <c r="N552" s="153" t="e">
        <f t="shared" si="77"/>
        <v>#REF!</v>
      </c>
      <c r="O552" s="156" t="e">
        <f>L552/L558</f>
        <v>#REF!</v>
      </c>
      <c r="P552" s="95"/>
    </row>
    <row r="553" spans="2:17" ht="17.25" customHeight="1" thickBot="1" x14ac:dyDescent="0.25">
      <c r="B553" s="102"/>
      <c r="C553" s="25"/>
      <c r="D553" s="25"/>
      <c r="E553" s="25"/>
      <c r="F553" s="279" t="s">
        <v>118</v>
      </c>
      <c r="G553" s="417"/>
      <c r="H553" s="418"/>
      <c r="I553" s="280" t="e">
        <f>I551+I552</f>
        <v>#REF!</v>
      </c>
      <c r="J553" s="417"/>
      <c r="K553" s="418"/>
      <c r="L553" s="280" t="e">
        <f>L551+L552</f>
        <v>#REF!</v>
      </c>
      <c r="M553" s="283" t="e">
        <f t="shared" si="78"/>
        <v>#REF!</v>
      </c>
      <c r="N553" s="284" t="e">
        <f t="shared" si="77"/>
        <v>#REF!</v>
      </c>
      <c r="O553" s="286" t="e">
        <f>L553/L558</f>
        <v>#REF!</v>
      </c>
      <c r="P553" s="95"/>
    </row>
    <row r="554" spans="2:17" ht="17.25" customHeight="1" x14ac:dyDescent="0.2">
      <c r="B554" s="102"/>
      <c r="C554" s="25"/>
      <c r="D554" s="25"/>
      <c r="E554" s="25"/>
      <c r="F554" s="127" t="s">
        <v>47</v>
      </c>
      <c r="G554" s="133" t="e">
        <f>C546*#REF!</f>
        <v>#REF!</v>
      </c>
      <c r="H554" s="134" t="e">
        <f>#REF!+#REF!</f>
        <v>#REF!</v>
      </c>
      <c r="I554" s="135" t="e">
        <f>+G554*H554</f>
        <v>#REF!</v>
      </c>
      <c r="J554" s="133" t="e">
        <f>C546*#REF!</f>
        <v>#REF!</v>
      </c>
      <c r="K554" s="134" t="e">
        <f>#REF!+#REF!</f>
        <v>#REF!</v>
      </c>
      <c r="L554" s="162" t="e">
        <f>+J554*K554</f>
        <v>#REF!</v>
      </c>
      <c r="M554" s="163" t="e">
        <f t="shared" si="78"/>
        <v>#REF!</v>
      </c>
      <c r="N554" s="164" t="e">
        <f t="shared" si="77"/>
        <v>#REF!</v>
      </c>
      <c r="O554" s="156" t="e">
        <f>L554/L558</f>
        <v>#REF!</v>
      </c>
      <c r="P554" s="95"/>
    </row>
    <row r="555" spans="2:17" ht="17.25" customHeight="1" thickBot="1" x14ac:dyDescent="0.25">
      <c r="B555" s="102"/>
      <c r="C555" s="25"/>
      <c r="D555" s="25"/>
      <c r="E555" s="25"/>
      <c r="F555" s="127" t="s">
        <v>48</v>
      </c>
      <c r="G555" s="133" t="e">
        <f>G554</f>
        <v>#REF!</v>
      </c>
      <c r="H555" s="134" t="e">
        <f>#REF!</f>
        <v>#REF!</v>
      </c>
      <c r="I555" s="135" t="e">
        <f>+G555*H555</f>
        <v>#REF!</v>
      </c>
      <c r="J555" s="133" t="e">
        <f>J554</f>
        <v>#REF!</v>
      </c>
      <c r="K555" s="134" t="e">
        <f>#REF!</f>
        <v>#REF!</v>
      </c>
      <c r="L555" s="162" t="e">
        <f>+J555*K555</f>
        <v>#REF!</v>
      </c>
      <c r="M555" s="163" t="e">
        <f t="shared" si="78"/>
        <v>#REF!</v>
      </c>
      <c r="N555" s="164" t="e">
        <f t="shared" si="77"/>
        <v>#REF!</v>
      </c>
      <c r="O555" s="156" t="e">
        <f>L555/L558</f>
        <v>#REF!</v>
      </c>
      <c r="P555" s="95"/>
    </row>
    <row r="556" spans="2:17" ht="17.25" customHeight="1" thickBot="1" x14ac:dyDescent="0.25">
      <c r="B556" s="102"/>
      <c r="C556" s="25"/>
      <c r="D556" s="25"/>
      <c r="E556" s="25"/>
      <c r="F556" s="279" t="s">
        <v>97</v>
      </c>
      <c r="G556" s="417"/>
      <c r="H556" s="418"/>
      <c r="I556" s="280" t="e">
        <f>SUM(I553:I555)</f>
        <v>#REF!</v>
      </c>
      <c r="J556" s="417"/>
      <c r="K556" s="418"/>
      <c r="L556" s="280" t="e">
        <f>SUM(L553:L555)</f>
        <v>#REF!</v>
      </c>
      <c r="M556" s="280" t="e">
        <f t="shared" si="78"/>
        <v>#REF!</v>
      </c>
      <c r="N556" s="284" t="e">
        <f t="shared" si="77"/>
        <v>#REF!</v>
      </c>
      <c r="O556" s="286" t="e">
        <f>L556/L558</f>
        <v>#REF!</v>
      </c>
      <c r="P556" s="95"/>
    </row>
    <row r="557" spans="2:17" ht="17.25" customHeight="1" thickBot="1" x14ac:dyDescent="0.25">
      <c r="B557" s="102"/>
      <c r="C557" s="25"/>
      <c r="D557" s="25"/>
      <c r="E557" s="25"/>
      <c r="F557" s="188" t="s">
        <v>170</v>
      </c>
      <c r="G557" s="189"/>
      <c r="H557" s="193">
        <v>0.13</v>
      </c>
      <c r="I557" s="190" t="e">
        <f>I556*H557</f>
        <v>#REF!</v>
      </c>
      <c r="J557" s="189"/>
      <c r="K557" s="193">
        <v>0.13</v>
      </c>
      <c r="L557" s="191" t="e">
        <f>L556*K557</f>
        <v>#REF!</v>
      </c>
      <c r="M557" s="160" t="e">
        <f t="shared" si="78"/>
        <v>#REF!</v>
      </c>
      <c r="N557" s="161" t="e">
        <f t="shared" si="77"/>
        <v>#REF!</v>
      </c>
      <c r="O557" s="166" t="e">
        <f>L557/L558</f>
        <v>#REF!</v>
      </c>
      <c r="P557" s="95"/>
    </row>
    <row r="558" spans="2:17" ht="17.25" customHeight="1" thickBot="1" x14ac:dyDescent="0.25">
      <c r="B558" s="102"/>
      <c r="C558" s="25"/>
      <c r="D558" s="25"/>
      <c r="E558" s="29"/>
      <c r="F558" s="293" t="s">
        <v>49</v>
      </c>
      <c r="G558" s="417"/>
      <c r="H558" s="418"/>
      <c r="I558" s="280" t="e">
        <f>I556+I557</f>
        <v>#REF!</v>
      </c>
      <c r="J558" s="417"/>
      <c r="K558" s="418"/>
      <c r="L558" s="280" t="e">
        <f>L556+L557</f>
        <v>#REF!</v>
      </c>
      <c r="M558" s="280" t="e">
        <f t="shared" si="78"/>
        <v>#REF!</v>
      </c>
      <c r="N558" s="284" t="e">
        <f t="shared" si="77"/>
        <v>#REF!</v>
      </c>
      <c r="O558" s="285" t="e">
        <f>O556+O557</f>
        <v>#REF!</v>
      </c>
      <c r="P558" s="95"/>
    </row>
    <row r="559" spans="2:17" ht="17.25" customHeight="1" thickBot="1" x14ac:dyDescent="0.25">
      <c r="B559" s="96"/>
      <c r="C559" s="108"/>
      <c r="D559" s="108"/>
      <c r="E559" s="108"/>
      <c r="F559" s="109"/>
      <c r="G559" s="110"/>
      <c r="H559" s="111"/>
      <c r="I559" s="112"/>
      <c r="J559" s="110"/>
      <c r="K559" s="113"/>
      <c r="L559" s="112"/>
      <c r="M559" s="114"/>
      <c r="N559" s="115"/>
      <c r="O559" s="116"/>
      <c r="P559" s="97"/>
    </row>
    <row r="560" spans="2:17" ht="17.25" customHeight="1" thickBot="1" x14ac:dyDescent="0.25">
      <c r="B560" s="24"/>
      <c r="C560" s="25"/>
      <c r="D560" s="25"/>
      <c r="E560" s="25"/>
      <c r="F560" s="42"/>
      <c r="G560" s="43"/>
      <c r="H560" s="44"/>
      <c r="I560" s="45"/>
      <c r="J560" s="43"/>
      <c r="K560" s="46"/>
      <c r="L560" s="45"/>
      <c r="M560" s="47"/>
      <c r="N560" s="105"/>
      <c r="O560" s="106"/>
      <c r="P560" s="24"/>
    </row>
    <row r="561" spans="2:17" ht="17.25" customHeight="1" x14ac:dyDescent="0.35">
      <c r="B561" s="104"/>
      <c r="C561" s="420"/>
      <c r="D561" s="420"/>
      <c r="E561" s="420"/>
      <c r="F561" s="420"/>
      <c r="G561" s="420"/>
      <c r="H561" s="420"/>
      <c r="I561" s="420"/>
      <c r="J561" s="420"/>
      <c r="K561" s="420"/>
      <c r="L561" s="420"/>
      <c r="M561" s="420"/>
      <c r="N561" s="420"/>
      <c r="O561" s="420"/>
      <c r="P561" s="94"/>
    </row>
    <row r="562" spans="2:17" ht="23.25" x14ac:dyDescent="0.35">
      <c r="B562" s="102"/>
      <c r="C562" s="423" t="s">
        <v>55</v>
      </c>
      <c r="D562" s="423"/>
      <c r="E562" s="423"/>
      <c r="F562" s="423"/>
      <c r="G562" s="423"/>
      <c r="H562" s="423"/>
      <c r="I562" s="423"/>
      <c r="J562" s="423"/>
      <c r="K562" s="423"/>
      <c r="L562" s="423"/>
      <c r="M562" s="423"/>
      <c r="N562" s="423"/>
      <c r="O562" s="423"/>
      <c r="P562" s="95"/>
    </row>
    <row r="563" spans="2:17" ht="17.25" customHeight="1" thickBot="1" x14ac:dyDescent="0.4">
      <c r="B563" s="102"/>
      <c r="C563" s="424"/>
      <c r="D563" s="424"/>
      <c r="E563" s="424"/>
      <c r="F563" s="424"/>
      <c r="G563" s="424"/>
      <c r="H563" s="424"/>
      <c r="I563" s="424"/>
      <c r="J563" s="424"/>
      <c r="K563" s="424"/>
      <c r="L563" s="424"/>
      <c r="M563" s="424"/>
      <c r="N563" s="424"/>
      <c r="O563" s="424"/>
      <c r="P563" s="95"/>
      <c r="Q563" s="24"/>
    </row>
    <row r="564" spans="2:17" ht="17.25" customHeight="1" thickBot="1" x14ac:dyDescent="0.25">
      <c r="B564" s="102"/>
      <c r="C564" s="103"/>
      <c r="D564" s="103"/>
      <c r="E564" s="25"/>
      <c r="F564" s="26"/>
      <c r="G564" s="425" t="str">
        <f>$G$10</f>
        <v>2010 BILL</v>
      </c>
      <c r="H564" s="426"/>
      <c r="I564" s="427"/>
      <c r="J564" s="425" t="str">
        <f>$J$10</f>
        <v>2011 BILL</v>
      </c>
      <c r="K564" s="426"/>
      <c r="L564" s="427"/>
      <c r="M564" s="425" t="s">
        <v>43</v>
      </c>
      <c r="N564" s="426"/>
      <c r="O564" s="427"/>
      <c r="P564" s="95"/>
      <c r="Q564" s="24"/>
    </row>
    <row r="565" spans="2:17" ht="26.25" thickBot="1" x14ac:dyDescent="0.25">
      <c r="B565" s="102"/>
      <c r="C565" s="25"/>
      <c r="D565" s="25"/>
      <c r="E565" s="27"/>
      <c r="F565" s="28"/>
      <c r="G565" s="245" t="s">
        <v>37</v>
      </c>
      <c r="H565" s="246" t="s">
        <v>38</v>
      </c>
      <c r="I565" s="247" t="s">
        <v>39</v>
      </c>
      <c r="J565" s="248" t="s">
        <v>37</v>
      </c>
      <c r="K565" s="246" t="s">
        <v>38</v>
      </c>
      <c r="L565" s="247" t="s">
        <v>39</v>
      </c>
      <c r="M565" s="122" t="s">
        <v>44</v>
      </c>
      <c r="N565" s="123" t="s">
        <v>45</v>
      </c>
      <c r="O565" s="124" t="s">
        <v>46</v>
      </c>
      <c r="P565" s="95"/>
      <c r="Q565" s="24"/>
    </row>
    <row r="566" spans="2:17" ht="17.25" customHeight="1" thickBot="1" x14ac:dyDescent="0.25">
      <c r="B566" s="102"/>
      <c r="C566" s="421" t="s">
        <v>40</v>
      </c>
      <c r="D566" s="422"/>
      <c r="E566" s="25"/>
      <c r="F566" s="251" t="s">
        <v>41</v>
      </c>
      <c r="G566" s="249"/>
      <c r="H566" s="243"/>
      <c r="I566" s="135">
        <f>+'2012 Existing Rates'!$C$10</f>
        <v>0</v>
      </c>
      <c r="J566" s="133"/>
      <c r="K566" s="244"/>
      <c r="L566" s="162" t="e">
        <f>'Rate Schedule '!#REF!</f>
        <v>#REF!</v>
      </c>
      <c r="M566" s="163" t="e">
        <f t="shared" ref="M566:M571" si="79">+L566-I566</f>
        <v>#REF!</v>
      </c>
      <c r="N566" s="164" t="e">
        <f>+M566/I566</f>
        <v>#REF!</v>
      </c>
      <c r="O566" s="156" t="e">
        <f>L566/L579</f>
        <v>#REF!</v>
      </c>
      <c r="P566" s="95"/>
      <c r="Q566" s="24"/>
    </row>
    <row r="567" spans="2:17" ht="17.25" customHeight="1" thickBot="1" x14ac:dyDescent="0.25">
      <c r="B567" s="102"/>
      <c r="C567" s="100">
        <v>4200000</v>
      </c>
      <c r="D567" s="101" t="s">
        <v>12</v>
      </c>
      <c r="E567" s="25"/>
      <c r="F567" s="252" t="s">
        <v>52</v>
      </c>
      <c r="G567" s="250">
        <f>+C568</f>
        <v>10000</v>
      </c>
      <c r="H567" s="126" t="e">
        <f>'2012 Existing Rates'!#REF!</f>
        <v>#REF!</v>
      </c>
      <c r="I567" s="141" t="e">
        <f>+G567*H567</f>
        <v>#REF!</v>
      </c>
      <c r="J567" s="132">
        <f>G567</f>
        <v>10000</v>
      </c>
      <c r="K567" s="125" t="e">
        <f>'Rate Schedule '!#REF!</f>
        <v>#REF!</v>
      </c>
      <c r="L567" s="145" t="e">
        <f>+J567*K567</f>
        <v>#REF!</v>
      </c>
      <c r="M567" s="163" t="e">
        <f t="shared" si="79"/>
        <v>#REF!</v>
      </c>
      <c r="N567" s="164" t="e">
        <f>+M567/I567</f>
        <v>#REF!</v>
      </c>
      <c r="O567" s="156" t="e">
        <f>L567/L579</f>
        <v>#REF!</v>
      </c>
      <c r="P567" s="95"/>
      <c r="Q567" s="24"/>
    </row>
    <row r="568" spans="2:17" ht="17.25" customHeight="1" thickBot="1" x14ac:dyDescent="0.25">
      <c r="B568" s="102"/>
      <c r="C568" s="100">
        <v>10000</v>
      </c>
      <c r="D568" s="101" t="s">
        <v>13</v>
      </c>
      <c r="E568" s="25"/>
      <c r="F568" s="252" t="s">
        <v>119</v>
      </c>
      <c r="G568" s="212">
        <f>G567</f>
        <v>10000</v>
      </c>
      <c r="H568" s="253" t="e">
        <f>'2012 Existing Rates'!#REF!</f>
        <v>#REF!</v>
      </c>
      <c r="I568" s="141" t="e">
        <f>+G568*H568</f>
        <v>#REF!</v>
      </c>
      <c r="J568" s="132">
        <f>+C568</f>
        <v>10000</v>
      </c>
      <c r="K568" s="125" t="e">
        <f>'Rate Schedule '!#REF!</f>
        <v>#REF!</v>
      </c>
      <c r="L568" s="145" t="e">
        <f>+J568*K568</f>
        <v>#REF!</v>
      </c>
      <c r="M568" s="163" t="e">
        <f t="shared" si="79"/>
        <v>#REF!</v>
      </c>
      <c r="N568" s="164" t="e">
        <f>+M568/I568</f>
        <v>#REF!</v>
      </c>
      <c r="O568" s="156" t="e">
        <f>L568/L579</f>
        <v>#REF!</v>
      </c>
      <c r="P568" s="95"/>
    </row>
    <row r="569" spans="2:17" ht="17.25" customHeight="1" x14ac:dyDescent="0.2">
      <c r="B569" s="102"/>
      <c r="C569" s="231"/>
      <c r="D569" s="242"/>
      <c r="E569" s="25"/>
      <c r="F569" s="129" t="s">
        <v>79</v>
      </c>
      <c r="G569" s="151"/>
      <c r="H569" s="150"/>
      <c r="I569" s="141" t="e">
        <f>'2012 Existing Rates'!#REF!</f>
        <v>#REF!</v>
      </c>
      <c r="J569" s="151"/>
      <c r="K569" s="150"/>
      <c r="L569" s="141" t="e">
        <f>'Rate Schedule '!#REF!</f>
        <v>#REF!</v>
      </c>
      <c r="M569" s="163" t="e">
        <f t="shared" si="79"/>
        <v>#REF!</v>
      </c>
      <c r="N569" s="164" t="e">
        <f>+M569/I569</f>
        <v>#REF!</v>
      </c>
      <c r="O569" s="156" t="e">
        <f>L569/L579</f>
        <v>#REF!</v>
      </c>
      <c r="P569" s="95"/>
    </row>
    <row r="570" spans="2:17" ht="17.25" customHeight="1" x14ac:dyDescent="0.2">
      <c r="B570" s="102"/>
      <c r="C570" s="54"/>
      <c r="D570" s="55"/>
      <c r="E570" s="25"/>
      <c r="F570" s="129" t="s">
        <v>120</v>
      </c>
      <c r="G570" s="132">
        <f>G568</f>
        <v>10000</v>
      </c>
      <c r="H570" s="126"/>
      <c r="I570" s="141">
        <f>+G570*H570</f>
        <v>0</v>
      </c>
      <c r="J570" s="132">
        <f>G570</f>
        <v>10000</v>
      </c>
      <c r="K570" s="125" t="e">
        <f>'Rate Schedule '!#REF!</f>
        <v>#REF!</v>
      </c>
      <c r="L570" s="145" t="e">
        <f>+J570*K570</f>
        <v>#REF!</v>
      </c>
      <c r="M570" s="163" t="e">
        <f t="shared" si="79"/>
        <v>#REF!</v>
      </c>
      <c r="N570" s="164">
        <v>0</v>
      </c>
      <c r="O570" s="156" t="e">
        <f>L570/L579</f>
        <v>#REF!</v>
      </c>
      <c r="P570" s="95"/>
    </row>
    <row r="571" spans="2:17" ht="17.25" customHeight="1" thickBot="1" x14ac:dyDescent="0.25">
      <c r="B571" s="102"/>
      <c r="C571" s="25"/>
      <c r="D571" s="25"/>
      <c r="E571" s="25"/>
      <c r="F571" s="130" t="s">
        <v>121</v>
      </c>
      <c r="G571" s="132">
        <f>+C568</f>
        <v>10000</v>
      </c>
      <c r="H571" s="126" t="e">
        <f>'2012 Existing Rates'!#REF!</f>
        <v>#REF!</v>
      </c>
      <c r="I571" s="145" t="e">
        <f>+G571*H571</f>
        <v>#REF!</v>
      </c>
      <c r="J571" s="132">
        <f>+C568</f>
        <v>10000</v>
      </c>
      <c r="K571" s="125" t="e">
        <f>'Rate Schedule '!#REF!</f>
        <v>#REF!</v>
      </c>
      <c r="L571" s="145" t="e">
        <f>+J571*K571</f>
        <v>#REF!</v>
      </c>
      <c r="M571" s="163" t="e">
        <f t="shared" si="79"/>
        <v>#REF!</v>
      </c>
      <c r="N571" s="164" t="e">
        <f t="shared" ref="N571:N579" si="80">+M571/I571</f>
        <v>#REF!</v>
      </c>
      <c r="O571" s="156" t="e">
        <f>L571/L579</f>
        <v>#REF!</v>
      </c>
      <c r="P571" s="95"/>
    </row>
    <row r="572" spans="2:17" ht="17.25" customHeight="1" thickBot="1" x14ac:dyDescent="0.25">
      <c r="B572" s="102"/>
      <c r="C572" s="25"/>
      <c r="D572" s="25"/>
      <c r="E572" s="25"/>
      <c r="F572" s="279" t="s">
        <v>116</v>
      </c>
      <c r="G572" s="417"/>
      <c r="H572" s="418"/>
      <c r="I572" s="280" t="e">
        <f>SUM(I566:I571)</f>
        <v>#REF!</v>
      </c>
      <c r="J572" s="417"/>
      <c r="K572" s="418"/>
      <c r="L572" s="280" t="e">
        <f>SUM(L566:L571)</f>
        <v>#REF!</v>
      </c>
      <c r="M572" s="283" t="e">
        <f t="shared" ref="M572:M579" si="81">+L572-I572</f>
        <v>#REF!</v>
      </c>
      <c r="N572" s="284" t="e">
        <f t="shared" si="80"/>
        <v>#REF!</v>
      </c>
      <c r="O572" s="285" t="e">
        <f>SUM(O566:O571)</f>
        <v>#REF!</v>
      </c>
      <c r="P572" s="95"/>
    </row>
    <row r="573" spans="2:17" ht="17.25" customHeight="1" thickBot="1" x14ac:dyDescent="0.25">
      <c r="B573" s="102"/>
      <c r="C573" s="25"/>
      <c r="D573" s="25"/>
      <c r="E573" s="25"/>
      <c r="F573" s="129" t="s">
        <v>122</v>
      </c>
      <c r="G573" s="233">
        <f>C568</f>
        <v>10000</v>
      </c>
      <c r="H573" s="234" t="e">
        <f>#REF!</f>
        <v>#REF!</v>
      </c>
      <c r="I573" s="141" t="e">
        <f>+G573*H573</f>
        <v>#REF!</v>
      </c>
      <c r="J573" s="233">
        <f>C568</f>
        <v>10000</v>
      </c>
      <c r="K573" s="234" t="e">
        <f>#REF!</f>
        <v>#REF!</v>
      </c>
      <c r="L573" s="141" t="e">
        <f>+J573*K573</f>
        <v>#REF!</v>
      </c>
      <c r="M573" s="235" t="e">
        <f t="shared" si="81"/>
        <v>#REF!</v>
      </c>
      <c r="N573" s="153" t="e">
        <f t="shared" si="80"/>
        <v>#REF!</v>
      </c>
      <c r="O573" s="156" t="e">
        <f>L573/L579</f>
        <v>#REF!</v>
      </c>
      <c r="P573" s="95"/>
    </row>
    <row r="574" spans="2:17" ht="17.25" customHeight="1" thickBot="1" x14ac:dyDescent="0.25">
      <c r="B574" s="102"/>
      <c r="C574" s="25"/>
      <c r="D574" s="25"/>
      <c r="E574" s="25"/>
      <c r="F574" s="279" t="s">
        <v>118</v>
      </c>
      <c r="G574" s="417"/>
      <c r="H574" s="418"/>
      <c r="I574" s="280" t="e">
        <f>I572+I573</f>
        <v>#REF!</v>
      </c>
      <c r="J574" s="417"/>
      <c r="K574" s="418"/>
      <c r="L574" s="280" t="e">
        <f>L572+L573</f>
        <v>#REF!</v>
      </c>
      <c r="M574" s="283" t="e">
        <f t="shared" si="81"/>
        <v>#REF!</v>
      </c>
      <c r="N574" s="284" t="e">
        <f t="shared" si="80"/>
        <v>#REF!</v>
      </c>
      <c r="O574" s="286" t="e">
        <f>L574/L579</f>
        <v>#REF!</v>
      </c>
      <c r="P574" s="95"/>
    </row>
    <row r="575" spans="2:17" ht="17.25" customHeight="1" x14ac:dyDescent="0.2">
      <c r="B575" s="102"/>
      <c r="C575" s="25"/>
      <c r="D575" s="25"/>
      <c r="E575" s="25"/>
      <c r="F575" s="127" t="s">
        <v>47</v>
      </c>
      <c r="G575" s="133" t="e">
        <f>C567*#REF!</f>
        <v>#REF!</v>
      </c>
      <c r="H575" s="134" t="e">
        <f>#REF!+#REF!</f>
        <v>#REF!</v>
      </c>
      <c r="I575" s="135" t="e">
        <f>+G575*H575</f>
        <v>#REF!</v>
      </c>
      <c r="J575" s="133" t="e">
        <f>C567*#REF!</f>
        <v>#REF!</v>
      </c>
      <c r="K575" s="134" t="e">
        <f>#REF!+#REF!</f>
        <v>#REF!</v>
      </c>
      <c r="L575" s="162" t="e">
        <f>+J575*K575</f>
        <v>#REF!</v>
      </c>
      <c r="M575" s="163" t="e">
        <f t="shared" si="81"/>
        <v>#REF!</v>
      </c>
      <c r="N575" s="164" t="e">
        <f t="shared" si="80"/>
        <v>#REF!</v>
      </c>
      <c r="O575" s="156" t="e">
        <f>L575/L579</f>
        <v>#REF!</v>
      </c>
      <c r="P575" s="95"/>
    </row>
    <row r="576" spans="2:17" ht="17.25" customHeight="1" thickBot="1" x14ac:dyDescent="0.25">
      <c r="B576" s="102"/>
      <c r="C576" s="25"/>
      <c r="D576" s="25"/>
      <c r="E576" s="25"/>
      <c r="F576" s="127" t="s">
        <v>48</v>
      </c>
      <c r="G576" s="133" t="e">
        <f>G575</f>
        <v>#REF!</v>
      </c>
      <c r="H576" s="134" t="e">
        <f>#REF!</f>
        <v>#REF!</v>
      </c>
      <c r="I576" s="135" t="e">
        <f>+G576*H576</f>
        <v>#REF!</v>
      </c>
      <c r="J576" s="133" t="e">
        <f>J575</f>
        <v>#REF!</v>
      </c>
      <c r="K576" s="134" t="e">
        <f>#REF!</f>
        <v>#REF!</v>
      </c>
      <c r="L576" s="162" t="e">
        <f>+J576*K576</f>
        <v>#REF!</v>
      </c>
      <c r="M576" s="163" t="e">
        <f t="shared" si="81"/>
        <v>#REF!</v>
      </c>
      <c r="N576" s="164" t="e">
        <f t="shared" si="80"/>
        <v>#REF!</v>
      </c>
      <c r="O576" s="156" t="e">
        <f>L576/L579</f>
        <v>#REF!</v>
      </c>
      <c r="P576" s="95"/>
    </row>
    <row r="577" spans="2:17" ht="17.25" customHeight="1" thickBot="1" x14ac:dyDescent="0.25">
      <c r="B577" s="102"/>
      <c r="C577" s="25"/>
      <c r="D577" s="25"/>
      <c r="E577" s="25"/>
      <c r="F577" s="279" t="s">
        <v>97</v>
      </c>
      <c r="G577" s="417"/>
      <c r="H577" s="418"/>
      <c r="I577" s="280" t="e">
        <f>SUM(I574:I576)</f>
        <v>#REF!</v>
      </c>
      <c r="J577" s="417"/>
      <c r="K577" s="418"/>
      <c r="L577" s="280" t="e">
        <f>SUM(L574:L576)</f>
        <v>#REF!</v>
      </c>
      <c r="M577" s="280" t="e">
        <f t="shared" si="81"/>
        <v>#REF!</v>
      </c>
      <c r="N577" s="284" t="e">
        <f t="shared" si="80"/>
        <v>#REF!</v>
      </c>
      <c r="O577" s="286" t="e">
        <f>L577/L579</f>
        <v>#REF!</v>
      </c>
      <c r="P577" s="95"/>
    </row>
    <row r="578" spans="2:17" ht="17.25" customHeight="1" thickBot="1" x14ac:dyDescent="0.25">
      <c r="B578" s="102"/>
      <c r="C578" s="25"/>
      <c r="D578" s="25"/>
      <c r="E578" s="25"/>
      <c r="F578" s="188" t="s">
        <v>170</v>
      </c>
      <c r="G578" s="189"/>
      <c r="H578" s="193">
        <v>0.13</v>
      </c>
      <c r="I578" s="190" t="e">
        <f>I577*H578</f>
        <v>#REF!</v>
      </c>
      <c r="J578" s="189"/>
      <c r="K578" s="193">
        <v>0.13</v>
      </c>
      <c r="L578" s="191" t="e">
        <f>L577*K578</f>
        <v>#REF!</v>
      </c>
      <c r="M578" s="160" t="e">
        <f t="shared" si="81"/>
        <v>#REF!</v>
      </c>
      <c r="N578" s="161" t="e">
        <f t="shared" si="80"/>
        <v>#REF!</v>
      </c>
      <c r="O578" s="166" t="e">
        <f>L578/L579</f>
        <v>#REF!</v>
      </c>
      <c r="P578" s="95"/>
    </row>
    <row r="579" spans="2:17" ht="17.25" customHeight="1" thickBot="1" x14ac:dyDescent="0.25">
      <c r="B579" s="102"/>
      <c r="C579" s="25"/>
      <c r="D579" s="25"/>
      <c r="E579" s="29"/>
      <c r="F579" s="293" t="s">
        <v>49</v>
      </c>
      <c r="G579" s="417"/>
      <c r="H579" s="418"/>
      <c r="I579" s="280" t="e">
        <f>I577+I578</f>
        <v>#REF!</v>
      </c>
      <c r="J579" s="417"/>
      <c r="K579" s="418"/>
      <c r="L579" s="280" t="e">
        <f>L577+L578</f>
        <v>#REF!</v>
      </c>
      <c r="M579" s="280" t="e">
        <f t="shared" si="81"/>
        <v>#REF!</v>
      </c>
      <c r="N579" s="284" t="e">
        <f t="shared" si="80"/>
        <v>#REF!</v>
      </c>
      <c r="O579" s="285" t="e">
        <f>O577+O578</f>
        <v>#REF!</v>
      </c>
      <c r="P579" s="95"/>
    </row>
    <row r="580" spans="2:17" ht="17.25" customHeight="1" thickBot="1" x14ac:dyDescent="0.25">
      <c r="B580" s="96"/>
      <c r="C580" s="108"/>
      <c r="D580" s="108"/>
      <c r="E580" s="108"/>
      <c r="F580" s="109"/>
      <c r="G580" s="110"/>
      <c r="H580" s="111"/>
      <c r="I580" s="112"/>
      <c r="J580" s="110"/>
      <c r="K580" s="113"/>
      <c r="L580" s="112"/>
      <c r="M580" s="114"/>
      <c r="N580" s="115"/>
      <c r="O580" s="116"/>
      <c r="P580" s="97"/>
    </row>
    <row r="581" spans="2:17" ht="17.25" customHeight="1" thickBot="1" x14ac:dyDescent="0.25">
      <c r="B581" s="24"/>
      <c r="C581" s="25"/>
      <c r="D581" s="25"/>
      <c r="E581" s="25"/>
      <c r="F581" s="42"/>
      <c r="G581" s="43"/>
      <c r="H581" s="44"/>
      <c r="I581" s="45"/>
      <c r="J581" s="43"/>
      <c r="K581" s="46"/>
      <c r="L581" s="45"/>
      <c r="M581" s="47"/>
      <c r="N581" s="105"/>
      <c r="O581" s="106"/>
      <c r="P581" s="24"/>
    </row>
    <row r="582" spans="2:17" ht="17.25" customHeight="1" x14ac:dyDescent="0.35">
      <c r="B582" s="104"/>
      <c r="C582" s="420"/>
      <c r="D582" s="420"/>
      <c r="E582" s="420"/>
      <c r="F582" s="420"/>
      <c r="G582" s="420"/>
      <c r="H582" s="420"/>
      <c r="I582" s="420"/>
      <c r="J582" s="420"/>
      <c r="K582" s="420"/>
      <c r="L582" s="420"/>
      <c r="M582" s="420"/>
      <c r="N582" s="420"/>
      <c r="O582" s="420"/>
      <c r="P582" s="94"/>
    </row>
    <row r="583" spans="2:17" ht="23.25" x14ac:dyDescent="0.35">
      <c r="B583" s="102"/>
      <c r="C583" s="423" t="s">
        <v>55</v>
      </c>
      <c r="D583" s="423"/>
      <c r="E583" s="423"/>
      <c r="F583" s="423"/>
      <c r="G583" s="423"/>
      <c r="H583" s="423"/>
      <c r="I583" s="423"/>
      <c r="J583" s="423"/>
      <c r="K583" s="423"/>
      <c r="L583" s="423"/>
      <c r="M583" s="423"/>
      <c r="N583" s="423"/>
      <c r="O583" s="423"/>
      <c r="P583" s="95"/>
    </row>
    <row r="584" spans="2:17" ht="17.25" customHeight="1" thickBot="1" x14ac:dyDescent="0.4">
      <c r="B584" s="102"/>
      <c r="C584" s="424"/>
      <c r="D584" s="424"/>
      <c r="E584" s="424"/>
      <c r="F584" s="424"/>
      <c r="G584" s="424"/>
      <c r="H584" s="424"/>
      <c r="I584" s="424"/>
      <c r="J584" s="424"/>
      <c r="K584" s="424"/>
      <c r="L584" s="424"/>
      <c r="M584" s="424"/>
      <c r="N584" s="424"/>
      <c r="O584" s="424"/>
      <c r="P584" s="95"/>
      <c r="Q584" s="24"/>
    </row>
    <row r="585" spans="2:17" ht="17.25" customHeight="1" thickBot="1" x14ac:dyDescent="0.25">
      <c r="B585" s="102"/>
      <c r="C585" s="103"/>
      <c r="D585" s="103"/>
      <c r="E585" s="25"/>
      <c r="F585" s="26"/>
      <c r="G585" s="425" t="str">
        <f>$G$10</f>
        <v>2010 BILL</v>
      </c>
      <c r="H585" s="426"/>
      <c r="I585" s="427"/>
      <c r="J585" s="425" t="str">
        <f>$J$10</f>
        <v>2011 BILL</v>
      </c>
      <c r="K585" s="426"/>
      <c r="L585" s="427"/>
      <c r="M585" s="425" t="s">
        <v>43</v>
      </c>
      <c r="N585" s="426"/>
      <c r="O585" s="427"/>
      <c r="P585" s="95"/>
      <c r="Q585" s="24"/>
    </row>
    <row r="586" spans="2:17" ht="26.25" thickBot="1" x14ac:dyDescent="0.25">
      <c r="B586" s="102"/>
      <c r="C586" s="25"/>
      <c r="D586" s="25"/>
      <c r="E586" s="27"/>
      <c r="F586" s="28"/>
      <c r="G586" s="245" t="s">
        <v>37</v>
      </c>
      <c r="H586" s="246" t="s">
        <v>38</v>
      </c>
      <c r="I586" s="247" t="s">
        <v>39</v>
      </c>
      <c r="J586" s="248" t="s">
        <v>37</v>
      </c>
      <c r="K586" s="246" t="s">
        <v>38</v>
      </c>
      <c r="L586" s="247" t="s">
        <v>39</v>
      </c>
      <c r="M586" s="122" t="s">
        <v>44</v>
      </c>
      <c r="N586" s="123" t="s">
        <v>45</v>
      </c>
      <c r="O586" s="124" t="s">
        <v>46</v>
      </c>
      <c r="P586" s="95"/>
      <c r="Q586" s="24"/>
    </row>
    <row r="587" spans="2:17" ht="17.25" customHeight="1" thickBot="1" x14ac:dyDescent="0.25">
      <c r="B587" s="102"/>
      <c r="C587" s="421" t="s">
        <v>40</v>
      </c>
      <c r="D587" s="422"/>
      <c r="E587" s="25"/>
      <c r="F587" s="251" t="s">
        <v>41</v>
      </c>
      <c r="G587" s="249"/>
      <c r="H587" s="243"/>
      <c r="I587" s="135">
        <f>+'2012 Existing Rates'!$C$10</f>
        <v>0</v>
      </c>
      <c r="J587" s="133"/>
      <c r="K587" s="244"/>
      <c r="L587" s="162" t="e">
        <f>'Rate Schedule '!#REF!</f>
        <v>#REF!</v>
      </c>
      <c r="M587" s="163" t="e">
        <f t="shared" ref="M587:M592" si="82">+L587-I587</f>
        <v>#REF!</v>
      </c>
      <c r="N587" s="164" t="e">
        <f>+M587/I587</f>
        <v>#REF!</v>
      </c>
      <c r="O587" s="156" t="e">
        <f>L587/L600</f>
        <v>#REF!</v>
      </c>
      <c r="P587" s="95"/>
      <c r="Q587" s="24"/>
    </row>
    <row r="588" spans="2:17" ht="17.25" customHeight="1" thickBot="1" x14ac:dyDescent="0.25">
      <c r="B588" s="102"/>
      <c r="C588" s="100">
        <v>4700000</v>
      </c>
      <c r="D588" s="101" t="s">
        <v>12</v>
      </c>
      <c r="E588" s="25"/>
      <c r="F588" s="252" t="s">
        <v>52</v>
      </c>
      <c r="G588" s="250">
        <f>+C589</f>
        <v>13900</v>
      </c>
      <c r="H588" s="126" t="e">
        <f>'2012 Existing Rates'!#REF!</f>
        <v>#REF!</v>
      </c>
      <c r="I588" s="141" t="e">
        <f>+G588*H588</f>
        <v>#REF!</v>
      </c>
      <c r="J588" s="132">
        <f>G588</f>
        <v>13900</v>
      </c>
      <c r="K588" s="125" t="e">
        <f>'Rate Schedule '!#REF!</f>
        <v>#REF!</v>
      </c>
      <c r="L588" s="145" t="e">
        <f>+J588*K588</f>
        <v>#REF!</v>
      </c>
      <c r="M588" s="163" t="e">
        <f t="shared" si="82"/>
        <v>#REF!</v>
      </c>
      <c r="N588" s="164" t="e">
        <f>+M588/I588</f>
        <v>#REF!</v>
      </c>
      <c r="O588" s="156" t="e">
        <f>L588/L600</f>
        <v>#REF!</v>
      </c>
      <c r="P588" s="95"/>
      <c r="Q588" s="24"/>
    </row>
    <row r="589" spans="2:17" ht="17.25" customHeight="1" thickBot="1" x14ac:dyDescent="0.25">
      <c r="B589" s="102"/>
      <c r="C589" s="100">
        <v>13900</v>
      </c>
      <c r="D589" s="101" t="s">
        <v>13</v>
      </c>
      <c r="E589" s="25"/>
      <c r="F589" s="252" t="s">
        <v>119</v>
      </c>
      <c r="G589" s="212">
        <f>G588</f>
        <v>13900</v>
      </c>
      <c r="H589" s="253" t="e">
        <f>'2012 Existing Rates'!#REF!</f>
        <v>#REF!</v>
      </c>
      <c r="I589" s="141" t="e">
        <f>+G589*H589</f>
        <v>#REF!</v>
      </c>
      <c r="J589" s="132">
        <f>+C589</f>
        <v>13900</v>
      </c>
      <c r="K589" s="125" t="e">
        <f>'Rate Schedule '!#REF!</f>
        <v>#REF!</v>
      </c>
      <c r="L589" s="145" t="e">
        <f>+J589*K589</f>
        <v>#REF!</v>
      </c>
      <c r="M589" s="163" t="e">
        <f t="shared" si="82"/>
        <v>#REF!</v>
      </c>
      <c r="N589" s="164" t="e">
        <f>+M589/I589</f>
        <v>#REF!</v>
      </c>
      <c r="O589" s="156" t="e">
        <f>L589/L600</f>
        <v>#REF!</v>
      </c>
      <c r="P589" s="95"/>
    </row>
    <row r="590" spans="2:17" ht="17.25" customHeight="1" x14ac:dyDescent="0.2">
      <c r="B590" s="102"/>
      <c r="C590" s="231"/>
      <c r="D590" s="242"/>
      <c r="E590" s="25"/>
      <c r="F590" s="129" t="s">
        <v>79</v>
      </c>
      <c r="G590" s="151"/>
      <c r="H590" s="150"/>
      <c r="I590" s="141" t="e">
        <f>'2012 Existing Rates'!#REF!</f>
        <v>#REF!</v>
      </c>
      <c r="J590" s="151"/>
      <c r="K590" s="150"/>
      <c r="L590" s="141" t="e">
        <f>'Rate Schedule '!#REF!</f>
        <v>#REF!</v>
      </c>
      <c r="M590" s="163" t="e">
        <f t="shared" si="82"/>
        <v>#REF!</v>
      </c>
      <c r="N590" s="164" t="e">
        <f>+M590/I590</f>
        <v>#REF!</v>
      </c>
      <c r="O590" s="156" t="e">
        <f>L590/L600</f>
        <v>#REF!</v>
      </c>
      <c r="P590" s="95"/>
    </row>
    <row r="591" spans="2:17" ht="17.25" customHeight="1" x14ac:dyDescent="0.2">
      <c r="B591" s="102"/>
      <c r="C591" s="54"/>
      <c r="D591" s="55"/>
      <c r="E591" s="25"/>
      <c r="F591" s="129" t="s">
        <v>120</v>
      </c>
      <c r="G591" s="132">
        <f>G589</f>
        <v>13900</v>
      </c>
      <c r="H591" s="126"/>
      <c r="I591" s="141">
        <f>+G591*H591</f>
        <v>0</v>
      </c>
      <c r="J591" s="132">
        <f>G591</f>
        <v>13900</v>
      </c>
      <c r="K591" s="125" t="e">
        <f>'Rate Schedule '!#REF!</f>
        <v>#REF!</v>
      </c>
      <c r="L591" s="145" t="e">
        <f>+J591*K591</f>
        <v>#REF!</v>
      </c>
      <c r="M591" s="163" t="e">
        <f t="shared" si="82"/>
        <v>#REF!</v>
      </c>
      <c r="N591" s="164">
        <v>0</v>
      </c>
      <c r="O591" s="156" t="e">
        <f>L591/L600</f>
        <v>#REF!</v>
      </c>
      <c r="P591" s="95"/>
    </row>
    <row r="592" spans="2:17" ht="17.25" customHeight="1" thickBot="1" x14ac:dyDescent="0.25">
      <c r="B592" s="102"/>
      <c r="C592" s="25"/>
      <c r="D592" s="25"/>
      <c r="E592" s="25"/>
      <c r="F592" s="130" t="s">
        <v>121</v>
      </c>
      <c r="G592" s="132">
        <f>+C589</f>
        <v>13900</v>
      </c>
      <c r="H592" s="126" t="e">
        <f>'2012 Existing Rates'!#REF!</f>
        <v>#REF!</v>
      </c>
      <c r="I592" s="145" t="e">
        <f>+G592*H592</f>
        <v>#REF!</v>
      </c>
      <c r="J592" s="132">
        <f>+C589</f>
        <v>13900</v>
      </c>
      <c r="K592" s="125" t="e">
        <f>'Rate Schedule '!#REF!</f>
        <v>#REF!</v>
      </c>
      <c r="L592" s="145" t="e">
        <f>+J592*K592</f>
        <v>#REF!</v>
      </c>
      <c r="M592" s="163" t="e">
        <f t="shared" si="82"/>
        <v>#REF!</v>
      </c>
      <c r="N592" s="164" t="e">
        <f t="shared" ref="N592:N600" si="83">+M592/I592</f>
        <v>#REF!</v>
      </c>
      <c r="O592" s="156" t="e">
        <f>L592/L600</f>
        <v>#REF!</v>
      </c>
      <c r="P592" s="95"/>
    </row>
    <row r="593" spans="2:18" ht="17.25" customHeight="1" thickBot="1" x14ac:dyDescent="0.25">
      <c r="B593" s="102"/>
      <c r="C593" s="25"/>
      <c r="D593" s="25"/>
      <c r="E593" s="25"/>
      <c r="F593" s="279" t="s">
        <v>116</v>
      </c>
      <c r="G593" s="417"/>
      <c r="H593" s="418"/>
      <c r="I593" s="280" t="e">
        <f>SUM(I587:I592)</f>
        <v>#REF!</v>
      </c>
      <c r="J593" s="417"/>
      <c r="K593" s="418"/>
      <c r="L593" s="280" t="e">
        <f>SUM(L587:L592)</f>
        <v>#REF!</v>
      </c>
      <c r="M593" s="283" t="e">
        <f t="shared" ref="M593:M600" si="84">+L593-I593</f>
        <v>#REF!</v>
      </c>
      <c r="N593" s="284" t="e">
        <f t="shared" si="83"/>
        <v>#REF!</v>
      </c>
      <c r="O593" s="285" t="e">
        <f>SUM(O587:O592)</f>
        <v>#REF!</v>
      </c>
      <c r="P593" s="95"/>
    </row>
    <row r="594" spans="2:18" ht="17.25" customHeight="1" thickBot="1" x14ac:dyDescent="0.25">
      <c r="B594" s="102"/>
      <c r="C594" s="25"/>
      <c r="D594" s="25"/>
      <c r="E594" s="25"/>
      <c r="F594" s="129" t="s">
        <v>122</v>
      </c>
      <c r="G594" s="233">
        <f>C589</f>
        <v>13900</v>
      </c>
      <c r="H594" s="234" t="e">
        <f>#REF!</f>
        <v>#REF!</v>
      </c>
      <c r="I594" s="141" t="e">
        <f>+G594*H594</f>
        <v>#REF!</v>
      </c>
      <c r="J594" s="233">
        <f>C589</f>
        <v>13900</v>
      </c>
      <c r="K594" s="234" t="e">
        <f>#REF!</f>
        <v>#REF!</v>
      </c>
      <c r="L594" s="141" t="e">
        <f>+J594*K594</f>
        <v>#REF!</v>
      </c>
      <c r="M594" s="235" t="e">
        <f t="shared" si="84"/>
        <v>#REF!</v>
      </c>
      <c r="N594" s="153" t="e">
        <f t="shared" si="83"/>
        <v>#REF!</v>
      </c>
      <c r="O594" s="156" t="e">
        <f>L594/L600</f>
        <v>#REF!</v>
      </c>
      <c r="P594" s="95"/>
    </row>
    <row r="595" spans="2:18" ht="17.25" customHeight="1" thickBot="1" x14ac:dyDescent="0.25">
      <c r="B595" s="102"/>
      <c r="C595" s="25"/>
      <c r="D595" s="25"/>
      <c r="E595" s="25"/>
      <c r="F595" s="279" t="s">
        <v>118</v>
      </c>
      <c r="G595" s="417"/>
      <c r="H595" s="418"/>
      <c r="I595" s="280" t="e">
        <f>I593+I594</f>
        <v>#REF!</v>
      </c>
      <c r="J595" s="417"/>
      <c r="K595" s="418"/>
      <c r="L595" s="280" t="e">
        <f>L593+L594</f>
        <v>#REF!</v>
      </c>
      <c r="M595" s="283" t="e">
        <f t="shared" si="84"/>
        <v>#REF!</v>
      </c>
      <c r="N595" s="284" t="e">
        <f t="shared" si="83"/>
        <v>#REF!</v>
      </c>
      <c r="O595" s="286" t="e">
        <f>L595/L600</f>
        <v>#REF!</v>
      </c>
      <c r="P595" s="95"/>
    </row>
    <row r="596" spans="2:18" ht="17.25" customHeight="1" x14ac:dyDescent="0.2">
      <c r="B596" s="102"/>
      <c r="C596" s="25"/>
      <c r="D596" s="25"/>
      <c r="E596" s="25"/>
      <c r="F596" s="127" t="s">
        <v>47</v>
      </c>
      <c r="G596" s="133" t="e">
        <f>C588*#REF!</f>
        <v>#REF!</v>
      </c>
      <c r="H596" s="134" t="e">
        <f>#REF!+#REF!</f>
        <v>#REF!</v>
      </c>
      <c r="I596" s="135" t="e">
        <f>+G596*H596</f>
        <v>#REF!</v>
      </c>
      <c r="J596" s="133" t="e">
        <f>C588*#REF!</f>
        <v>#REF!</v>
      </c>
      <c r="K596" s="134" t="e">
        <f>#REF!+#REF!</f>
        <v>#REF!</v>
      </c>
      <c r="L596" s="162" t="e">
        <f>+J596*K596</f>
        <v>#REF!</v>
      </c>
      <c r="M596" s="163" t="e">
        <f t="shared" si="84"/>
        <v>#REF!</v>
      </c>
      <c r="N596" s="164" t="e">
        <f t="shared" si="83"/>
        <v>#REF!</v>
      </c>
      <c r="O596" s="156" t="e">
        <f>L596/L600</f>
        <v>#REF!</v>
      </c>
      <c r="P596" s="95"/>
    </row>
    <row r="597" spans="2:18" ht="17.25" customHeight="1" thickBot="1" x14ac:dyDescent="0.25">
      <c r="B597" s="102"/>
      <c r="C597" s="25"/>
      <c r="D597" s="25"/>
      <c r="E597" s="25"/>
      <c r="F597" s="127" t="s">
        <v>48</v>
      </c>
      <c r="G597" s="133" t="e">
        <f>G596</f>
        <v>#REF!</v>
      </c>
      <c r="H597" s="134" t="e">
        <f>#REF!</f>
        <v>#REF!</v>
      </c>
      <c r="I597" s="135" t="e">
        <f>+G597*H597</f>
        <v>#REF!</v>
      </c>
      <c r="J597" s="133" t="e">
        <f>J596</f>
        <v>#REF!</v>
      </c>
      <c r="K597" s="134" t="e">
        <f>#REF!</f>
        <v>#REF!</v>
      </c>
      <c r="L597" s="162" t="e">
        <f>+J597*K597</f>
        <v>#REF!</v>
      </c>
      <c r="M597" s="163" t="e">
        <f t="shared" si="84"/>
        <v>#REF!</v>
      </c>
      <c r="N597" s="164" t="e">
        <f t="shared" si="83"/>
        <v>#REF!</v>
      </c>
      <c r="O597" s="156" t="e">
        <f>L597/L600</f>
        <v>#REF!</v>
      </c>
      <c r="P597" s="95"/>
    </row>
    <row r="598" spans="2:18" ht="17.25" customHeight="1" thickBot="1" x14ac:dyDescent="0.25">
      <c r="B598" s="102"/>
      <c r="C598" s="25"/>
      <c r="D598" s="25"/>
      <c r="E598" s="25"/>
      <c r="F598" s="279" t="s">
        <v>97</v>
      </c>
      <c r="G598" s="417"/>
      <c r="H598" s="418"/>
      <c r="I598" s="280" t="e">
        <f>SUM(I595:I597)</f>
        <v>#REF!</v>
      </c>
      <c r="J598" s="417"/>
      <c r="K598" s="418"/>
      <c r="L598" s="280" t="e">
        <f>SUM(L595:L597)</f>
        <v>#REF!</v>
      </c>
      <c r="M598" s="280" t="e">
        <f t="shared" si="84"/>
        <v>#REF!</v>
      </c>
      <c r="N598" s="284" t="e">
        <f t="shared" si="83"/>
        <v>#REF!</v>
      </c>
      <c r="O598" s="286" t="e">
        <f>L598/L600</f>
        <v>#REF!</v>
      </c>
      <c r="P598" s="95"/>
    </row>
    <row r="599" spans="2:18" ht="17.25" customHeight="1" thickBot="1" x14ac:dyDescent="0.25">
      <c r="B599" s="102"/>
      <c r="C599" s="25"/>
      <c r="D599" s="25"/>
      <c r="E599" s="25"/>
      <c r="F599" s="188" t="s">
        <v>170</v>
      </c>
      <c r="G599" s="189"/>
      <c r="H599" s="193">
        <v>0.13</v>
      </c>
      <c r="I599" s="190" t="e">
        <f>I598*H599</f>
        <v>#REF!</v>
      </c>
      <c r="J599" s="189"/>
      <c r="K599" s="193">
        <v>0.13</v>
      </c>
      <c r="L599" s="191" t="e">
        <f>L598*K599</f>
        <v>#REF!</v>
      </c>
      <c r="M599" s="160" t="e">
        <f t="shared" si="84"/>
        <v>#REF!</v>
      </c>
      <c r="N599" s="161" t="e">
        <f t="shared" si="83"/>
        <v>#REF!</v>
      </c>
      <c r="O599" s="166" t="e">
        <f>L599/L600</f>
        <v>#REF!</v>
      </c>
      <c r="P599" s="95"/>
    </row>
    <row r="600" spans="2:18" ht="17.25" customHeight="1" thickBot="1" x14ac:dyDescent="0.25">
      <c r="B600" s="102"/>
      <c r="C600" s="25"/>
      <c r="D600" s="25"/>
      <c r="E600" s="29"/>
      <c r="F600" s="293" t="s">
        <v>49</v>
      </c>
      <c r="G600" s="417"/>
      <c r="H600" s="418"/>
      <c r="I600" s="280" t="e">
        <f>I598+I599</f>
        <v>#REF!</v>
      </c>
      <c r="J600" s="417"/>
      <c r="K600" s="418"/>
      <c r="L600" s="280" t="e">
        <f>L598+L599</f>
        <v>#REF!</v>
      </c>
      <c r="M600" s="280" t="e">
        <f t="shared" si="84"/>
        <v>#REF!</v>
      </c>
      <c r="N600" s="284" t="e">
        <f t="shared" si="83"/>
        <v>#REF!</v>
      </c>
      <c r="O600" s="285" t="e">
        <f>O598+O599</f>
        <v>#REF!</v>
      </c>
      <c r="P600" s="95"/>
    </row>
    <row r="601" spans="2:18" ht="17.25" customHeight="1" thickBot="1" x14ac:dyDescent="0.25">
      <c r="B601" s="96"/>
      <c r="C601" s="108"/>
      <c r="D601" s="108"/>
      <c r="E601" s="108"/>
      <c r="F601" s="176"/>
      <c r="G601" s="177"/>
      <c r="H601" s="178"/>
      <c r="I601" s="179"/>
      <c r="J601" s="177"/>
      <c r="K601" s="180"/>
      <c r="L601" s="179"/>
      <c r="M601" s="254"/>
      <c r="N601" s="181"/>
      <c r="O601" s="182"/>
      <c r="P601" s="97"/>
    </row>
    <row r="602" spans="2:18" s="24" customFormat="1" ht="17.25" customHeight="1" thickBot="1" x14ac:dyDescent="0.25">
      <c r="C602" s="25"/>
      <c r="D602" s="25"/>
      <c r="E602" s="25"/>
      <c r="F602" s="42"/>
      <c r="G602" s="43"/>
      <c r="H602" s="44"/>
      <c r="I602" s="45"/>
      <c r="J602" s="43"/>
      <c r="K602" s="46"/>
      <c r="L602" s="45"/>
      <c r="M602" s="47"/>
      <c r="N602" s="105"/>
      <c r="O602" s="106"/>
    </row>
    <row r="603" spans="2:18" ht="17.25" customHeight="1" x14ac:dyDescent="0.35">
      <c r="B603" s="104"/>
      <c r="C603" s="420"/>
      <c r="D603" s="420"/>
      <c r="E603" s="420"/>
      <c r="F603" s="420"/>
      <c r="G603" s="420"/>
      <c r="H603" s="420"/>
      <c r="I603" s="420"/>
      <c r="J603" s="420"/>
      <c r="K603" s="420"/>
      <c r="L603" s="420"/>
      <c r="M603" s="420"/>
      <c r="N603" s="420"/>
      <c r="O603" s="420"/>
      <c r="P603" s="94"/>
    </row>
    <row r="604" spans="2:18" ht="23.25" x14ac:dyDescent="0.35">
      <c r="B604" s="102"/>
      <c r="C604" s="423" t="s">
        <v>54</v>
      </c>
      <c r="D604" s="423"/>
      <c r="E604" s="423"/>
      <c r="F604" s="423"/>
      <c r="G604" s="423"/>
      <c r="H604" s="423"/>
      <c r="I604" s="423"/>
      <c r="J604" s="423"/>
      <c r="K604" s="423"/>
      <c r="L604" s="423"/>
      <c r="M604" s="423"/>
      <c r="N604" s="423"/>
      <c r="O604" s="423"/>
      <c r="P604" s="95"/>
    </row>
    <row r="605" spans="2:18" ht="17.25" customHeight="1" thickBot="1" x14ac:dyDescent="0.4">
      <c r="B605" s="102"/>
      <c r="C605" s="424"/>
      <c r="D605" s="424"/>
      <c r="E605" s="424"/>
      <c r="F605" s="424"/>
      <c r="G605" s="424"/>
      <c r="H605" s="424"/>
      <c r="I605" s="424"/>
      <c r="J605" s="424"/>
      <c r="K605" s="424"/>
      <c r="L605" s="424"/>
      <c r="M605" s="424"/>
      <c r="N605" s="424"/>
      <c r="O605" s="424"/>
      <c r="P605" s="95"/>
      <c r="Q605" s="24"/>
      <c r="R605" s="258" t="s">
        <v>128</v>
      </c>
    </row>
    <row r="606" spans="2:18" ht="17.25" customHeight="1" thickBot="1" x14ac:dyDescent="0.25">
      <c r="B606" s="102"/>
      <c r="C606" s="103"/>
      <c r="D606" s="103"/>
      <c r="E606" s="25"/>
      <c r="F606" s="26"/>
      <c r="G606" s="425" t="str">
        <f>$G$10</f>
        <v>2010 BILL</v>
      </c>
      <c r="H606" s="426"/>
      <c r="I606" s="427"/>
      <c r="J606" s="425" t="str">
        <f>$J$10</f>
        <v>2011 BILL</v>
      </c>
      <c r="K606" s="426"/>
      <c r="L606" s="427"/>
      <c r="M606" s="425" t="s">
        <v>43</v>
      </c>
      <c r="N606" s="426"/>
      <c r="O606" s="427"/>
      <c r="P606" s="95"/>
      <c r="Q606" s="24"/>
    </row>
    <row r="607" spans="2:18" ht="26.25" thickBot="1" x14ac:dyDescent="0.25">
      <c r="B607" s="102"/>
      <c r="C607" s="25"/>
      <c r="D607" s="25"/>
      <c r="E607" s="27"/>
      <c r="F607" s="28"/>
      <c r="G607" s="245" t="s">
        <v>37</v>
      </c>
      <c r="H607" s="246" t="s">
        <v>38</v>
      </c>
      <c r="I607" s="247" t="s">
        <v>39</v>
      </c>
      <c r="J607" s="248" t="s">
        <v>37</v>
      </c>
      <c r="K607" s="246" t="s">
        <v>38</v>
      </c>
      <c r="L607" s="247" t="s">
        <v>39</v>
      </c>
      <c r="M607" s="122" t="s">
        <v>44</v>
      </c>
      <c r="N607" s="123" t="s">
        <v>45</v>
      </c>
      <c r="O607" s="124" t="s">
        <v>46</v>
      </c>
      <c r="P607" s="95"/>
      <c r="Q607" s="24"/>
    </row>
    <row r="608" spans="2:18" ht="17.25" customHeight="1" thickBot="1" x14ac:dyDescent="0.25">
      <c r="B608" s="102"/>
      <c r="C608" s="421" t="s">
        <v>67</v>
      </c>
      <c r="D608" s="422"/>
      <c r="E608" s="25"/>
      <c r="F608" s="251" t="s">
        <v>41</v>
      </c>
      <c r="G608" s="249">
        <f>C609</f>
        <v>13216.809308754411</v>
      </c>
      <c r="H608" s="243">
        <f>'2012 Existing Rates'!$B$12</f>
        <v>2.16</v>
      </c>
      <c r="I608" s="141">
        <f>+G608*H608</f>
        <v>28548.308106909531</v>
      </c>
      <c r="J608" s="249">
        <f>G608</f>
        <v>13216.809308754411</v>
      </c>
      <c r="K608" s="243">
        <f>'Rate Schedule '!$E$31</f>
        <v>1.1073999999999999</v>
      </c>
      <c r="L608" s="141">
        <f>+J608*K608</f>
        <v>14636.294628514634</v>
      </c>
      <c r="M608" s="163">
        <f t="shared" ref="M608:M620" si="85">+L608-I608</f>
        <v>-13912.013478394898</v>
      </c>
      <c r="N608" s="164">
        <f t="shared" ref="N608:N620" si="86">+M608/I608</f>
        <v>-0.48731481481481492</v>
      </c>
      <c r="O608" s="156" t="e">
        <f>L608/L620</f>
        <v>#REF!</v>
      </c>
      <c r="P608" s="95"/>
      <c r="Q608" s="24"/>
    </row>
    <row r="609" spans="2:17" ht="17.25" customHeight="1" thickBot="1" x14ac:dyDescent="0.25">
      <c r="B609" s="102"/>
      <c r="C609" s="100">
        <f>+'Forecast Data For2013'!C21</f>
        <v>13216.809308754411</v>
      </c>
      <c r="D609" s="101" t="s">
        <v>66</v>
      </c>
      <c r="E609" s="25"/>
      <c r="F609" s="252" t="s">
        <v>52</v>
      </c>
      <c r="G609" s="250">
        <f>C611</f>
        <v>2625.1681057491091</v>
      </c>
      <c r="H609" s="126" t="e">
        <f>'2012 Existing Rates'!#REF!</f>
        <v>#REF!</v>
      </c>
      <c r="I609" s="141" t="e">
        <f>+G609*H609</f>
        <v>#REF!</v>
      </c>
      <c r="J609" s="132">
        <f>G609</f>
        <v>2625.1681057491091</v>
      </c>
      <c r="K609" s="125">
        <f>'Rate Schedule '!$E$32</f>
        <v>6.6959</v>
      </c>
      <c r="L609" s="141">
        <f>+J609*K609</f>
        <v>17577.863119285459</v>
      </c>
      <c r="M609" s="163" t="e">
        <f t="shared" si="85"/>
        <v>#REF!</v>
      </c>
      <c r="N609" s="164" t="e">
        <f t="shared" si="86"/>
        <v>#REF!</v>
      </c>
      <c r="O609" s="156" t="e">
        <f>L609/L620</f>
        <v>#REF!</v>
      </c>
      <c r="P609" s="95"/>
      <c r="Q609" s="24"/>
    </row>
    <row r="610" spans="2:17" ht="17.25" customHeight="1" thickBot="1" x14ac:dyDescent="0.25">
      <c r="B610" s="102"/>
      <c r="C610" s="100">
        <f>+'Forecast Data For2013'!C23/12</f>
        <v>931967.93709500693</v>
      </c>
      <c r="D610" s="101" t="s">
        <v>12</v>
      </c>
      <c r="E610" s="25"/>
      <c r="F610" s="252" t="s">
        <v>119</v>
      </c>
      <c r="G610" s="212">
        <f>G609</f>
        <v>2625.1681057491091</v>
      </c>
      <c r="H610" s="253" t="e">
        <f>'2012 Existing Rates'!#REF!</f>
        <v>#REF!</v>
      </c>
      <c r="I610" s="141" t="e">
        <f>+G610*H610</f>
        <v>#REF!</v>
      </c>
      <c r="J610" s="132">
        <f>G610</f>
        <v>2625.1681057491091</v>
      </c>
      <c r="K610" s="125" t="e">
        <f>'Rate Schedule '!#REF!</f>
        <v>#REF!</v>
      </c>
      <c r="L610" s="141" t="e">
        <f>+J610*K610</f>
        <v>#REF!</v>
      </c>
      <c r="M610" s="163" t="e">
        <f t="shared" si="85"/>
        <v>#REF!</v>
      </c>
      <c r="N610" s="164" t="e">
        <f t="shared" si="86"/>
        <v>#REF!</v>
      </c>
      <c r="O610" s="156" t="e">
        <f>L610/L620</f>
        <v>#REF!</v>
      </c>
      <c r="P610" s="95"/>
    </row>
    <row r="611" spans="2:17" ht="17.25" customHeight="1" thickBot="1" x14ac:dyDescent="0.25">
      <c r="B611" s="102"/>
      <c r="C611" s="100">
        <f>+'Forecast Data For2013'!C22/12</f>
        <v>2625.1681057491091</v>
      </c>
      <c r="D611" s="101" t="s">
        <v>13</v>
      </c>
      <c r="E611" s="25"/>
      <c r="F611" s="129" t="s">
        <v>120</v>
      </c>
      <c r="G611" s="132">
        <f>G610</f>
        <v>2625.1681057491091</v>
      </c>
      <c r="H611" s="126"/>
      <c r="I611" s="141">
        <f>+G611*H611</f>
        <v>0</v>
      </c>
      <c r="J611" s="132">
        <f>G611</f>
        <v>2625.1681057491091</v>
      </c>
      <c r="K611" s="125" t="e">
        <f>'Rate Schedule '!#REF!</f>
        <v>#REF!</v>
      </c>
      <c r="L611" s="145" t="e">
        <f>+J611*K611</f>
        <v>#REF!</v>
      </c>
      <c r="M611" s="163" t="e">
        <f t="shared" si="85"/>
        <v>#REF!</v>
      </c>
      <c r="N611" s="164">
        <v>0</v>
      </c>
      <c r="O611" s="156" t="e">
        <f>L611/L620</f>
        <v>#REF!</v>
      </c>
      <c r="P611" s="95"/>
    </row>
    <row r="612" spans="2:17" ht="17.25" customHeight="1" thickBot="1" x14ac:dyDescent="0.25">
      <c r="B612" s="102"/>
      <c r="C612" s="54"/>
      <c r="D612" s="55"/>
      <c r="E612" s="25"/>
      <c r="F612" s="130" t="s">
        <v>121</v>
      </c>
      <c r="G612" s="132">
        <f>G611</f>
        <v>2625.1681057491091</v>
      </c>
      <c r="H612" s="126" t="e">
        <f>'2012 Existing Rates'!#REF!</f>
        <v>#REF!</v>
      </c>
      <c r="I612" s="145" t="e">
        <f>+G612*H612</f>
        <v>#REF!</v>
      </c>
      <c r="J612" s="132">
        <f>J611</f>
        <v>2625.1681057491091</v>
      </c>
      <c r="K612" s="125" t="e">
        <f>'Rate Schedule '!#REF!</f>
        <v>#REF!</v>
      </c>
      <c r="L612" s="145" t="e">
        <f>+J612*K612</f>
        <v>#REF!</v>
      </c>
      <c r="M612" s="163" t="e">
        <f t="shared" si="85"/>
        <v>#REF!</v>
      </c>
      <c r="N612" s="164" t="e">
        <f t="shared" si="86"/>
        <v>#REF!</v>
      </c>
      <c r="O612" s="156" t="e">
        <f>L612/L620</f>
        <v>#REF!</v>
      </c>
      <c r="P612" s="95"/>
    </row>
    <row r="613" spans="2:17" ht="17.25" customHeight="1" thickBot="1" x14ac:dyDescent="0.25">
      <c r="B613" s="102"/>
      <c r="C613" s="25"/>
      <c r="D613" s="25"/>
      <c r="E613" s="25"/>
      <c r="F613" s="279" t="s">
        <v>116</v>
      </c>
      <c r="G613" s="417"/>
      <c r="H613" s="418"/>
      <c r="I613" s="280" t="e">
        <f>SUM(I608:I612)</f>
        <v>#REF!</v>
      </c>
      <c r="J613" s="417"/>
      <c r="K613" s="418"/>
      <c r="L613" s="280" t="e">
        <f>SUM(L608:L612)</f>
        <v>#REF!</v>
      </c>
      <c r="M613" s="283" t="e">
        <f t="shared" si="85"/>
        <v>#REF!</v>
      </c>
      <c r="N613" s="284" t="e">
        <f t="shared" si="86"/>
        <v>#REF!</v>
      </c>
      <c r="O613" s="285" t="e">
        <f>SUM(O608:O612)</f>
        <v>#REF!</v>
      </c>
      <c r="P613" s="95"/>
    </row>
    <row r="614" spans="2:17" ht="17.25" customHeight="1" thickBot="1" x14ac:dyDescent="0.25">
      <c r="B614" s="102"/>
      <c r="C614" s="25"/>
      <c r="D614" s="25"/>
      <c r="E614" s="25"/>
      <c r="F614" s="129" t="s">
        <v>122</v>
      </c>
      <c r="G614" s="233">
        <f>G612</f>
        <v>2625.1681057491091</v>
      </c>
      <c r="H614" s="234" t="e">
        <f>#REF!</f>
        <v>#REF!</v>
      </c>
      <c r="I614" s="141" t="e">
        <f>+G614*H614</f>
        <v>#REF!</v>
      </c>
      <c r="J614" s="233">
        <f>G614</f>
        <v>2625.1681057491091</v>
      </c>
      <c r="K614" s="234" t="e">
        <f>#REF!</f>
        <v>#REF!</v>
      </c>
      <c r="L614" s="141" t="e">
        <f>+J614*K614</f>
        <v>#REF!</v>
      </c>
      <c r="M614" s="235" t="e">
        <f t="shared" si="85"/>
        <v>#REF!</v>
      </c>
      <c r="N614" s="153" t="e">
        <f t="shared" si="86"/>
        <v>#REF!</v>
      </c>
      <c r="O614" s="156" t="e">
        <f>L614/L620</f>
        <v>#REF!</v>
      </c>
      <c r="P614" s="95"/>
    </row>
    <row r="615" spans="2:17" ht="17.25" customHeight="1" thickBot="1" x14ac:dyDescent="0.25">
      <c r="B615" s="102"/>
      <c r="C615" s="25"/>
      <c r="D615" s="25"/>
      <c r="E615" s="25"/>
      <c r="F615" s="279" t="s">
        <v>118</v>
      </c>
      <c r="G615" s="417"/>
      <c r="H615" s="418"/>
      <c r="I615" s="280" t="e">
        <f>I613+I614</f>
        <v>#REF!</v>
      </c>
      <c r="J615" s="417"/>
      <c r="K615" s="418"/>
      <c r="L615" s="280" t="e">
        <f>L613+L614</f>
        <v>#REF!</v>
      </c>
      <c r="M615" s="283" t="e">
        <f t="shared" si="85"/>
        <v>#REF!</v>
      </c>
      <c r="N615" s="284" t="e">
        <f t="shared" si="86"/>
        <v>#REF!</v>
      </c>
      <c r="O615" s="286" t="e">
        <f>L615/L620</f>
        <v>#REF!</v>
      </c>
      <c r="P615" s="95"/>
    </row>
    <row r="616" spans="2:17" ht="17.25" customHeight="1" x14ac:dyDescent="0.2">
      <c r="B616" s="102"/>
      <c r="C616" s="25"/>
      <c r="D616" s="25"/>
      <c r="E616" s="25"/>
      <c r="F616" s="127" t="s">
        <v>47</v>
      </c>
      <c r="G616" s="133" t="e">
        <f>C610*#REF!</f>
        <v>#REF!</v>
      </c>
      <c r="H616" s="134" t="e">
        <f>#REF!+#REF!</f>
        <v>#REF!</v>
      </c>
      <c r="I616" s="135" t="e">
        <f>+G616*H616</f>
        <v>#REF!</v>
      </c>
      <c r="J616" s="133" t="e">
        <f>C610*#REF!</f>
        <v>#REF!</v>
      </c>
      <c r="K616" s="134" t="e">
        <f>#REF!+#REF!</f>
        <v>#REF!</v>
      </c>
      <c r="L616" s="162" t="e">
        <f>+J616*K616</f>
        <v>#REF!</v>
      </c>
      <c r="M616" s="163" t="e">
        <f t="shared" si="85"/>
        <v>#REF!</v>
      </c>
      <c r="N616" s="164" t="e">
        <f t="shared" si="86"/>
        <v>#REF!</v>
      </c>
      <c r="O616" s="156" t="e">
        <f>L616/L620</f>
        <v>#REF!</v>
      </c>
      <c r="P616" s="95"/>
    </row>
    <row r="617" spans="2:17" ht="17.25" customHeight="1" thickBot="1" x14ac:dyDescent="0.25">
      <c r="B617" s="102"/>
      <c r="C617" s="25"/>
      <c r="D617" s="25"/>
      <c r="E617" s="25"/>
      <c r="F617" s="127" t="s">
        <v>48</v>
      </c>
      <c r="G617" s="133" t="e">
        <f>G616</f>
        <v>#REF!</v>
      </c>
      <c r="H617" s="134" t="e">
        <f>#REF!</f>
        <v>#REF!</v>
      </c>
      <c r="I617" s="135" t="e">
        <f>+G617*H617</f>
        <v>#REF!</v>
      </c>
      <c r="J617" s="133" t="e">
        <f>J616</f>
        <v>#REF!</v>
      </c>
      <c r="K617" s="134" t="e">
        <f>#REF!</f>
        <v>#REF!</v>
      </c>
      <c r="L617" s="162" t="e">
        <f>+J617*K617</f>
        <v>#REF!</v>
      </c>
      <c r="M617" s="163" t="e">
        <f t="shared" si="85"/>
        <v>#REF!</v>
      </c>
      <c r="N617" s="164" t="e">
        <f t="shared" si="86"/>
        <v>#REF!</v>
      </c>
      <c r="O617" s="156" t="e">
        <f>L617/L620</f>
        <v>#REF!</v>
      </c>
      <c r="P617" s="95"/>
    </row>
    <row r="618" spans="2:17" ht="17.25" customHeight="1" thickBot="1" x14ac:dyDescent="0.25">
      <c r="B618" s="102"/>
      <c r="C618" s="25"/>
      <c r="D618" s="25"/>
      <c r="E618" s="25"/>
      <c r="F618" s="279" t="s">
        <v>97</v>
      </c>
      <c r="G618" s="417"/>
      <c r="H618" s="418"/>
      <c r="I618" s="280" t="e">
        <f>SUM(I615:I617)</f>
        <v>#REF!</v>
      </c>
      <c r="J618" s="417"/>
      <c r="K618" s="418"/>
      <c r="L618" s="280" t="e">
        <f>SUM(L615:L617)</f>
        <v>#REF!</v>
      </c>
      <c r="M618" s="280" t="e">
        <f t="shared" si="85"/>
        <v>#REF!</v>
      </c>
      <c r="N618" s="284" t="e">
        <f t="shared" si="86"/>
        <v>#REF!</v>
      </c>
      <c r="O618" s="286" t="e">
        <f>L618/L620</f>
        <v>#REF!</v>
      </c>
      <c r="P618" s="95"/>
    </row>
    <row r="619" spans="2:17" ht="17.25" customHeight="1" thickBot="1" x14ac:dyDescent="0.25">
      <c r="B619" s="102"/>
      <c r="C619" s="25"/>
      <c r="D619" s="25"/>
      <c r="E619" s="25"/>
      <c r="F619" s="188" t="s">
        <v>170</v>
      </c>
      <c r="G619" s="189"/>
      <c r="H619" s="193">
        <v>0.13</v>
      </c>
      <c r="I619" s="190" t="e">
        <f>I618*H619</f>
        <v>#REF!</v>
      </c>
      <c r="J619" s="189"/>
      <c r="K619" s="193">
        <v>0.13</v>
      </c>
      <c r="L619" s="191" t="e">
        <f>L618*K619</f>
        <v>#REF!</v>
      </c>
      <c r="M619" s="160" t="e">
        <f t="shared" si="85"/>
        <v>#REF!</v>
      </c>
      <c r="N619" s="161" t="e">
        <f t="shared" si="86"/>
        <v>#REF!</v>
      </c>
      <c r="O619" s="166" t="e">
        <f>L619/L620</f>
        <v>#REF!</v>
      </c>
      <c r="P619" s="95"/>
    </row>
    <row r="620" spans="2:17" ht="17.25" customHeight="1" thickBot="1" x14ac:dyDescent="0.25">
      <c r="B620" s="102"/>
      <c r="C620" s="25"/>
      <c r="D620" s="25"/>
      <c r="E620" s="29"/>
      <c r="F620" s="294" t="s">
        <v>49</v>
      </c>
      <c r="G620" s="432"/>
      <c r="H620" s="433"/>
      <c r="I620" s="295" t="e">
        <f>SUM(I618:I619)</f>
        <v>#REF!</v>
      </c>
      <c r="J620" s="432"/>
      <c r="K620" s="433"/>
      <c r="L620" s="295" t="e">
        <f>L618+L619</f>
        <v>#REF!</v>
      </c>
      <c r="M620" s="295" t="e">
        <f t="shared" si="85"/>
        <v>#REF!</v>
      </c>
      <c r="N620" s="296" t="e">
        <f t="shared" si="86"/>
        <v>#REF!</v>
      </c>
      <c r="O620" s="297" t="e">
        <f>O618+O619</f>
        <v>#REF!</v>
      </c>
      <c r="P620" s="95"/>
    </row>
    <row r="621" spans="2:17" ht="17.25" customHeight="1" thickBot="1" x14ac:dyDescent="0.25">
      <c r="B621" s="96"/>
      <c r="C621" s="108"/>
      <c r="D621" s="108"/>
      <c r="E621" s="108"/>
      <c r="F621" s="176"/>
      <c r="G621" s="177"/>
      <c r="H621" s="178"/>
      <c r="I621" s="179"/>
      <c r="J621" s="177"/>
      <c r="K621" s="180"/>
      <c r="L621" s="180"/>
      <c r="M621" s="180"/>
      <c r="N621" s="180"/>
      <c r="O621" s="180"/>
      <c r="P621" s="97"/>
    </row>
    <row r="622" spans="2:17" ht="17.25" customHeight="1" thickBot="1" x14ac:dyDescent="0.25">
      <c r="B622" s="24"/>
      <c r="C622" s="25"/>
      <c r="D622" s="25"/>
      <c r="E622" s="25"/>
      <c r="F622" s="42"/>
      <c r="G622" s="43"/>
      <c r="H622" s="44"/>
      <c r="I622" s="45"/>
      <c r="J622" s="43"/>
      <c r="K622" s="46"/>
      <c r="L622" s="45"/>
      <c r="M622" s="47"/>
      <c r="N622" s="105"/>
      <c r="O622" s="106"/>
      <c r="P622" s="24"/>
    </row>
    <row r="623" spans="2:17" ht="17.25" customHeight="1" x14ac:dyDescent="0.35">
      <c r="B623" s="104"/>
      <c r="C623" s="420"/>
      <c r="D623" s="420"/>
      <c r="E623" s="420"/>
      <c r="F623" s="420"/>
      <c r="G623" s="420"/>
      <c r="H623" s="420"/>
      <c r="I623" s="420"/>
      <c r="J623" s="420"/>
      <c r="K623" s="420"/>
      <c r="L623" s="420"/>
      <c r="M623" s="420"/>
      <c r="N623" s="420"/>
      <c r="O623" s="420"/>
      <c r="P623" s="94"/>
    </row>
    <row r="624" spans="2:17" ht="23.25" x14ac:dyDescent="0.35">
      <c r="B624" s="102"/>
      <c r="C624" s="423" t="s">
        <v>54</v>
      </c>
      <c r="D624" s="423"/>
      <c r="E624" s="423"/>
      <c r="F624" s="423"/>
      <c r="G624" s="423"/>
      <c r="H624" s="423"/>
      <c r="I624" s="423"/>
      <c r="J624" s="423"/>
      <c r="K624" s="423"/>
      <c r="L624" s="423"/>
      <c r="M624" s="423"/>
      <c r="N624" s="423"/>
      <c r="O624" s="423"/>
      <c r="P624" s="95"/>
    </row>
    <row r="625" spans="2:17" ht="17.25" customHeight="1" thickBot="1" x14ac:dyDescent="0.4">
      <c r="B625" s="102"/>
      <c r="C625" s="424"/>
      <c r="D625" s="424"/>
      <c r="E625" s="424"/>
      <c r="F625" s="424"/>
      <c r="G625" s="424"/>
      <c r="H625" s="424"/>
      <c r="I625" s="424"/>
      <c r="J625" s="424"/>
      <c r="K625" s="424"/>
      <c r="L625" s="424"/>
      <c r="M625" s="424"/>
      <c r="N625" s="424"/>
      <c r="O625" s="424"/>
      <c r="P625" s="95"/>
      <c r="Q625" s="24"/>
    </row>
    <row r="626" spans="2:17" ht="17.25" customHeight="1" thickBot="1" x14ac:dyDescent="0.25">
      <c r="B626" s="102"/>
      <c r="C626" s="103"/>
      <c r="D626" s="103"/>
      <c r="E626" s="25"/>
      <c r="F626" s="26"/>
      <c r="G626" s="425" t="str">
        <f>$G$10</f>
        <v>2010 BILL</v>
      </c>
      <c r="H626" s="426"/>
      <c r="I626" s="427"/>
      <c r="J626" s="425" t="str">
        <f>$J$10</f>
        <v>2011 BILL</v>
      </c>
      <c r="K626" s="426"/>
      <c r="L626" s="427"/>
      <c r="M626" s="425" t="s">
        <v>43</v>
      </c>
      <c r="N626" s="426"/>
      <c r="O626" s="427"/>
      <c r="P626" s="95"/>
      <c r="Q626" s="24"/>
    </row>
    <row r="627" spans="2:17" ht="26.25" thickBot="1" x14ac:dyDescent="0.25">
      <c r="B627" s="102"/>
      <c r="C627" s="25"/>
      <c r="D627" s="25"/>
      <c r="E627" s="27"/>
      <c r="F627" s="28"/>
      <c r="G627" s="245" t="s">
        <v>37</v>
      </c>
      <c r="H627" s="246" t="s">
        <v>38</v>
      </c>
      <c r="I627" s="247" t="s">
        <v>39</v>
      </c>
      <c r="J627" s="248" t="s">
        <v>37</v>
      </c>
      <c r="K627" s="246" t="s">
        <v>38</v>
      </c>
      <c r="L627" s="247" t="s">
        <v>39</v>
      </c>
      <c r="M627" s="122" t="s">
        <v>44</v>
      </c>
      <c r="N627" s="123" t="s">
        <v>45</v>
      </c>
      <c r="O627" s="124" t="s">
        <v>46</v>
      </c>
      <c r="P627" s="95"/>
      <c r="Q627" s="24"/>
    </row>
    <row r="628" spans="2:17" ht="17.25" customHeight="1" thickBot="1" x14ac:dyDescent="0.25">
      <c r="B628" s="102"/>
      <c r="C628" s="421" t="s">
        <v>67</v>
      </c>
      <c r="D628" s="422"/>
      <c r="E628" s="25"/>
      <c r="F628" s="251" t="s">
        <v>41</v>
      </c>
      <c r="G628" s="249">
        <f>C629</f>
        <v>0</v>
      </c>
      <c r="H628" s="243">
        <f>'2012 Existing Rates'!$B$12</f>
        <v>2.16</v>
      </c>
      <c r="I628" s="141">
        <f>+G628*H628</f>
        <v>0</v>
      </c>
      <c r="J628" s="249">
        <f>G628</f>
        <v>0</v>
      </c>
      <c r="K628" s="243">
        <f>'Rate Schedule '!$E$31</f>
        <v>1.1073999999999999</v>
      </c>
      <c r="L628" s="141">
        <f>+J628*K628</f>
        <v>0</v>
      </c>
      <c r="M628" s="163">
        <f t="shared" ref="M628:M640" si="87">+L628-I628</f>
        <v>0</v>
      </c>
      <c r="N628" s="164" t="e">
        <f>+M628/I628</f>
        <v>#DIV/0!</v>
      </c>
      <c r="O628" s="156" t="e">
        <f>L628/L640</f>
        <v>#REF!</v>
      </c>
      <c r="P628" s="95"/>
      <c r="Q628" s="24"/>
    </row>
    <row r="629" spans="2:17" ht="17.25" customHeight="1" thickBot="1" x14ac:dyDescent="0.25">
      <c r="B629" s="102"/>
      <c r="C629" s="100"/>
      <c r="D629" s="101" t="s">
        <v>66</v>
      </c>
      <c r="E629" s="25"/>
      <c r="F629" s="252" t="s">
        <v>52</v>
      </c>
      <c r="G629" s="250">
        <f>C631</f>
        <v>0</v>
      </c>
      <c r="H629" s="126" t="e">
        <f>'2012 Existing Rates'!#REF!</f>
        <v>#REF!</v>
      </c>
      <c r="I629" s="141" t="e">
        <f>+G629*H629</f>
        <v>#REF!</v>
      </c>
      <c r="J629" s="132">
        <f>G629</f>
        <v>0</v>
      </c>
      <c r="K629" s="125">
        <f>'Rate Schedule '!$E$32</f>
        <v>6.6959</v>
      </c>
      <c r="L629" s="141">
        <f>+J629*K629</f>
        <v>0</v>
      </c>
      <c r="M629" s="163" t="e">
        <f t="shared" si="87"/>
        <v>#REF!</v>
      </c>
      <c r="N629" s="164" t="e">
        <f>+M629/I629</f>
        <v>#REF!</v>
      </c>
      <c r="O629" s="156" t="e">
        <f>L629/L640</f>
        <v>#REF!</v>
      </c>
      <c r="P629" s="95"/>
      <c r="Q629" s="24"/>
    </row>
    <row r="630" spans="2:17" ht="17.25" customHeight="1" thickBot="1" x14ac:dyDescent="0.25">
      <c r="B630" s="102"/>
      <c r="C630" s="185"/>
      <c r="D630" s="101" t="s">
        <v>12</v>
      </c>
      <c r="E630" s="25"/>
      <c r="F630" s="252" t="s">
        <v>119</v>
      </c>
      <c r="G630" s="212">
        <f>G629</f>
        <v>0</v>
      </c>
      <c r="H630" s="253" t="e">
        <f>'2012 Existing Rates'!#REF!</f>
        <v>#REF!</v>
      </c>
      <c r="I630" s="141" t="e">
        <f>+G630*H630</f>
        <v>#REF!</v>
      </c>
      <c r="J630" s="132">
        <f>G630</f>
        <v>0</v>
      </c>
      <c r="K630" s="125" t="e">
        <f>'Rate Schedule '!#REF!</f>
        <v>#REF!</v>
      </c>
      <c r="L630" s="141" t="e">
        <f>+J630*K630</f>
        <v>#REF!</v>
      </c>
      <c r="M630" s="163" t="e">
        <f t="shared" si="87"/>
        <v>#REF!</v>
      </c>
      <c r="N630" s="164" t="e">
        <f>+M630/I630</f>
        <v>#REF!</v>
      </c>
      <c r="O630" s="156" t="e">
        <f>L630/L640</f>
        <v>#REF!</v>
      </c>
      <c r="P630" s="95"/>
    </row>
    <row r="631" spans="2:17" ht="17.25" customHeight="1" thickBot="1" x14ac:dyDescent="0.25">
      <c r="B631" s="102"/>
      <c r="C631" s="185"/>
      <c r="D631" s="101" t="s">
        <v>13</v>
      </c>
      <c r="E631" s="25"/>
      <c r="F631" s="129" t="s">
        <v>120</v>
      </c>
      <c r="G631" s="132">
        <f>G630</f>
        <v>0</v>
      </c>
      <c r="H631" s="126"/>
      <c r="I631" s="141">
        <f>+G631*H631</f>
        <v>0</v>
      </c>
      <c r="J631" s="132">
        <f>G631</f>
        <v>0</v>
      </c>
      <c r="K631" s="125" t="e">
        <f>'Rate Schedule '!#REF!</f>
        <v>#REF!</v>
      </c>
      <c r="L631" s="145" t="e">
        <f>+J631*K631</f>
        <v>#REF!</v>
      </c>
      <c r="M631" s="163" t="e">
        <f t="shared" si="87"/>
        <v>#REF!</v>
      </c>
      <c r="N631" s="164">
        <v>0</v>
      </c>
      <c r="O631" s="156" t="e">
        <f>L631/L640</f>
        <v>#REF!</v>
      </c>
      <c r="P631" s="95"/>
    </row>
    <row r="632" spans="2:17" ht="17.25" customHeight="1" thickBot="1" x14ac:dyDescent="0.25">
      <c r="B632" s="102"/>
      <c r="C632" s="54"/>
      <c r="D632" s="55"/>
      <c r="E632" s="25"/>
      <c r="F632" s="130" t="s">
        <v>121</v>
      </c>
      <c r="G632" s="132">
        <f>G631</f>
        <v>0</v>
      </c>
      <c r="H632" s="126" t="e">
        <f>'2012 Existing Rates'!#REF!</f>
        <v>#REF!</v>
      </c>
      <c r="I632" s="145" t="e">
        <f>+G632*H632</f>
        <v>#REF!</v>
      </c>
      <c r="J632" s="132">
        <f>J631</f>
        <v>0</v>
      </c>
      <c r="K632" s="125" t="e">
        <f>'Rate Schedule '!#REF!</f>
        <v>#REF!</v>
      </c>
      <c r="L632" s="145" t="e">
        <f>+J632*K632</f>
        <v>#REF!</v>
      </c>
      <c r="M632" s="163" t="e">
        <f t="shared" si="87"/>
        <v>#REF!</v>
      </c>
      <c r="N632" s="164" t="e">
        <f t="shared" ref="N632:N640" si="88">+M632/I632</f>
        <v>#REF!</v>
      </c>
      <c r="O632" s="156" t="e">
        <f>L632/L640</f>
        <v>#REF!</v>
      </c>
      <c r="P632" s="95"/>
    </row>
    <row r="633" spans="2:17" ht="17.25" customHeight="1" thickBot="1" x14ac:dyDescent="0.25">
      <c r="B633" s="102"/>
      <c r="C633" s="25"/>
      <c r="D633" s="25"/>
      <c r="E633" s="25"/>
      <c r="F633" s="279" t="s">
        <v>116</v>
      </c>
      <c r="G633" s="417"/>
      <c r="H633" s="418"/>
      <c r="I633" s="280" t="e">
        <f>SUM(I628:I632)</f>
        <v>#REF!</v>
      </c>
      <c r="J633" s="417"/>
      <c r="K633" s="418"/>
      <c r="L633" s="280" t="e">
        <f>SUM(L628:L632)</f>
        <v>#REF!</v>
      </c>
      <c r="M633" s="283" t="e">
        <f t="shared" si="87"/>
        <v>#REF!</v>
      </c>
      <c r="N633" s="284" t="e">
        <f t="shared" si="88"/>
        <v>#REF!</v>
      </c>
      <c r="O633" s="285" t="e">
        <f>SUM(O628:O632)</f>
        <v>#REF!</v>
      </c>
      <c r="P633" s="95"/>
    </row>
    <row r="634" spans="2:17" ht="17.25" customHeight="1" thickBot="1" x14ac:dyDescent="0.25">
      <c r="B634" s="102"/>
      <c r="C634" s="25"/>
      <c r="D634" s="25"/>
      <c r="E634" s="25"/>
      <c r="F634" s="129" t="s">
        <v>122</v>
      </c>
      <c r="G634" s="233">
        <f>G632</f>
        <v>0</v>
      </c>
      <c r="H634" s="234" t="e">
        <f>#REF!</f>
        <v>#REF!</v>
      </c>
      <c r="I634" s="141" t="e">
        <f>+G634*H634</f>
        <v>#REF!</v>
      </c>
      <c r="J634" s="233">
        <f>G634</f>
        <v>0</v>
      </c>
      <c r="K634" s="234" t="e">
        <f>#REF!</f>
        <v>#REF!</v>
      </c>
      <c r="L634" s="141" t="e">
        <f>+J634*K634</f>
        <v>#REF!</v>
      </c>
      <c r="M634" s="235" t="e">
        <f t="shared" si="87"/>
        <v>#REF!</v>
      </c>
      <c r="N634" s="153" t="e">
        <f t="shared" si="88"/>
        <v>#REF!</v>
      </c>
      <c r="O634" s="156" t="e">
        <f>L634/L640</f>
        <v>#REF!</v>
      </c>
      <c r="P634" s="95"/>
    </row>
    <row r="635" spans="2:17" ht="17.25" customHeight="1" thickBot="1" x14ac:dyDescent="0.25">
      <c r="B635" s="102"/>
      <c r="C635" s="25"/>
      <c r="D635" s="25"/>
      <c r="E635" s="25"/>
      <c r="F635" s="279" t="s">
        <v>118</v>
      </c>
      <c r="G635" s="417"/>
      <c r="H635" s="418"/>
      <c r="I635" s="280" t="e">
        <f>I633+I634</f>
        <v>#REF!</v>
      </c>
      <c r="J635" s="417"/>
      <c r="K635" s="418"/>
      <c r="L635" s="280" t="e">
        <f>L633+L634</f>
        <v>#REF!</v>
      </c>
      <c r="M635" s="283" t="e">
        <f t="shared" si="87"/>
        <v>#REF!</v>
      </c>
      <c r="N635" s="284" t="e">
        <f t="shared" si="88"/>
        <v>#REF!</v>
      </c>
      <c r="O635" s="286" t="e">
        <f>L635/L640</f>
        <v>#REF!</v>
      </c>
      <c r="P635" s="95"/>
    </row>
    <row r="636" spans="2:17" ht="17.25" customHeight="1" x14ac:dyDescent="0.2">
      <c r="B636" s="102"/>
      <c r="C636" s="25"/>
      <c r="D636" s="25"/>
      <c r="E636" s="25"/>
      <c r="F636" s="127" t="s">
        <v>47</v>
      </c>
      <c r="G636" s="133" t="e">
        <f>C630*#REF!</f>
        <v>#REF!</v>
      </c>
      <c r="H636" s="134" t="e">
        <f>#REF!+#REF!</f>
        <v>#REF!</v>
      </c>
      <c r="I636" s="135" t="e">
        <f>+G636*H636</f>
        <v>#REF!</v>
      </c>
      <c r="J636" s="133" t="e">
        <f>C630*#REF!</f>
        <v>#REF!</v>
      </c>
      <c r="K636" s="134" t="e">
        <f>#REF!+#REF!</f>
        <v>#REF!</v>
      </c>
      <c r="L636" s="162" t="e">
        <f>+J636*K636</f>
        <v>#REF!</v>
      </c>
      <c r="M636" s="163" t="e">
        <f t="shared" si="87"/>
        <v>#REF!</v>
      </c>
      <c r="N636" s="164" t="e">
        <f t="shared" si="88"/>
        <v>#REF!</v>
      </c>
      <c r="O636" s="156" t="e">
        <f>L636/L640</f>
        <v>#REF!</v>
      </c>
      <c r="P636" s="95"/>
    </row>
    <row r="637" spans="2:17" ht="17.25" customHeight="1" thickBot="1" x14ac:dyDescent="0.25">
      <c r="B637" s="102"/>
      <c r="C637" s="25"/>
      <c r="D637" s="25"/>
      <c r="E637" s="25"/>
      <c r="F637" s="127" t="s">
        <v>48</v>
      </c>
      <c r="G637" s="133" t="e">
        <f>G636</f>
        <v>#REF!</v>
      </c>
      <c r="H637" s="134" t="e">
        <f>#REF!</f>
        <v>#REF!</v>
      </c>
      <c r="I637" s="135" t="e">
        <f>+G637*H637</f>
        <v>#REF!</v>
      </c>
      <c r="J637" s="133" t="e">
        <f>J636</f>
        <v>#REF!</v>
      </c>
      <c r="K637" s="134" t="e">
        <f>#REF!</f>
        <v>#REF!</v>
      </c>
      <c r="L637" s="162" t="e">
        <f>+J637*K637</f>
        <v>#REF!</v>
      </c>
      <c r="M637" s="163" t="e">
        <f t="shared" si="87"/>
        <v>#REF!</v>
      </c>
      <c r="N637" s="164" t="e">
        <f t="shared" si="88"/>
        <v>#REF!</v>
      </c>
      <c r="O637" s="156" t="e">
        <f>L637/L640</f>
        <v>#REF!</v>
      </c>
      <c r="P637" s="95"/>
    </row>
    <row r="638" spans="2:17" ht="17.25" customHeight="1" thickBot="1" x14ac:dyDescent="0.25">
      <c r="B638" s="102"/>
      <c r="C638" s="25"/>
      <c r="D638" s="25"/>
      <c r="E638" s="25"/>
      <c r="F638" s="279" t="s">
        <v>97</v>
      </c>
      <c r="G638" s="417"/>
      <c r="H638" s="418"/>
      <c r="I638" s="280" t="e">
        <f>SUM(I635:I637)</f>
        <v>#REF!</v>
      </c>
      <c r="J638" s="417"/>
      <c r="K638" s="418"/>
      <c r="L638" s="280" t="e">
        <f>SUM(L635:L637)</f>
        <v>#REF!</v>
      </c>
      <c r="M638" s="280" t="e">
        <f t="shared" si="87"/>
        <v>#REF!</v>
      </c>
      <c r="N638" s="284" t="e">
        <f t="shared" si="88"/>
        <v>#REF!</v>
      </c>
      <c r="O638" s="286" t="e">
        <f>L638/L640</f>
        <v>#REF!</v>
      </c>
      <c r="P638" s="95"/>
    </row>
    <row r="639" spans="2:17" ht="17.25" customHeight="1" thickBot="1" x14ac:dyDescent="0.25">
      <c r="B639" s="102"/>
      <c r="C639" s="25"/>
      <c r="D639" s="25"/>
      <c r="E639" s="25"/>
      <c r="F639" s="188" t="s">
        <v>170</v>
      </c>
      <c r="G639" s="189"/>
      <c r="H639" s="193">
        <v>0.13</v>
      </c>
      <c r="I639" s="190" t="e">
        <f>I638*H639</f>
        <v>#REF!</v>
      </c>
      <c r="J639" s="189"/>
      <c r="K639" s="193">
        <v>0.13</v>
      </c>
      <c r="L639" s="191" t="e">
        <f>L638*K639</f>
        <v>#REF!</v>
      </c>
      <c r="M639" s="160" t="e">
        <f t="shared" si="87"/>
        <v>#REF!</v>
      </c>
      <c r="N639" s="161" t="e">
        <f t="shared" si="88"/>
        <v>#REF!</v>
      </c>
      <c r="O639" s="166" t="e">
        <f>L639/L640</f>
        <v>#REF!</v>
      </c>
      <c r="P639" s="95"/>
    </row>
    <row r="640" spans="2:17" ht="17.25" customHeight="1" thickBot="1" x14ac:dyDescent="0.25">
      <c r="B640" s="102"/>
      <c r="C640" s="25"/>
      <c r="D640" s="25"/>
      <c r="E640" s="29"/>
      <c r="F640" s="294" t="s">
        <v>49</v>
      </c>
      <c r="G640" s="432"/>
      <c r="H640" s="433"/>
      <c r="I640" s="295" t="e">
        <f>SUM(I638:I639)</f>
        <v>#REF!</v>
      </c>
      <c r="J640" s="432"/>
      <c r="K640" s="433"/>
      <c r="L640" s="295" t="e">
        <f>L638+L639</f>
        <v>#REF!</v>
      </c>
      <c r="M640" s="295" t="e">
        <f t="shared" si="87"/>
        <v>#REF!</v>
      </c>
      <c r="N640" s="296" t="e">
        <f t="shared" si="88"/>
        <v>#REF!</v>
      </c>
      <c r="O640" s="297" t="e">
        <f>O638+O639</f>
        <v>#REF!</v>
      </c>
      <c r="P640" s="95"/>
    </row>
    <row r="641" spans="2:17" ht="17.25" customHeight="1" thickBot="1" x14ac:dyDescent="0.25">
      <c r="B641" s="96"/>
      <c r="C641" s="108"/>
      <c r="D641" s="108"/>
      <c r="E641" s="108"/>
      <c r="F641" s="176"/>
      <c r="G641" s="177"/>
      <c r="H641" s="178"/>
      <c r="I641" s="179"/>
      <c r="J641" s="177"/>
      <c r="K641" s="180"/>
      <c r="L641" s="179"/>
      <c r="M641" s="254"/>
      <c r="N641" s="181"/>
      <c r="O641" s="182"/>
      <c r="P641" s="97"/>
    </row>
    <row r="642" spans="2:17" ht="17.25" customHeight="1" thickBot="1" x14ac:dyDescent="0.25"/>
    <row r="643" spans="2:17" ht="17.25" customHeight="1" x14ac:dyDescent="0.35">
      <c r="B643" s="104"/>
      <c r="C643" s="420"/>
      <c r="D643" s="420"/>
      <c r="E643" s="420"/>
      <c r="F643" s="420"/>
      <c r="G643" s="420"/>
      <c r="H643" s="420"/>
      <c r="I643" s="420"/>
      <c r="J643" s="420"/>
      <c r="K643" s="420"/>
      <c r="L643" s="420"/>
      <c r="M643" s="420"/>
      <c r="N643" s="420"/>
      <c r="O643" s="420"/>
      <c r="P643" s="94"/>
    </row>
    <row r="644" spans="2:17" ht="23.25" x14ac:dyDescent="0.35">
      <c r="B644" s="102"/>
      <c r="C644" s="423" t="s">
        <v>53</v>
      </c>
      <c r="D644" s="423"/>
      <c r="E644" s="423"/>
      <c r="F644" s="423"/>
      <c r="G644" s="423"/>
      <c r="H644" s="423"/>
      <c r="I644" s="423"/>
      <c r="J644" s="423"/>
      <c r="K644" s="423"/>
      <c r="L644" s="423"/>
      <c r="M644" s="423"/>
      <c r="N644" s="423"/>
      <c r="O644" s="423"/>
      <c r="P644" s="95"/>
    </row>
    <row r="645" spans="2:17" ht="17.25" customHeight="1" thickBot="1" x14ac:dyDescent="0.4">
      <c r="B645" s="102"/>
      <c r="C645" s="424"/>
      <c r="D645" s="424"/>
      <c r="E645" s="424"/>
      <c r="F645" s="424"/>
      <c r="G645" s="424"/>
      <c r="H645" s="424"/>
      <c r="I645" s="424"/>
      <c r="J645" s="424"/>
      <c r="K645" s="424"/>
      <c r="L645" s="424"/>
      <c r="M645" s="424"/>
      <c r="N645" s="424"/>
      <c r="O645" s="424"/>
      <c r="P645" s="95"/>
      <c r="Q645" s="24"/>
    </row>
    <row r="646" spans="2:17" ht="17.25" customHeight="1" thickBot="1" x14ac:dyDescent="0.25">
      <c r="B646" s="102"/>
      <c r="C646" s="103"/>
      <c r="D646" s="103"/>
      <c r="E646" s="25"/>
      <c r="F646" s="26"/>
      <c r="G646" s="425" t="str">
        <f>$G$10</f>
        <v>2010 BILL</v>
      </c>
      <c r="H646" s="426"/>
      <c r="I646" s="427"/>
      <c r="J646" s="425" t="str">
        <f>$J$10</f>
        <v>2011 BILL</v>
      </c>
      <c r="K646" s="426"/>
      <c r="L646" s="427"/>
      <c r="M646" s="425" t="s">
        <v>43</v>
      </c>
      <c r="N646" s="426"/>
      <c r="O646" s="427"/>
      <c r="P646" s="95"/>
      <c r="Q646" s="24"/>
    </row>
    <row r="647" spans="2:17" ht="26.25" thickBot="1" x14ac:dyDescent="0.25">
      <c r="B647" s="102"/>
      <c r="C647" s="25"/>
      <c r="D647" s="25"/>
      <c r="E647" s="27"/>
      <c r="F647" s="28"/>
      <c r="G647" s="245" t="s">
        <v>37</v>
      </c>
      <c r="H647" s="246" t="s">
        <v>38</v>
      </c>
      <c r="I647" s="247" t="s">
        <v>39</v>
      </c>
      <c r="J647" s="248" t="s">
        <v>37</v>
      </c>
      <c r="K647" s="246" t="s">
        <v>38</v>
      </c>
      <c r="L647" s="247" t="s">
        <v>39</v>
      </c>
      <c r="M647" s="122" t="s">
        <v>44</v>
      </c>
      <c r="N647" s="123" t="s">
        <v>45</v>
      </c>
      <c r="O647" s="124" t="s">
        <v>46</v>
      </c>
      <c r="P647" s="95"/>
      <c r="Q647" s="24"/>
    </row>
    <row r="648" spans="2:17" ht="17.25" customHeight="1" thickBot="1" x14ac:dyDescent="0.25">
      <c r="B648" s="102"/>
      <c r="C648" s="421" t="s">
        <v>67</v>
      </c>
      <c r="D648" s="422"/>
      <c r="E648" s="25"/>
      <c r="F648" s="251" t="s">
        <v>41</v>
      </c>
      <c r="G648" s="249">
        <f>C649</f>
        <v>1</v>
      </c>
      <c r="H648" s="243">
        <f>'2012 Existing Rates'!$B$11</f>
        <v>6.4</v>
      </c>
      <c r="I648" s="141">
        <f>+G648*H648</f>
        <v>6.4</v>
      </c>
      <c r="J648" s="249">
        <f>G648</f>
        <v>1</v>
      </c>
      <c r="K648" s="243">
        <f>'Rate Schedule '!$E$27</f>
        <v>6.6554000000000002</v>
      </c>
      <c r="L648" s="141">
        <f>+J648*K648</f>
        <v>6.6554000000000002</v>
      </c>
      <c r="M648" s="163">
        <f>+L648-I648</f>
        <v>0.25539999999999985</v>
      </c>
      <c r="N648" s="164">
        <f t="shared" ref="N648:N660" si="89">+M648/I648</f>
        <v>3.9906249999999976E-2</v>
      </c>
      <c r="O648" s="156" t="e">
        <f>L648/L660</f>
        <v>#REF!</v>
      </c>
      <c r="P648" s="95"/>
      <c r="Q648" s="24"/>
    </row>
    <row r="649" spans="2:17" ht="17.25" customHeight="1" thickBot="1" x14ac:dyDescent="0.25">
      <c r="B649" s="102"/>
      <c r="C649" s="100">
        <v>1</v>
      </c>
      <c r="D649" s="101" t="s">
        <v>66</v>
      </c>
      <c r="E649" s="25"/>
      <c r="F649" s="252" t="s">
        <v>52</v>
      </c>
      <c r="G649" s="250">
        <f>C651</f>
        <v>1</v>
      </c>
      <c r="H649" s="126" t="e">
        <f>'2012 Existing Rates'!#REF!</f>
        <v>#REF!</v>
      </c>
      <c r="I649" s="141" t="e">
        <f>+G649*H649</f>
        <v>#REF!</v>
      </c>
      <c r="J649" s="132">
        <f>G649</f>
        <v>1</v>
      </c>
      <c r="K649" s="125">
        <f>'Rate Schedule '!$E$28</f>
        <v>5.3399000000000001</v>
      </c>
      <c r="L649" s="141">
        <f>+J649*K649</f>
        <v>5.3399000000000001</v>
      </c>
      <c r="M649" s="163" t="e">
        <f>+L649-I649</f>
        <v>#REF!</v>
      </c>
      <c r="N649" s="164" t="e">
        <f t="shared" si="89"/>
        <v>#REF!</v>
      </c>
      <c r="O649" s="156" t="e">
        <f>L649/L660</f>
        <v>#REF!</v>
      </c>
      <c r="P649" s="95"/>
      <c r="Q649" s="24"/>
    </row>
    <row r="650" spans="2:17" ht="17.25" customHeight="1" thickBot="1" x14ac:dyDescent="0.25">
      <c r="B650" s="102"/>
      <c r="C650" s="100">
        <v>50</v>
      </c>
      <c r="D650" s="101" t="s">
        <v>12</v>
      </c>
      <c r="E650" s="25"/>
      <c r="F650" s="252" t="s">
        <v>119</v>
      </c>
      <c r="G650" s="212">
        <f>G649</f>
        <v>1</v>
      </c>
      <c r="H650" s="253" t="e">
        <f>'2012 Existing Rates'!#REF!</f>
        <v>#REF!</v>
      </c>
      <c r="I650" s="141" t="e">
        <f>+G650*H650</f>
        <v>#REF!</v>
      </c>
      <c r="J650" s="132">
        <f>G650</f>
        <v>1</v>
      </c>
      <c r="K650" s="125" t="e">
        <f>'Rate Schedule '!#REF!</f>
        <v>#REF!</v>
      </c>
      <c r="L650" s="141" t="e">
        <f>+J650*K650</f>
        <v>#REF!</v>
      </c>
      <c r="M650" s="163" t="e">
        <f>+L650-I650</f>
        <v>#REF!</v>
      </c>
      <c r="N650" s="164" t="e">
        <f t="shared" si="89"/>
        <v>#REF!</v>
      </c>
      <c r="O650" s="156" t="e">
        <f>L650/L660</f>
        <v>#REF!</v>
      </c>
      <c r="P650" s="95"/>
    </row>
    <row r="651" spans="2:17" ht="17.25" customHeight="1" thickBot="1" x14ac:dyDescent="0.25">
      <c r="B651" s="102"/>
      <c r="C651" s="100">
        <v>1</v>
      </c>
      <c r="D651" s="101" t="s">
        <v>13</v>
      </c>
      <c r="E651" s="25"/>
      <c r="F651" s="129" t="s">
        <v>120</v>
      </c>
      <c r="G651" s="132">
        <f>G650</f>
        <v>1</v>
      </c>
      <c r="H651" s="126"/>
      <c r="I651" s="141">
        <f>+G651*H651</f>
        <v>0</v>
      </c>
      <c r="J651" s="132">
        <f>G651</f>
        <v>1</v>
      </c>
      <c r="K651" s="125" t="e">
        <f>'Rate Schedule '!#REF!</f>
        <v>#REF!</v>
      </c>
      <c r="L651" s="145" t="e">
        <f>+J651*K651</f>
        <v>#REF!</v>
      </c>
      <c r="M651" s="163" t="e">
        <f>+L651-I651</f>
        <v>#REF!</v>
      </c>
      <c r="N651" s="164">
        <v>0</v>
      </c>
      <c r="O651" s="156" t="e">
        <f>L651/L660</f>
        <v>#REF!</v>
      </c>
      <c r="P651" s="95"/>
    </row>
    <row r="652" spans="2:17" ht="17.25" customHeight="1" thickBot="1" x14ac:dyDescent="0.25">
      <c r="B652" s="102"/>
      <c r="C652" s="54"/>
      <c r="D652" s="55"/>
      <c r="E652" s="25"/>
      <c r="F652" s="130" t="s">
        <v>121</v>
      </c>
      <c r="G652" s="132">
        <f>G651</f>
        <v>1</v>
      </c>
      <c r="H652" s="126" t="e">
        <f>'2012 Existing Rates'!#REF!</f>
        <v>#REF!</v>
      </c>
      <c r="I652" s="145" t="e">
        <f>+G652*H652</f>
        <v>#REF!</v>
      </c>
      <c r="J652" s="132">
        <f>J651</f>
        <v>1</v>
      </c>
      <c r="K652" s="125" t="e">
        <f>'Rate Schedule '!#REF!</f>
        <v>#REF!</v>
      </c>
      <c r="L652" s="145" t="e">
        <f>+J652*K652</f>
        <v>#REF!</v>
      </c>
      <c r="M652" s="163" t="e">
        <f>+L652-I652</f>
        <v>#REF!</v>
      </c>
      <c r="N652" s="164" t="e">
        <f t="shared" si="89"/>
        <v>#REF!</v>
      </c>
      <c r="O652" s="156" t="e">
        <f>L652/L660</f>
        <v>#REF!</v>
      </c>
      <c r="P652" s="95"/>
    </row>
    <row r="653" spans="2:17" ht="17.25" customHeight="1" thickBot="1" x14ac:dyDescent="0.25">
      <c r="B653" s="102"/>
      <c r="C653" s="25"/>
      <c r="D653" s="25"/>
      <c r="E653" s="25"/>
      <c r="F653" s="279" t="s">
        <v>116</v>
      </c>
      <c r="G653" s="417"/>
      <c r="H653" s="418"/>
      <c r="I653" s="280" t="e">
        <f>SUM(I648:I652)</f>
        <v>#REF!</v>
      </c>
      <c r="J653" s="417"/>
      <c r="K653" s="418"/>
      <c r="L653" s="280" t="e">
        <f>SUM(L648:L652)</f>
        <v>#REF!</v>
      </c>
      <c r="M653" s="283" t="e">
        <f>SUM(M648:M652)</f>
        <v>#REF!</v>
      </c>
      <c r="N653" s="284" t="e">
        <f t="shared" si="89"/>
        <v>#REF!</v>
      </c>
      <c r="O653" s="285" t="e">
        <f>SUM(O648:O652)</f>
        <v>#REF!</v>
      </c>
      <c r="P653" s="95"/>
    </row>
    <row r="654" spans="2:17" ht="17.25" customHeight="1" thickBot="1" x14ac:dyDescent="0.25">
      <c r="B654" s="102"/>
      <c r="C654" s="25"/>
      <c r="D654" s="25"/>
      <c r="E654" s="25"/>
      <c r="F654" s="129" t="s">
        <v>122</v>
      </c>
      <c r="G654" s="233">
        <f>G652</f>
        <v>1</v>
      </c>
      <c r="H654" s="234" t="e">
        <f>#REF!</f>
        <v>#REF!</v>
      </c>
      <c r="I654" s="141" t="e">
        <f>+G654*H654</f>
        <v>#REF!</v>
      </c>
      <c r="J654" s="233">
        <f>G654</f>
        <v>1</v>
      </c>
      <c r="K654" s="234" t="e">
        <f>#REF!</f>
        <v>#REF!</v>
      </c>
      <c r="L654" s="141" t="e">
        <f>+J654*K654</f>
        <v>#REF!</v>
      </c>
      <c r="M654" s="235" t="e">
        <f t="shared" ref="M654:M660" si="90">+L654-I654</f>
        <v>#REF!</v>
      </c>
      <c r="N654" s="153" t="e">
        <f t="shared" si="89"/>
        <v>#REF!</v>
      </c>
      <c r="O654" s="156" t="e">
        <f>L654/L660</f>
        <v>#REF!</v>
      </c>
      <c r="P654" s="95"/>
    </row>
    <row r="655" spans="2:17" ht="17.25" customHeight="1" thickBot="1" x14ac:dyDescent="0.25">
      <c r="B655" s="102"/>
      <c r="C655" s="25"/>
      <c r="D655" s="25"/>
      <c r="E655" s="25"/>
      <c r="F655" s="279" t="s">
        <v>118</v>
      </c>
      <c r="G655" s="417"/>
      <c r="H655" s="418"/>
      <c r="I655" s="280" t="e">
        <f>I653+I654</f>
        <v>#REF!</v>
      </c>
      <c r="J655" s="417"/>
      <c r="K655" s="418"/>
      <c r="L655" s="280" t="e">
        <f>L653+L654</f>
        <v>#REF!</v>
      </c>
      <c r="M655" s="283" t="e">
        <f t="shared" si="90"/>
        <v>#REF!</v>
      </c>
      <c r="N655" s="284" t="e">
        <f t="shared" si="89"/>
        <v>#REF!</v>
      </c>
      <c r="O655" s="286" t="e">
        <f>L655/L660</f>
        <v>#REF!</v>
      </c>
      <c r="P655" s="95"/>
    </row>
    <row r="656" spans="2:17" ht="17.25" customHeight="1" x14ac:dyDescent="0.2">
      <c r="B656" s="102"/>
      <c r="C656" s="25"/>
      <c r="D656" s="25"/>
      <c r="E656" s="25"/>
      <c r="F656" s="127" t="s">
        <v>47</v>
      </c>
      <c r="G656" s="133" t="e">
        <f>C650*#REF!</f>
        <v>#REF!</v>
      </c>
      <c r="H656" s="134" t="e">
        <f>#REF!+#REF!</f>
        <v>#REF!</v>
      </c>
      <c r="I656" s="135" t="e">
        <f>+G656*H656</f>
        <v>#REF!</v>
      </c>
      <c r="J656" s="133" t="e">
        <f>C650*#REF!</f>
        <v>#REF!</v>
      </c>
      <c r="K656" s="134" t="e">
        <f>#REF!+#REF!</f>
        <v>#REF!</v>
      </c>
      <c r="L656" s="162" t="e">
        <f>+J656*K656</f>
        <v>#REF!</v>
      </c>
      <c r="M656" s="163" t="e">
        <f t="shared" si="90"/>
        <v>#REF!</v>
      </c>
      <c r="N656" s="164" t="e">
        <f t="shared" si="89"/>
        <v>#REF!</v>
      </c>
      <c r="O656" s="156" t="e">
        <f>L656/L660</f>
        <v>#REF!</v>
      </c>
      <c r="P656" s="95"/>
    </row>
    <row r="657" spans="2:17" ht="17.25" customHeight="1" thickBot="1" x14ac:dyDescent="0.25">
      <c r="B657" s="102"/>
      <c r="C657" s="25"/>
      <c r="D657" s="25"/>
      <c r="E657" s="25"/>
      <c r="F657" s="127" t="s">
        <v>48</v>
      </c>
      <c r="G657" s="133" t="e">
        <f>G656</f>
        <v>#REF!</v>
      </c>
      <c r="H657" s="134" t="e">
        <f>#REF!</f>
        <v>#REF!</v>
      </c>
      <c r="I657" s="135" t="e">
        <f>+G657*H657</f>
        <v>#REF!</v>
      </c>
      <c r="J657" s="133" t="e">
        <f>J656</f>
        <v>#REF!</v>
      </c>
      <c r="K657" s="134" t="e">
        <f>#REF!</f>
        <v>#REF!</v>
      </c>
      <c r="L657" s="162" t="e">
        <f>+J657*K657</f>
        <v>#REF!</v>
      </c>
      <c r="M657" s="163" t="e">
        <f t="shared" si="90"/>
        <v>#REF!</v>
      </c>
      <c r="N657" s="164" t="e">
        <f t="shared" si="89"/>
        <v>#REF!</v>
      </c>
      <c r="O657" s="156" t="e">
        <f>L657/L660</f>
        <v>#REF!</v>
      </c>
      <c r="P657" s="95"/>
    </row>
    <row r="658" spans="2:17" ht="17.25" customHeight="1" thickBot="1" x14ac:dyDescent="0.25">
      <c r="B658" s="102"/>
      <c r="C658" s="25"/>
      <c r="D658" s="25"/>
      <c r="E658" s="25"/>
      <c r="F658" s="279" t="s">
        <v>97</v>
      </c>
      <c r="G658" s="417"/>
      <c r="H658" s="418"/>
      <c r="I658" s="280" t="e">
        <f>SUM(I655:I657)</f>
        <v>#REF!</v>
      </c>
      <c r="J658" s="417"/>
      <c r="K658" s="418"/>
      <c r="L658" s="280" t="e">
        <f>SUM(L655:L657)</f>
        <v>#REF!</v>
      </c>
      <c r="M658" s="280" t="e">
        <f t="shared" si="90"/>
        <v>#REF!</v>
      </c>
      <c r="N658" s="284" t="e">
        <f t="shared" si="89"/>
        <v>#REF!</v>
      </c>
      <c r="O658" s="286" t="e">
        <f>L658/L660</f>
        <v>#REF!</v>
      </c>
      <c r="P658" s="95"/>
    </row>
    <row r="659" spans="2:17" ht="17.25" customHeight="1" thickBot="1" x14ac:dyDescent="0.25">
      <c r="B659" s="102"/>
      <c r="C659" s="25"/>
      <c r="D659" s="25"/>
      <c r="E659" s="25"/>
      <c r="F659" s="188" t="s">
        <v>170</v>
      </c>
      <c r="G659" s="189"/>
      <c r="H659" s="193">
        <v>0.13</v>
      </c>
      <c r="I659" s="190" t="e">
        <f>I658*H659</f>
        <v>#REF!</v>
      </c>
      <c r="J659" s="189"/>
      <c r="K659" s="193">
        <v>0.13</v>
      </c>
      <c r="L659" s="191" t="e">
        <f>L658*K659</f>
        <v>#REF!</v>
      </c>
      <c r="M659" s="160" t="e">
        <f t="shared" si="90"/>
        <v>#REF!</v>
      </c>
      <c r="N659" s="161" t="e">
        <f t="shared" si="89"/>
        <v>#REF!</v>
      </c>
      <c r="O659" s="166" t="e">
        <f>L659/L660</f>
        <v>#REF!</v>
      </c>
      <c r="P659" s="95"/>
    </row>
    <row r="660" spans="2:17" ht="17.25" customHeight="1" thickBot="1" x14ac:dyDescent="0.25">
      <c r="B660" s="102"/>
      <c r="C660" s="25"/>
      <c r="D660" s="25"/>
      <c r="E660" s="29"/>
      <c r="F660" s="294" t="s">
        <v>49</v>
      </c>
      <c r="G660" s="432"/>
      <c r="H660" s="433"/>
      <c r="I660" s="295" t="e">
        <f>I658+I659</f>
        <v>#REF!</v>
      </c>
      <c r="J660" s="432"/>
      <c r="K660" s="433"/>
      <c r="L660" s="295" t="e">
        <f>L658+L659</f>
        <v>#REF!</v>
      </c>
      <c r="M660" s="295" t="e">
        <f t="shared" si="90"/>
        <v>#REF!</v>
      </c>
      <c r="N660" s="296" t="e">
        <f t="shared" si="89"/>
        <v>#REF!</v>
      </c>
      <c r="O660" s="297" t="e">
        <f>O658+O659</f>
        <v>#REF!</v>
      </c>
      <c r="P660" s="95"/>
    </row>
    <row r="661" spans="2:17" ht="17.25" customHeight="1" thickBot="1" x14ac:dyDescent="0.25">
      <c r="B661" s="96"/>
      <c r="C661" s="108"/>
      <c r="D661" s="108"/>
      <c r="E661" s="108"/>
      <c r="F661" s="176"/>
      <c r="G661" s="177"/>
      <c r="H661" s="178"/>
      <c r="I661" s="179"/>
      <c r="J661" s="177"/>
      <c r="K661" s="180"/>
      <c r="L661" s="179"/>
      <c r="M661" s="254"/>
      <c r="N661" s="181"/>
      <c r="O661" s="182"/>
      <c r="P661" s="97"/>
    </row>
    <row r="662" spans="2:17" ht="17.25" customHeight="1" thickBot="1" x14ac:dyDescent="0.25"/>
    <row r="663" spans="2:17" ht="17.25" customHeight="1" x14ac:dyDescent="0.35">
      <c r="B663" s="104"/>
      <c r="C663" s="420"/>
      <c r="D663" s="420"/>
      <c r="E663" s="420"/>
      <c r="F663" s="420"/>
      <c r="G663" s="420"/>
      <c r="H663" s="420"/>
      <c r="I663" s="420"/>
      <c r="J663" s="420"/>
      <c r="K663" s="420"/>
      <c r="L663" s="420"/>
      <c r="M663" s="420"/>
      <c r="N663" s="420"/>
      <c r="O663" s="420"/>
      <c r="P663" s="94"/>
    </row>
    <row r="664" spans="2:17" ht="23.25" x14ac:dyDescent="0.35">
      <c r="B664" s="102"/>
      <c r="C664" s="423" t="s">
        <v>53</v>
      </c>
      <c r="D664" s="423"/>
      <c r="E664" s="423"/>
      <c r="F664" s="423"/>
      <c r="G664" s="423"/>
      <c r="H664" s="423"/>
      <c r="I664" s="423"/>
      <c r="J664" s="423"/>
      <c r="K664" s="423"/>
      <c r="L664" s="423"/>
      <c r="M664" s="423"/>
      <c r="N664" s="423"/>
      <c r="O664" s="423"/>
      <c r="P664" s="95"/>
    </row>
    <row r="665" spans="2:17" ht="17.25" customHeight="1" thickBot="1" x14ac:dyDescent="0.4">
      <c r="B665" s="102"/>
      <c r="C665" s="424"/>
      <c r="D665" s="424"/>
      <c r="E665" s="424"/>
      <c r="F665" s="424"/>
      <c r="G665" s="424"/>
      <c r="H665" s="424"/>
      <c r="I665" s="424"/>
      <c r="J665" s="424"/>
      <c r="K665" s="424"/>
      <c r="L665" s="424"/>
      <c r="M665" s="424"/>
      <c r="N665" s="424"/>
      <c r="O665" s="424"/>
      <c r="P665" s="95"/>
      <c r="Q665" s="24"/>
    </row>
    <row r="666" spans="2:17" ht="17.25" customHeight="1" thickBot="1" x14ac:dyDescent="0.25">
      <c r="B666" s="102"/>
      <c r="C666" s="103"/>
      <c r="D666" s="103"/>
      <c r="E666" s="25"/>
      <c r="F666" s="26"/>
      <c r="G666" s="425" t="str">
        <f>$G$10</f>
        <v>2010 BILL</v>
      </c>
      <c r="H666" s="426"/>
      <c r="I666" s="427"/>
      <c r="J666" s="425" t="str">
        <f>$J$10</f>
        <v>2011 BILL</v>
      </c>
      <c r="K666" s="426"/>
      <c r="L666" s="427"/>
      <c r="M666" s="425" t="s">
        <v>43</v>
      </c>
      <c r="N666" s="426"/>
      <c r="O666" s="427"/>
      <c r="P666" s="95"/>
      <c r="Q666" s="24"/>
    </row>
    <row r="667" spans="2:17" ht="26.25" thickBot="1" x14ac:dyDescent="0.25">
      <c r="B667" s="102"/>
      <c r="C667" s="25"/>
      <c r="D667" s="25"/>
      <c r="E667" s="27"/>
      <c r="F667" s="28"/>
      <c r="G667" s="245" t="s">
        <v>37</v>
      </c>
      <c r="H667" s="246" t="s">
        <v>38</v>
      </c>
      <c r="I667" s="247" t="s">
        <v>39</v>
      </c>
      <c r="J667" s="248" t="s">
        <v>37</v>
      </c>
      <c r="K667" s="246" t="s">
        <v>38</v>
      </c>
      <c r="L667" s="247" t="s">
        <v>39</v>
      </c>
      <c r="M667" s="122" t="s">
        <v>44</v>
      </c>
      <c r="N667" s="123" t="s">
        <v>45</v>
      </c>
      <c r="O667" s="124" t="s">
        <v>46</v>
      </c>
      <c r="P667" s="95"/>
      <c r="Q667" s="24"/>
    </row>
    <row r="668" spans="2:17" ht="17.25" customHeight="1" thickBot="1" x14ac:dyDescent="0.25">
      <c r="B668" s="102"/>
      <c r="C668" s="421" t="s">
        <v>67</v>
      </c>
      <c r="D668" s="422"/>
      <c r="E668" s="25"/>
      <c r="F668" s="251" t="s">
        <v>41</v>
      </c>
      <c r="G668" s="249">
        <f>C669</f>
        <v>0</v>
      </c>
      <c r="H668" s="243">
        <f>'2012 Existing Rates'!$B$11</f>
        <v>6.4</v>
      </c>
      <c r="I668" s="141">
        <f>+G668*H668</f>
        <v>0</v>
      </c>
      <c r="J668" s="249">
        <f>G668</f>
        <v>0</v>
      </c>
      <c r="K668" s="243">
        <f>'Rate Schedule '!$E$27</f>
        <v>6.6554000000000002</v>
      </c>
      <c r="L668" s="141">
        <f>+J668*K668</f>
        <v>0</v>
      </c>
      <c r="M668" s="163">
        <f>+L668-I668</f>
        <v>0</v>
      </c>
      <c r="N668" s="164" t="e">
        <f>+M668/I668</f>
        <v>#DIV/0!</v>
      </c>
      <c r="O668" s="156" t="e">
        <f>L668/L680</f>
        <v>#REF!</v>
      </c>
      <c r="P668" s="95"/>
      <c r="Q668" s="24"/>
    </row>
    <row r="669" spans="2:17" ht="17.25" customHeight="1" thickBot="1" x14ac:dyDescent="0.25">
      <c r="B669" s="102"/>
      <c r="C669" s="100"/>
      <c r="D669" s="101" t="s">
        <v>66</v>
      </c>
      <c r="E669" s="25"/>
      <c r="F669" s="252" t="s">
        <v>52</v>
      </c>
      <c r="G669" s="250">
        <f>C671</f>
        <v>0</v>
      </c>
      <c r="H669" s="126" t="e">
        <f>'2012 Existing Rates'!#REF!</f>
        <v>#REF!</v>
      </c>
      <c r="I669" s="141" t="e">
        <f>+G669*H669</f>
        <v>#REF!</v>
      </c>
      <c r="J669" s="132">
        <f>G669</f>
        <v>0</v>
      </c>
      <c r="K669" s="125">
        <f>'Rate Schedule '!$E$28</f>
        <v>5.3399000000000001</v>
      </c>
      <c r="L669" s="141">
        <f>+J669*K669</f>
        <v>0</v>
      </c>
      <c r="M669" s="163" t="e">
        <f>+L669-I669</f>
        <v>#REF!</v>
      </c>
      <c r="N669" s="164" t="e">
        <f>+M669/I669</f>
        <v>#REF!</v>
      </c>
      <c r="O669" s="156" t="e">
        <f>L669/L680</f>
        <v>#REF!</v>
      </c>
      <c r="P669" s="95"/>
      <c r="Q669" s="24"/>
    </row>
    <row r="670" spans="2:17" ht="17.25" customHeight="1" thickBot="1" x14ac:dyDescent="0.25">
      <c r="B670" s="102"/>
      <c r="C670" s="185"/>
      <c r="D670" s="101" t="s">
        <v>12</v>
      </c>
      <c r="E670" s="25"/>
      <c r="F670" s="252" t="s">
        <v>119</v>
      </c>
      <c r="G670" s="212">
        <f>G669</f>
        <v>0</v>
      </c>
      <c r="H670" s="253" t="e">
        <f>'2012 Existing Rates'!#REF!</f>
        <v>#REF!</v>
      </c>
      <c r="I670" s="141" t="e">
        <f>+G670*H670</f>
        <v>#REF!</v>
      </c>
      <c r="J670" s="132">
        <f>G670</f>
        <v>0</v>
      </c>
      <c r="K670" s="125" t="e">
        <f>'Rate Schedule '!#REF!</f>
        <v>#REF!</v>
      </c>
      <c r="L670" s="141" t="e">
        <f>+J670*K670</f>
        <v>#REF!</v>
      </c>
      <c r="M670" s="163" t="e">
        <f>+L670-I670</f>
        <v>#REF!</v>
      </c>
      <c r="N670" s="164" t="e">
        <f>+M670/I670</f>
        <v>#REF!</v>
      </c>
      <c r="O670" s="156" t="e">
        <f>L670/L680</f>
        <v>#REF!</v>
      </c>
      <c r="P670" s="95"/>
    </row>
    <row r="671" spans="2:17" ht="17.25" customHeight="1" thickBot="1" x14ac:dyDescent="0.25">
      <c r="B671" s="102"/>
      <c r="C671" s="185"/>
      <c r="D671" s="101" t="s">
        <v>13</v>
      </c>
      <c r="E671" s="25"/>
      <c r="F671" s="129" t="s">
        <v>120</v>
      </c>
      <c r="G671" s="132">
        <f>G670</f>
        <v>0</v>
      </c>
      <c r="H671" s="126"/>
      <c r="I671" s="141">
        <f>+G671*H671</f>
        <v>0</v>
      </c>
      <c r="J671" s="132">
        <f>G671</f>
        <v>0</v>
      </c>
      <c r="K671" s="125" t="e">
        <f>'Rate Schedule '!#REF!</f>
        <v>#REF!</v>
      </c>
      <c r="L671" s="145" t="e">
        <f>+J671*K671</f>
        <v>#REF!</v>
      </c>
      <c r="M671" s="163" t="e">
        <f>+L671-I671</f>
        <v>#REF!</v>
      </c>
      <c r="N671" s="164">
        <v>0</v>
      </c>
      <c r="O671" s="156" t="e">
        <f>L671/L680</f>
        <v>#REF!</v>
      </c>
      <c r="P671" s="95"/>
    </row>
    <row r="672" spans="2:17" ht="17.25" customHeight="1" thickBot="1" x14ac:dyDescent="0.25">
      <c r="B672" s="102"/>
      <c r="C672" s="54"/>
      <c r="D672" s="55"/>
      <c r="E672" s="25"/>
      <c r="F672" s="130" t="s">
        <v>121</v>
      </c>
      <c r="G672" s="132">
        <f>G671</f>
        <v>0</v>
      </c>
      <c r="H672" s="126" t="e">
        <f>'2012 Existing Rates'!#REF!</f>
        <v>#REF!</v>
      </c>
      <c r="I672" s="145" t="e">
        <f>+G672*H672</f>
        <v>#REF!</v>
      </c>
      <c r="J672" s="132">
        <f>J671</f>
        <v>0</v>
      </c>
      <c r="K672" s="125" t="e">
        <f>'Rate Schedule '!#REF!</f>
        <v>#REF!</v>
      </c>
      <c r="L672" s="145" t="e">
        <f>+J672*K672</f>
        <v>#REF!</v>
      </c>
      <c r="M672" s="163" t="e">
        <f>+L672-I672</f>
        <v>#REF!</v>
      </c>
      <c r="N672" s="164" t="e">
        <f t="shared" ref="N672:N680" si="91">+M672/I672</f>
        <v>#REF!</v>
      </c>
      <c r="O672" s="156" t="e">
        <f>L672/L680</f>
        <v>#REF!</v>
      </c>
      <c r="P672" s="95"/>
    </row>
    <row r="673" spans="2:16" ht="17.25" customHeight="1" thickBot="1" x14ac:dyDescent="0.25">
      <c r="B673" s="102"/>
      <c r="C673" s="25"/>
      <c r="D673" s="25"/>
      <c r="E673" s="25"/>
      <c r="F673" s="279" t="s">
        <v>116</v>
      </c>
      <c r="G673" s="417"/>
      <c r="H673" s="418"/>
      <c r="I673" s="280" t="e">
        <f>SUM(I668:I672)</f>
        <v>#REF!</v>
      </c>
      <c r="J673" s="417"/>
      <c r="K673" s="418"/>
      <c r="L673" s="280" t="e">
        <f>SUM(L668:L672)</f>
        <v>#REF!</v>
      </c>
      <c r="M673" s="283" t="e">
        <f>SUM(M668:M672)</f>
        <v>#REF!</v>
      </c>
      <c r="N673" s="284" t="e">
        <f t="shared" si="91"/>
        <v>#REF!</v>
      </c>
      <c r="O673" s="285" t="e">
        <f>SUM(O668:O672)</f>
        <v>#REF!</v>
      </c>
      <c r="P673" s="95"/>
    </row>
    <row r="674" spans="2:16" ht="17.25" customHeight="1" thickBot="1" x14ac:dyDescent="0.25">
      <c r="B674" s="102"/>
      <c r="C674" s="25"/>
      <c r="D674" s="25"/>
      <c r="E674" s="25"/>
      <c r="F674" s="129" t="s">
        <v>122</v>
      </c>
      <c r="G674" s="233">
        <f>G672</f>
        <v>0</v>
      </c>
      <c r="H674" s="234" t="e">
        <f>#REF!</f>
        <v>#REF!</v>
      </c>
      <c r="I674" s="141" t="e">
        <f>+G674*H674</f>
        <v>#REF!</v>
      </c>
      <c r="J674" s="233">
        <f>G674</f>
        <v>0</v>
      </c>
      <c r="K674" s="234" t="e">
        <f>#REF!</f>
        <v>#REF!</v>
      </c>
      <c r="L674" s="141" t="e">
        <f>+J674*K674</f>
        <v>#REF!</v>
      </c>
      <c r="M674" s="235" t="e">
        <f t="shared" ref="M674:M680" si="92">+L674-I674</f>
        <v>#REF!</v>
      </c>
      <c r="N674" s="153" t="e">
        <f t="shared" si="91"/>
        <v>#REF!</v>
      </c>
      <c r="O674" s="156" t="e">
        <f>L674/L680</f>
        <v>#REF!</v>
      </c>
      <c r="P674" s="95"/>
    </row>
    <row r="675" spans="2:16" ht="17.25" customHeight="1" thickBot="1" x14ac:dyDescent="0.25">
      <c r="B675" s="102"/>
      <c r="C675" s="25"/>
      <c r="D675" s="25"/>
      <c r="E675" s="25"/>
      <c r="F675" s="279" t="s">
        <v>118</v>
      </c>
      <c r="G675" s="417"/>
      <c r="H675" s="418"/>
      <c r="I675" s="280" t="e">
        <f>I673+I674</f>
        <v>#REF!</v>
      </c>
      <c r="J675" s="417"/>
      <c r="K675" s="418"/>
      <c r="L675" s="280" t="e">
        <f>L673+L674</f>
        <v>#REF!</v>
      </c>
      <c r="M675" s="283" t="e">
        <f t="shared" si="92"/>
        <v>#REF!</v>
      </c>
      <c r="N675" s="284" t="e">
        <f t="shared" si="91"/>
        <v>#REF!</v>
      </c>
      <c r="O675" s="286" t="e">
        <f>L675/L680</f>
        <v>#REF!</v>
      </c>
      <c r="P675" s="95"/>
    </row>
    <row r="676" spans="2:16" ht="17.25" customHeight="1" x14ac:dyDescent="0.2">
      <c r="B676" s="102"/>
      <c r="C676" s="25"/>
      <c r="D676" s="25"/>
      <c r="E676" s="25"/>
      <c r="F676" s="127" t="s">
        <v>47</v>
      </c>
      <c r="G676" s="133" t="e">
        <f>C670*#REF!</f>
        <v>#REF!</v>
      </c>
      <c r="H676" s="134" t="e">
        <f>#REF!+#REF!</f>
        <v>#REF!</v>
      </c>
      <c r="I676" s="135" t="e">
        <f>+G676*H676</f>
        <v>#REF!</v>
      </c>
      <c r="J676" s="133" t="e">
        <f>C670*#REF!</f>
        <v>#REF!</v>
      </c>
      <c r="K676" s="134" t="e">
        <f>#REF!+#REF!</f>
        <v>#REF!</v>
      </c>
      <c r="L676" s="162" t="e">
        <f>+J676*K676</f>
        <v>#REF!</v>
      </c>
      <c r="M676" s="163" t="e">
        <f t="shared" si="92"/>
        <v>#REF!</v>
      </c>
      <c r="N676" s="164" t="e">
        <f t="shared" si="91"/>
        <v>#REF!</v>
      </c>
      <c r="O676" s="156" t="e">
        <f>L676/L680</f>
        <v>#REF!</v>
      </c>
      <c r="P676" s="95"/>
    </row>
    <row r="677" spans="2:16" ht="17.25" customHeight="1" thickBot="1" x14ac:dyDescent="0.25">
      <c r="B677" s="102"/>
      <c r="C677" s="25"/>
      <c r="D677" s="25"/>
      <c r="E677" s="25"/>
      <c r="F677" s="127" t="s">
        <v>48</v>
      </c>
      <c r="G677" s="133" t="e">
        <f>G676</f>
        <v>#REF!</v>
      </c>
      <c r="H677" s="134" t="e">
        <f>#REF!</f>
        <v>#REF!</v>
      </c>
      <c r="I677" s="135" t="e">
        <f>+G677*H677</f>
        <v>#REF!</v>
      </c>
      <c r="J677" s="133" t="e">
        <f>J676</f>
        <v>#REF!</v>
      </c>
      <c r="K677" s="134" t="e">
        <f>#REF!</f>
        <v>#REF!</v>
      </c>
      <c r="L677" s="162" t="e">
        <f>+J677*K677</f>
        <v>#REF!</v>
      </c>
      <c r="M677" s="163" t="e">
        <f t="shared" si="92"/>
        <v>#REF!</v>
      </c>
      <c r="N677" s="164" t="e">
        <f t="shared" si="91"/>
        <v>#REF!</v>
      </c>
      <c r="O677" s="156" t="e">
        <f>L677/L680</f>
        <v>#REF!</v>
      </c>
      <c r="P677" s="95"/>
    </row>
    <row r="678" spans="2:16" ht="17.25" customHeight="1" thickBot="1" x14ac:dyDescent="0.25">
      <c r="B678" s="102"/>
      <c r="C678" s="25"/>
      <c r="D678" s="25"/>
      <c r="E678" s="25"/>
      <c r="F678" s="279" t="s">
        <v>97</v>
      </c>
      <c r="G678" s="417"/>
      <c r="H678" s="418"/>
      <c r="I678" s="280" t="e">
        <f>SUM(I675:I677)</f>
        <v>#REF!</v>
      </c>
      <c r="J678" s="417"/>
      <c r="K678" s="418"/>
      <c r="L678" s="280" t="e">
        <f>SUM(L675:L677)</f>
        <v>#REF!</v>
      </c>
      <c r="M678" s="280" t="e">
        <f t="shared" si="92"/>
        <v>#REF!</v>
      </c>
      <c r="N678" s="284" t="e">
        <f t="shared" si="91"/>
        <v>#REF!</v>
      </c>
      <c r="O678" s="286" t="e">
        <f>L678/L680</f>
        <v>#REF!</v>
      </c>
      <c r="P678" s="95"/>
    </row>
    <row r="679" spans="2:16" ht="17.25" customHeight="1" thickBot="1" x14ac:dyDescent="0.25">
      <c r="B679" s="102"/>
      <c r="C679" s="25"/>
      <c r="D679" s="25"/>
      <c r="E679" s="25"/>
      <c r="F679" s="188" t="s">
        <v>170</v>
      </c>
      <c r="G679" s="189"/>
      <c r="H679" s="193">
        <v>0.13</v>
      </c>
      <c r="I679" s="190" t="e">
        <f>I678*H679</f>
        <v>#REF!</v>
      </c>
      <c r="J679" s="189"/>
      <c r="K679" s="193">
        <v>0.13</v>
      </c>
      <c r="L679" s="191" t="e">
        <f>L678*K679</f>
        <v>#REF!</v>
      </c>
      <c r="M679" s="160" t="e">
        <f t="shared" si="92"/>
        <v>#REF!</v>
      </c>
      <c r="N679" s="161" t="e">
        <f t="shared" si="91"/>
        <v>#REF!</v>
      </c>
      <c r="O679" s="166" t="e">
        <f>L679/L680</f>
        <v>#REF!</v>
      </c>
      <c r="P679" s="95"/>
    </row>
    <row r="680" spans="2:16" ht="17.25" customHeight="1" thickBot="1" x14ac:dyDescent="0.25">
      <c r="B680" s="102"/>
      <c r="C680" s="25"/>
      <c r="D680" s="25"/>
      <c r="E680" s="29"/>
      <c r="F680" s="294" t="s">
        <v>49</v>
      </c>
      <c r="G680" s="432"/>
      <c r="H680" s="433"/>
      <c r="I680" s="295" t="e">
        <f>I678+I679</f>
        <v>#REF!</v>
      </c>
      <c r="J680" s="432"/>
      <c r="K680" s="433"/>
      <c r="L680" s="295" t="e">
        <f>L678+L679</f>
        <v>#REF!</v>
      </c>
      <c r="M680" s="295" t="e">
        <f t="shared" si="92"/>
        <v>#REF!</v>
      </c>
      <c r="N680" s="296" t="e">
        <f t="shared" si="91"/>
        <v>#REF!</v>
      </c>
      <c r="O680" s="297" t="e">
        <f>O678+O679</f>
        <v>#REF!</v>
      </c>
      <c r="P680" s="95"/>
    </row>
    <row r="681" spans="2:16" ht="17.25" customHeight="1" thickBot="1" x14ac:dyDescent="0.25">
      <c r="B681" s="96"/>
      <c r="C681" s="108"/>
      <c r="D681" s="108"/>
      <c r="E681" s="108"/>
      <c r="F681" s="176"/>
      <c r="G681" s="177"/>
      <c r="H681" s="178"/>
      <c r="I681" s="179"/>
      <c r="J681" s="177"/>
      <c r="K681" s="180"/>
      <c r="L681" s="179"/>
      <c r="M681" s="254"/>
      <c r="N681" s="181"/>
      <c r="O681" s="182"/>
      <c r="P681" s="97"/>
    </row>
    <row r="682" spans="2:16" ht="18" customHeight="1" thickBot="1" x14ac:dyDescent="0.25"/>
    <row r="683" spans="2:16" ht="21.75" customHeight="1" x14ac:dyDescent="0.35">
      <c r="B683" s="104"/>
      <c r="C683" s="430" t="s">
        <v>96</v>
      </c>
      <c r="D683" s="430"/>
      <c r="E683" s="430"/>
      <c r="F683" s="430"/>
      <c r="G683" s="430"/>
      <c r="H683" s="430"/>
      <c r="I683" s="430"/>
      <c r="J683" s="430"/>
      <c r="K683" s="430"/>
      <c r="L683" s="430"/>
      <c r="M683" s="430"/>
      <c r="N683" s="430"/>
      <c r="O683" s="430"/>
      <c r="P683" s="94"/>
    </row>
    <row r="684" spans="2:16" ht="21.75" customHeight="1" thickBot="1" x14ac:dyDescent="0.3">
      <c r="B684" s="102"/>
      <c r="C684" s="419"/>
      <c r="D684" s="419"/>
      <c r="E684" s="419"/>
      <c r="F684" s="419"/>
      <c r="G684" s="419"/>
      <c r="H684" s="419"/>
      <c r="I684" s="419"/>
      <c r="J684" s="419"/>
      <c r="K684" s="419"/>
      <c r="L684" s="419"/>
      <c r="M684" s="419"/>
      <c r="N684" s="419"/>
      <c r="O684" s="419"/>
      <c r="P684" s="95"/>
    </row>
    <row r="685" spans="2:16" ht="21.75" customHeight="1" thickBot="1" x14ac:dyDescent="0.25">
      <c r="B685" s="102"/>
      <c r="C685" s="103"/>
      <c r="D685" s="103"/>
      <c r="E685" s="25"/>
      <c r="F685" s="30"/>
      <c r="G685" s="425" t="s">
        <v>98</v>
      </c>
      <c r="H685" s="426"/>
      <c r="I685" s="427"/>
      <c r="J685" s="425" t="s">
        <v>113</v>
      </c>
      <c r="K685" s="426"/>
      <c r="L685" s="427"/>
      <c r="M685" s="425" t="s">
        <v>43</v>
      </c>
      <c r="N685" s="426"/>
      <c r="O685" s="427"/>
      <c r="P685" s="95"/>
    </row>
    <row r="686" spans="2:16" ht="26.25" thickBot="1" x14ac:dyDescent="0.25">
      <c r="B686" s="102"/>
      <c r="C686" s="25"/>
      <c r="D686" s="25"/>
      <c r="E686" s="27"/>
      <c r="F686" s="31"/>
      <c r="G686" s="144" t="s">
        <v>37</v>
      </c>
      <c r="H686" s="119" t="s">
        <v>38</v>
      </c>
      <c r="I686" s="120" t="s">
        <v>39</v>
      </c>
      <c r="J686" s="144" t="s">
        <v>37</v>
      </c>
      <c r="K686" s="119" t="s">
        <v>38</v>
      </c>
      <c r="L686" s="120" t="s">
        <v>39</v>
      </c>
      <c r="M686" s="146" t="s">
        <v>44</v>
      </c>
      <c r="N686" s="147" t="s">
        <v>45</v>
      </c>
      <c r="O686" s="148" t="s">
        <v>46</v>
      </c>
      <c r="P686" s="95"/>
    </row>
    <row r="687" spans="2:16" ht="21.75" customHeight="1" thickBot="1" x14ac:dyDescent="0.25">
      <c r="B687" s="102"/>
      <c r="C687" s="421" t="s">
        <v>40</v>
      </c>
      <c r="D687" s="422"/>
      <c r="E687" s="25"/>
      <c r="F687" s="128" t="s">
        <v>41</v>
      </c>
      <c r="G687" s="306">
        <f>+C688</f>
        <v>1</v>
      </c>
      <c r="H687" s="140">
        <f>'2012 Existing Rates'!$B$13</f>
        <v>8.91</v>
      </c>
      <c r="I687" s="141">
        <f>+G687*H687</f>
        <v>8.91</v>
      </c>
      <c r="J687" s="306">
        <f>+C688</f>
        <v>1</v>
      </c>
      <c r="K687" s="143">
        <f>'Rate Schedule '!$E$35</f>
        <v>6.7534999999999998</v>
      </c>
      <c r="L687" s="145">
        <f>+J687*K687</f>
        <v>6.7534999999999998</v>
      </c>
      <c r="M687" s="152">
        <f>+L687-I687</f>
        <v>-2.1565000000000003</v>
      </c>
      <c r="N687" s="153">
        <f t="shared" ref="N687:N694" si="93">+M687/I687</f>
        <v>-0.24203142536475872</v>
      </c>
      <c r="O687" s="154" t="e">
        <f>L687/L699</f>
        <v>#REF!</v>
      </c>
      <c r="P687" s="95"/>
    </row>
    <row r="688" spans="2:16" ht="21.75" customHeight="1" thickBot="1" x14ac:dyDescent="0.25">
      <c r="B688" s="102"/>
      <c r="C688" s="100">
        <v>1</v>
      </c>
      <c r="D688" s="101" t="s">
        <v>66</v>
      </c>
      <c r="E688" s="25"/>
      <c r="F688" s="129" t="s">
        <v>42</v>
      </c>
      <c r="G688" s="132">
        <f>+C689</f>
        <v>630</v>
      </c>
      <c r="H688" s="126" t="e">
        <f>'2012 Existing Rates'!#REF!</f>
        <v>#REF!</v>
      </c>
      <c r="I688" s="141" t="e">
        <f>+G688*H688</f>
        <v>#REF!</v>
      </c>
      <c r="J688" s="132">
        <f>+C689</f>
        <v>630</v>
      </c>
      <c r="K688" s="125">
        <f>'Rate Schedule '!$E$36</f>
        <v>9.9000000000000008E-3</v>
      </c>
      <c r="L688" s="145">
        <f>+J688*K688</f>
        <v>6.2370000000000001</v>
      </c>
      <c r="M688" s="155" t="e">
        <f>+L688-I688</f>
        <v>#REF!</v>
      </c>
      <c r="N688" s="149" t="e">
        <f t="shared" si="93"/>
        <v>#REF!</v>
      </c>
      <c r="O688" s="156" t="e">
        <f>L688/L699</f>
        <v>#REF!</v>
      </c>
      <c r="P688" s="95"/>
    </row>
    <row r="689" spans="2:17" ht="21.75" customHeight="1" thickBot="1" x14ac:dyDescent="0.25">
      <c r="B689" s="102"/>
      <c r="C689" s="98">
        <v>630</v>
      </c>
      <c r="D689" s="99" t="s">
        <v>12</v>
      </c>
      <c r="E689" s="25"/>
      <c r="F689" s="129" t="s">
        <v>115</v>
      </c>
      <c r="G689" s="132">
        <f>G688</f>
        <v>630</v>
      </c>
      <c r="H689" s="126" t="e">
        <f>'2012 Existing Rates'!#REF!</f>
        <v>#REF!</v>
      </c>
      <c r="I689" s="141" t="e">
        <f>+G689*H689</f>
        <v>#REF!</v>
      </c>
      <c r="J689" s="132">
        <f>J688</f>
        <v>630</v>
      </c>
      <c r="K689" s="125" t="e">
        <f>'Rate Schedule '!#REF!</f>
        <v>#REF!</v>
      </c>
      <c r="L689" s="145" t="e">
        <f>+J689*K689</f>
        <v>#REF!</v>
      </c>
      <c r="M689" s="155" t="e">
        <f>+L689-I689</f>
        <v>#REF!</v>
      </c>
      <c r="N689" s="149" t="e">
        <f t="shared" si="93"/>
        <v>#REF!</v>
      </c>
      <c r="O689" s="156" t="e">
        <f>L689/L699</f>
        <v>#REF!</v>
      </c>
      <c r="P689" s="95"/>
    </row>
    <row r="690" spans="2:17" ht="21.75" customHeight="1" x14ac:dyDescent="0.2">
      <c r="B690" s="102"/>
      <c r="C690" s="54"/>
      <c r="D690" s="55"/>
      <c r="E690" s="25"/>
      <c r="F690" s="129" t="s">
        <v>78</v>
      </c>
      <c r="G690" s="132">
        <f>C689</f>
        <v>630</v>
      </c>
      <c r="H690" s="126"/>
      <c r="I690" s="137">
        <f>+G690*H690</f>
        <v>0</v>
      </c>
      <c r="J690" s="132">
        <f>C689</f>
        <v>630</v>
      </c>
      <c r="K690" s="125" t="e">
        <f>'Rate Schedule '!#REF!</f>
        <v>#REF!</v>
      </c>
      <c r="L690" s="145" t="e">
        <f>J690*K690</f>
        <v>#REF!</v>
      </c>
      <c r="M690" s="155" t="e">
        <f>+L690-I690</f>
        <v>#REF!</v>
      </c>
      <c r="N690" s="149">
        <v>0</v>
      </c>
      <c r="O690" s="156" t="e">
        <f>L690/L699</f>
        <v>#REF!</v>
      </c>
      <c r="P690" s="95"/>
    </row>
    <row r="691" spans="2:17" ht="21.75" customHeight="1" thickBot="1" x14ac:dyDescent="0.25">
      <c r="B691" s="102"/>
      <c r="C691" s="25"/>
      <c r="D691" s="25"/>
      <c r="E691" s="25"/>
      <c r="F691" s="130" t="s">
        <v>114</v>
      </c>
      <c r="G691" s="157">
        <f>+C689</f>
        <v>630</v>
      </c>
      <c r="H691" s="158" t="e">
        <f>'2012 Existing Rates'!#REF!</f>
        <v>#REF!</v>
      </c>
      <c r="I691" s="159" t="e">
        <f>+G691*H691</f>
        <v>#REF!</v>
      </c>
      <c r="J691" s="157">
        <f>+C689</f>
        <v>630</v>
      </c>
      <c r="K691" s="158" t="e">
        <f>'Rate Schedule '!#REF!</f>
        <v>#REF!</v>
      </c>
      <c r="L691" s="159" t="e">
        <f>+J691*K691</f>
        <v>#REF!</v>
      </c>
      <c r="M691" s="155" t="e">
        <f>+L691-I691</f>
        <v>#REF!</v>
      </c>
      <c r="N691" s="149" t="e">
        <f t="shared" si="93"/>
        <v>#REF!</v>
      </c>
      <c r="O691" s="156" t="e">
        <f>L691/L699</f>
        <v>#REF!</v>
      </c>
      <c r="P691" s="95"/>
    </row>
    <row r="692" spans="2:17" ht="21.75" customHeight="1" thickBot="1" x14ac:dyDescent="0.25">
      <c r="B692" s="102"/>
      <c r="C692" s="25"/>
      <c r="D692" s="25"/>
      <c r="E692" s="25"/>
      <c r="F692" s="279" t="s">
        <v>116</v>
      </c>
      <c r="G692" s="417"/>
      <c r="H692" s="418"/>
      <c r="I692" s="280" t="e">
        <f>SUM(I687:I691)</f>
        <v>#REF!</v>
      </c>
      <c r="J692" s="417"/>
      <c r="K692" s="418"/>
      <c r="L692" s="280" t="e">
        <f>SUM(L687:L691)</f>
        <v>#REF!</v>
      </c>
      <c r="M692" s="283" t="e">
        <f>SUM(M687:M691)</f>
        <v>#REF!</v>
      </c>
      <c r="N692" s="284" t="e">
        <f t="shared" si="93"/>
        <v>#REF!</v>
      </c>
      <c r="O692" s="285" t="e">
        <f>L692/L699</f>
        <v>#REF!</v>
      </c>
      <c r="P692" s="95"/>
    </row>
    <row r="693" spans="2:17" ht="21.75" customHeight="1" thickBot="1" x14ac:dyDescent="0.25">
      <c r="B693" s="102"/>
      <c r="C693" s="25"/>
      <c r="D693" s="25"/>
      <c r="E693" s="25"/>
      <c r="F693" s="129" t="s">
        <v>117</v>
      </c>
      <c r="G693" s="233" t="e">
        <f>C689*#REF!</f>
        <v>#REF!</v>
      </c>
      <c r="H693" s="234" t="e">
        <f>#REF!</f>
        <v>#REF!</v>
      </c>
      <c r="I693" s="141" t="e">
        <f>+G693*H693</f>
        <v>#REF!</v>
      </c>
      <c r="J693" s="233" t="e">
        <f>C689*#REF!</f>
        <v>#REF!</v>
      </c>
      <c r="K693" s="234" t="e">
        <f>#REF!</f>
        <v>#REF!</v>
      </c>
      <c r="L693" s="141" t="e">
        <f>+J693*K693</f>
        <v>#REF!</v>
      </c>
      <c r="M693" s="235" t="e">
        <f t="shared" ref="M693:M699" si="94">+L693-I693</f>
        <v>#REF!</v>
      </c>
      <c r="N693" s="153" t="e">
        <f t="shared" si="93"/>
        <v>#REF!</v>
      </c>
      <c r="O693" s="154" t="e">
        <f>L693/L699</f>
        <v>#REF!</v>
      </c>
      <c r="P693" s="95"/>
    </row>
    <row r="694" spans="2:17" ht="21.75" customHeight="1" thickBot="1" x14ac:dyDescent="0.25">
      <c r="B694" s="102"/>
      <c r="C694" s="25"/>
      <c r="D694" s="25"/>
      <c r="E694" s="25"/>
      <c r="F694" s="279" t="s">
        <v>118</v>
      </c>
      <c r="G694" s="417"/>
      <c r="H694" s="418"/>
      <c r="I694" s="280" t="e">
        <f>I692+I693</f>
        <v>#REF!</v>
      </c>
      <c r="J694" s="417"/>
      <c r="K694" s="418"/>
      <c r="L694" s="280" t="e">
        <f>L692+L693</f>
        <v>#REF!</v>
      </c>
      <c r="M694" s="283" t="e">
        <f t="shared" si="94"/>
        <v>#REF!</v>
      </c>
      <c r="N694" s="284" t="e">
        <f t="shared" si="93"/>
        <v>#REF!</v>
      </c>
      <c r="O694" s="286" t="e">
        <f>L694/L699</f>
        <v>#REF!</v>
      </c>
      <c r="P694" s="95"/>
    </row>
    <row r="695" spans="2:17" ht="21.75" customHeight="1" x14ac:dyDescent="0.2">
      <c r="B695" s="102"/>
      <c r="C695" s="25"/>
      <c r="D695" s="25"/>
      <c r="E695" s="25"/>
      <c r="F695" s="131" t="s">
        <v>47</v>
      </c>
      <c r="G695" s="133" t="e">
        <f>G693</f>
        <v>#REF!</v>
      </c>
      <c r="H695" s="134" t="e">
        <f>#REF!+#REF!</f>
        <v>#REF!</v>
      </c>
      <c r="I695" s="135" t="e">
        <f>+G695*H695</f>
        <v>#REF!</v>
      </c>
      <c r="J695" s="133" t="e">
        <f>J693</f>
        <v>#REF!</v>
      </c>
      <c r="K695" s="134" t="e">
        <f>#REF!+#REF!</f>
        <v>#REF!</v>
      </c>
      <c r="L695" s="162" t="e">
        <f>+J695*K695</f>
        <v>#REF!</v>
      </c>
      <c r="M695" s="163" t="e">
        <f t="shared" si="94"/>
        <v>#REF!</v>
      </c>
      <c r="N695" s="164" t="e">
        <f>+M695/I695</f>
        <v>#REF!</v>
      </c>
      <c r="O695" s="192" t="e">
        <f>L695/L699</f>
        <v>#REF!</v>
      </c>
      <c r="P695" s="95"/>
    </row>
    <row r="696" spans="2:17" ht="21.75" customHeight="1" thickBot="1" x14ac:dyDescent="0.25">
      <c r="B696" s="102"/>
      <c r="C696" s="25"/>
      <c r="D696" s="25"/>
      <c r="E696" s="25"/>
      <c r="F696" s="129" t="s">
        <v>48</v>
      </c>
      <c r="G696" s="142" t="e">
        <f>G695</f>
        <v>#REF!</v>
      </c>
      <c r="H696" s="136" t="e">
        <f>#REF!</f>
        <v>#REF!</v>
      </c>
      <c r="I696" s="137" t="e">
        <f>+G696*H696</f>
        <v>#REF!</v>
      </c>
      <c r="J696" s="142" t="e">
        <f>J695</f>
        <v>#REF!</v>
      </c>
      <c r="K696" s="136" t="e">
        <f>#REF!</f>
        <v>#REF!</v>
      </c>
      <c r="L696" s="159" t="e">
        <f>+J696*K696</f>
        <v>#REF!</v>
      </c>
      <c r="M696" s="160" t="e">
        <f t="shared" si="94"/>
        <v>#REF!</v>
      </c>
      <c r="N696" s="161" t="e">
        <f>+M696/I696</f>
        <v>#REF!</v>
      </c>
      <c r="O696" s="166" t="e">
        <f>L696/L699</f>
        <v>#REF!</v>
      </c>
      <c r="P696" s="95"/>
    </row>
    <row r="697" spans="2:17" ht="21.75" customHeight="1" thickBot="1" x14ac:dyDescent="0.25">
      <c r="B697" s="102"/>
      <c r="C697" s="25"/>
      <c r="D697" s="25"/>
      <c r="E697" s="25"/>
      <c r="F697" s="279" t="s">
        <v>97</v>
      </c>
      <c r="G697" s="417"/>
      <c r="H697" s="418"/>
      <c r="I697" s="280" t="e">
        <f>SUM(I694:I696)</f>
        <v>#REF!</v>
      </c>
      <c r="J697" s="417"/>
      <c r="K697" s="418"/>
      <c r="L697" s="280" t="e">
        <f>SUM(L694:L696)</f>
        <v>#REF!</v>
      </c>
      <c r="M697" s="280" t="e">
        <f t="shared" si="94"/>
        <v>#REF!</v>
      </c>
      <c r="N697" s="284" t="e">
        <f>+M697/I697</f>
        <v>#REF!</v>
      </c>
      <c r="O697" s="286" t="e">
        <f>L697/L699</f>
        <v>#REF!</v>
      </c>
      <c r="P697" s="194"/>
    </row>
    <row r="698" spans="2:17" ht="21.75" customHeight="1" thickBot="1" x14ac:dyDescent="0.25">
      <c r="B698" s="102"/>
      <c r="C698" s="25"/>
      <c r="D698" s="25"/>
      <c r="E698" s="25"/>
      <c r="F698" s="188" t="s">
        <v>170</v>
      </c>
      <c r="G698" s="189"/>
      <c r="H698" s="193">
        <v>0.13</v>
      </c>
      <c r="I698" s="190" t="e">
        <f>I697*H698</f>
        <v>#REF!</v>
      </c>
      <c r="J698" s="189"/>
      <c r="K698" s="193">
        <v>0.13</v>
      </c>
      <c r="L698" s="191" t="e">
        <f>L697*K698</f>
        <v>#REF!</v>
      </c>
      <c r="M698" s="160" t="e">
        <f t="shared" si="94"/>
        <v>#REF!</v>
      </c>
      <c r="N698" s="164" t="e">
        <f>+M698/I698</f>
        <v>#REF!</v>
      </c>
      <c r="O698" s="166" t="e">
        <f>L698/L699</f>
        <v>#REF!</v>
      </c>
      <c r="P698" s="95"/>
    </row>
    <row r="699" spans="2:17" ht="21.75" customHeight="1" thickBot="1" x14ac:dyDescent="0.25">
      <c r="B699" s="236"/>
      <c r="C699" s="237"/>
      <c r="D699" s="237"/>
      <c r="E699" s="238"/>
      <c r="F699" s="281" t="s">
        <v>49</v>
      </c>
      <c r="G699" s="428"/>
      <c r="H699" s="429"/>
      <c r="I699" s="282" t="e">
        <f>I697+I698</f>
        <v>#REF!</v>
      </c>
      <c r="J699" s="428"/>
      <c r="K699" s="429"/>
      <c r="L699" s="282" t="e">
        <f>L697+L698</f>
        <v>#REF!</v>
      </c>
      <c r="M699" s="282" t="e">
        <f t="shared" si="94"/>
        <v>#REF!</v>
      </c>
      <c r="N699" s="287" t="e">
        <f>+M699/I699</f>
        <v>#REF!</v>
      </c>
      <c r="O699" s="288" t="e">
        <f>O697+O698</f>
        <v>#REF!</v>
      </c>
      <c r="P699" s="239"/>
      <c r="Q699" s="240"/>
    </row>
    <row r="700" spans="2:17" ht="10.5" customHeight="1" thickBot="1" x14ac:dyDescent="0.4">
      <c r="B700" s="96"/>
      <c r="C700" s="431"/>
      <c r="D700" s="431"/>
      <c r="E700" s="431"/>
      <c r="F700" s="431"/>
      <c r="G700" s="431"/>
      <c r="H700" s="431"/>
      <c r="I700" s="431"/>
      <c r="J700" s="431"/>
      <c r="K700" s="431"/>
      <c r="L700" s="431"/>
      <c r="M700" s="431"/>
      <c r="N700" s="431"/>
      <c r="O700" s="431"/>
      <c r="P700" s="97"/>
    </row>
    <row r="701" spans="2:17" ht="17.25" customHeight="1" thickBot="1" x14ac:dyDescent="0.25"/>
    <row r="702" spans="2:17" ht="21.75" customHeight="1" x14ac:dyDescent="0.35">
      <c r="B702" s="104"/>
      <c r="C702" s="430" t="s">
        <v>96</v>
      </c>
      <c r="D702" s="430"/>
      <c r="E702" s="430"/>
      <c r="F702" s="430"/>
      <c r="G702" s="430"/>
      <c r="H702" s="430"/>
      <c r="I702" s="430"/>
      <c r="J702" s="430"/>
      <c r="K702" s="430"/>
      <c r="L702" s="430"/>
      <c r="M702" s="430"/>
      <c r="N702" s="430"/>
      <c r="O702" s="430"/>
      <c r="P702" s="94"/>
    </row>
    <row r="703" spans="2:17" ht="21.75" customHeight="1" thickBot="1" x14ac:dyDescent="0.3">
      <c r="B703" s="102"/>
      <c r="C703" s="419"/>
      <c r="D703" s="419"/>
      <c r="E703" s="419"/>
      <c r="F703" s="419"/>
      <c r="G703" s="419"/>
      <c r="H703" s="419"/>
      <c r="I703" s="419"/>
      <c r="J703" s="419"/>
      <c r="K703" s="419"/>
      <c r="L703" s="419"/>
      <c r="M703" s="419"/>
      <c r="N703" s="419"/>
      <c r="O703" s="419"/>
      <c r="P703" s="95"/>
    </row>
    <row r="704" spans="2:17" ht="21.75" customHeight="1" thickBot="1" x14ac:dyDescent="0.25">
      <c r="B704" s="102"/>
      <c r="C704" s="103"/>
      <c r="D704" s="103"/>
      <c r="E704" s="25"/>
      <c r="F704" s="30"/>
      <c r="G704" s="425" t="s">
        <v>98</v>
      </c>
      <c r="H704" s="426"/>
      <c r="I704" s="427"/>
      <c r="J704" s="425" t="s">
        <v>113</v>
      </c>
      <c r="K704" s="426"/>
      <c r="L704" s="427"/>
      <c r="M704" s="425" t="s">
        <v>43</v>
      </c>
      <c r="N704" s="426"/>
      <c r="O704" s="427"/>
      <c r="P704" s="95"/>
    </row>
    <row r="705" spans="2:17" ht="26.25" thickBot="1" x14ac:dyDescent="0.25">
      <c r="B705" s="102"/>
      <c r="C705" s="25"/>
      <c r="D705" s="25"/>
      <c r="E705" s="27"/>
      <c r="F705" s="31"/>
      <c r="G705" s="144" t="s">
        <v>37</v>
      </c>
      <c r="H705" s="119" t="s">
        <v>38</v>
      </c>
      <c r="I705" s="120" t="s">
        <v>39</v>
      </c>
      <c r="J705" s="144" t="s">
        <v>37</v>
      </c>
      <c r="K705" s="119" t="s">
        <v>38</v>
      </c>
      <c r="L705" s="120" t="s">
        <v>39</v>
      </c>
      <c r="M705" s="146" t="s">
        <v>44</v>
      </c>
      <c r="N705" s="147" t="s">
        <v>45</v>
      </c>
      <c r="O705" s="148" t="s">
        <v>46</v>
      </c>
      <c r="P705" s="95"/>
    </row>
    <row r="706" spans="2:17" ht="21.75" customHeight="1" thickBot="1" x14ac:dyDescent="0.25">
      <c r="B706" s="102"/>
      <c r="C706" s="421" t="s">
        <v>40</v>
      </c>
      <c r="D706" s="422"/>
      <c r="E706" s="25"/>
      <c r="F706" s="128" t="s">
        <v>41</v>
      </c>
      <c r="G706" s="138"/>
      <c r="H706" s="139"/>
      <c r="I706" s="140">
        <f>'2012 Existing Rates'!$B$13</f>
        <v>8.91</v>
      </c>
      <c r="J706" s="138"/>
      <c r="K706" s="139"/>
      <c r="L706" s="143">
        <f>'Rate Schedule '!$E$35</f>
        <v>6.7534999999999998</v>
      </c>
      <c r="M706" s="152">
        <f>+L706-I706</f>
        <v>-2.1565000000000003</v>
      </c>
      <c r="N706" s="153">
        <f>+M706/I706</f>
        <v>-0.24203142536475872</v>
      </c>
      <c r="O706" s="154" t="e">
        <f>L706/L718</f>
        <v>#REF!</v>
      </c>
      <c r="P706" s="95"/>
    </row>
    <row r="707" spans="2:17" ht="21.75" customHeight="1" thickBot="1" x14ac:dyDescent="0.25">
      <c r="B707" s="102"/>
      <c r="C707" s="100"/>
      <c r="D707" s="101" t="s">
        <v>66</v>
      </c>
      <c r="E707" s="25"/>
      <c r="F707" s="129" t="s">
        <v>42</v>
      </c>
      <c r="G707" s="132">
        <f>+C707</f>
        <v>0</v>
      </c>
      <c r="H707" s="126" t="e">
        <f>'2012 Existing Rates'!#REF!</f>
        <v>#REF!</v>
      </c>
      <c r="I707" s="141" t="e">
        <f>+G707*H707</f>
        <v>#REF!</v>
      </c>
      <c r="J707" s="132">
        <f>+C707</f>
        <v>0</v>
      </c>
      <c r="K707" s="125">
        <f>'Rate Schedule '!$E$36</f>
        <v>9.9000000000000008E-3</v>
      </c>
      <c r="L707" s="145">
        <f>+J707*K707</f>
        <v>0</v>
      </c>
      <c r="M707" s="155" t="e">
        <f>+L707-I707</f>
        <v>#REF!</v>
      </c>
      <c r="N707" s="149" t="e">
        <f>+M707/I707</f>
        <v>#REF!</v>
      </c>
      <c r="O707" s="156" t="e">
        <f>L707/L718</f>
        <v>#REF!</v>
      </c>
      <c r="P707" s="95"/>
    </row>
    <row r="708" spans="2:17" ht="21.75" customHeight="1" thickBot="1" x14ac:dyDescent="0.25">
      <c r="B708" s="102"/>
      <c r="C708" s="98"/>
      <c r="D708" s="99" t="s">
        <v>12</v>
      </c>
      <c r="E708" s="25"/>
      <c r="F708" s="129" t="s">
        <v>115</v>
      </c>
      <c r="G708" s="132">
        <f>G707</f>
        <v>0</v>
      </c>
      <c r="H708" s="126" t="e">
        <f>'2012 Existing Rates'!#REF!</f>
        <v>#REF!</v>
      </c>
      <c r="I708" s="141" t="e">
        <f>+G708*H708</f>
        <v>#REF!</v>
      </c>
      <c r="J708" s="132">
        <f>J707</f>
        <v>0</v>
      </c>
      <c r="K708" s="125" t="e">
        <f>'Rate Schedule '!#REF!</f>
        <v>#REF!</v>
      </c>
      <c r="L708" s="145" t="e">
        <f>+J708*K708</f>
        <v>#REF!</v>
      </c>
      <c r="M708" s="155" t="e">
        <f>+L708-I708</f>
        <v>#REF!</v>
      </c>
      <c r="N708" s="149" t="e">
        <f>+M708/I708</f>
        <v>#REF!</v>
      </c>
      <c r="O708" s="156" t="e">
        <f>L708/L718</f>
        <v>#REF!</v>
      </c>
      <c r="P708" s="95"/>
    </row>
    <row r="709" spans="2:17" ht="21.75" customHeight="1" x14ac:dyDescent="0.2">
      <c r="B709" s="102"/>
      <c r="C709" s="54"/>
      <c r="D709" s="55"/>
      <c r="E709" s="25"/>
      <c r="F709" s="129" t="s">
        <v>78</v>
      </c>
      <c r="G709" s="132">
        <f>C707</f>
        <v>0</v>
      </c>
      <c r="H709" s="126"/>
      <c r="I709" s="137">
        <f>+G709*H709</f>
        <v>0</v>
      </c>
      <c r="J709" s="132">
        <f>C707</f>
        <v>0</v>
      </c>
      <c r="K709" s="125" t="e">
        <f>'Rate Schedule '!#REF!</f>
        <v>#REF!</v>
      </c>
      <c r="L709" s="145" t="e">
        <f>J709*K709</f>
        <v>#REF!</v>
      </c>
      <c r="M709" s="155" t="e">
        <f>+L709-I709</f>
        <v>#REF!</v>
      </c>
      <c r="N709" s="149">
        <v>0</v>
      </c>
      <c r="O709" s="156" t="e">
        <f>L709/L718</f>
        <v>#REF!</v>
      </c>
      <c r="P709" s="95"/>
    </row>
    <row r="710" spans="2:17" ht="21.75" customHeight="1" thickBot="1" x14ac:dyDescent="0.25">
      <c r="B710" s="102"/>
      <c r="C710" s="25"/>
      <c r="D710" s="25"/>
      <c r="E710" s="25"/>
      <c r="F710" s="130" t="s">
        <v>114</v>
      </c>
      <c r="G710" s="157">
        <f>+C707</f>
        <v>0</v>
      </c>
      <c r="H710" s="158" t="e">
        <f>'2012 Existing Rates'!#REF!</f>
        <v>#REF!</v>
      </c>
      <c r="I710" s="159" t="e">
        <f>+G710*H710</f>
        <v>#REF!</v>
      </c>
      <c r="J710" s="157">
        <f>+C707</f>
        <v>0</v>
      </c>
      <c r="K710" s="158" t="e">
        <f>'Rate Schedule '!#REF!</f>
        <v>#REF!</v>
      </c>
      <c r="L710" s="159" t="e">
        <f>+J710*K710</f>
        <v>#REF!</v>
      </c>
      <c r="M710" s="155" t="e">
        <f>+L710-I710</f>
        <v>#REF!</v>
      </c>
      <c r="N710" s="149" t="e">
        <f t="shared" ref="N710:N718" si="95">+M710/I710</f>
        <v>#REF!</v>
      </c>
      <c r="O710" s="156" t="e">
        <f>L710/L718</f>
        <v>#REF!</v>
      </c>
      <c r="P710" s="95"/>
    </row>
    <row r="711" spans="2:17" ht="21.75" customHeight="1" thickBot="1" x14ac:dyDescent="0.25">
      <c r="B711" s="102"/>
      <c r="C711" s="25"/>
      <c r="D711" s="25"/>
      <c r="E711" s="25"/>
      <c r="F711" s="279" t="s">
        <v>116</v>
      </c>
      <c r="G711" s="417"/>
      <c r="H711" s="418"/>
      <c r="I711" s="280" t="e">
        <f>SUM(I706:I710)</f>
        <v>#REF!</v>
      </c>
      <c r="J711" s="417"/>
      <c r="K711" s="418"/>
      <c r="L711" s="280" t="e">
        <f>SUM(L706:L710)</f>
        <v>#REF!</v>
      </c>
      <c r="M711" s="283" t="e">
        <f>SUM(M706:M710)</f>
        <v>#REF!</v>
      </c>
      <c r="N711" s="284" t="e">
        <f t="shared" si="95"/>
        <v>#REF!</v>
      </c>
      <c r="O711" s="285" t="e">
        <f>L711/L718</f>
        <v>#REF!</v>
      </c>
      <c r="P711" s="95"/>
    </row>
    <row r="712" spans="2:17" ht="21.75" customHeight="1" thickBot="1" x14ac:dyDescent="0.25">
      <c r="B712" s="102"/>
      <c r="C712" s="25"/>
      <c r="D712" s="25"/>
      <c r="E712" s="25"/>
      <c r="F712" s="129" t="s">
        <v>117</v>
      </c>
      <c r="G712" s="233" t="e">
        <f>C707*#REF!</f>
        <v>#REF!</v>
      </c>
      <c r="H712" s="234" t="e">
        <f>#REF!</f>
        <v>#REF!</v>
      </c>
      <c r="I712" s="141" t="e">
        <f>+G712*H712</f>
        <v>#REF!</v>
      </c>
      <c r="J712" s="233" t="e">
        <f>C707*#REF!</f>
        <v>#REF!</v>
      </c>
      <c r="K712" s="234" t="e">
        <f>#REF!</f>
        <v>#REF!</v>
      </c>
      <c r="L712" s="141" t="e">
        <f>+J712*K712</f>
        <v>#REF!</v>
      </c>
      <c r="M712" s="235" t="e">
        <f t="shared" ref="M712:M718" si="96">+L712-I712</f>
        <v>#REF!</v>
      </c>
      <c r="N712" s="153" t="e">
        <f t="shared" si="95"/>
        <v>#REF!</v>
      </c>
      <c r="O712" s="154" t="e">
        <f>L712/L718</f>
        <v>#REF!</v>
      </c>
      <c r="P712" s="95"/>
    </row>
    <row r="713" spans="2:17" ht="21.75" customHeight="1" thickBot="1" x14ac:dyDescent="0.25">
      <c r="B713" s="102"/>
      <c r="C713" s="25"/>
      <c r="D713" s="25"/>
      <c r="E713" s="25"/>
      <c r="F713" s="279" t="s">
        <v>118</v>
      </c>
      <c r="G713" s="417"/>
      <c r="H713" s="418"/>
      <c r="I713" s="280" t="e">
        <f>I711+I712</f>
        <v>#REF!</v>
      </c>
      <c r="J713" s="417"/>
      <c r="K713" s="418"/>
      <c r="L713" s="280" t="e">
        <f>L711+L712</f>
        <v>#REF!</v>
      </c>
      <c r="M713" s="283" t="e">
        <f t="shared" si="96"/>
        <v>#REF!</v>
      </c>
      <c r="N713" s="284" t="e">
        <f t="shared" si="95"/>
        <v>#REF!</v>
      </c>
      <c r="O713" s="286" t="e">
        <f>L713/L718</f>
        <v>#REF!</v>
      </c>
      <c r="P713" s="95"/>
    </row>
    <row r="714" spans="2:17" ht="21.75" customHeight="1" x14ac:dyDescent="0.2">
      <c r="B714" s="102"/>
      <c r="C714" s="25"/>
      <c r="D714" s="25"/>
      <c r="E714" s="25"/>
      <c r="F714" s="131" t="s">
        <v>47</v>
      </c>
      <c r="G714" s="133" t="e">
        <f>G712</f>
        <v>#REF!</v>
      </c>
      <c r="H714" s="134" t="e">
        <f>#REF!+#REF!</f>
        <v>#REF!</v>
      </c>
      <c r="I714" s="135" t="e">
        <f>+G714*H714</f>
        <v>#REF!</v>
      </c>
      <c r="J714" s="133" t="e">
        <f>J712</f>
        <v>#REF!</v>
      </c>
      <c r="K714" s="134" t="e">
        <f>#REF!+#REF!</f>
        <v>#REF!</v>
      </c>
      <c r="L714" s="162" t="e">
        <f>+J714*K714</f>
        <v>#REF!</v>
      </c>
      <c r="M714" s="163" t="e">
        <f t="shared" si="96"/>
        <v>#REF!</v>
      </c>
      <c r="N714" s="164" t="e">
        <f t="shared" si="95"/>
        <v>#REF!</v>
      </c>
      <c r="O714" s="192" t="e">
        <f>L714/L718</f>
        <v>#REF!</v>
      </c>
      <c r="P714" s="95"/>
    </row>
    <row r="715" spans="2:17" ht="21.75" customHeight="1" thickBot="1" x14ac:dyDescent="0.25">
      <c r="B715" s="102"/>
      <c r="C715" s="25"/>
      <c r="D715" s="25"/>
      <c r="E715" s="25"/>
      <c r="F715" s="129" t="s">
        <v>48</v>
      </c>
      <c r="G715" s="142" t="e">
        <f>G714</f>
        <v>#REF!</v>
      </c>
      <c r="H715" s="136" t="e">
        <f>#REF!</f>
        <v>#REF!</v>
      </c>
      <c r="I715" s="137" t="e">
        <f>+G715*H715</f>
        <v>#REF!</v>
      </c>
      <c r="J715" s="142" t="e">
        <f>J714</f>
        <v>#REF!</v>
      </c>
      <c r="K715" s="136" t="e">
        <f>#REF!</f>
        <v>#REF!</v>
      </c>
      <c r="L715" s="159" t="e">
        <f>+J715*K715</f>
        <v>#REF!</v>
      </c>
      <c r="M715" s="160" t="e">
        <f t="shared" si="96"/>
        <v>#REF!</v>
      </c>
      <c r="N715" s="161" t="e">
        <f t="shared" si="95"/>
        <v>#REF!</v>
      </c>
      <c r="O715" s="166" t="e">
        <f>L715/L718</f>
        <v>#REF!</v>
      </c>
      <c r="P715" s="95"/>
    </row>
    <row r="716" spans="2:17" ht="21.75" customHeight="1" thickBot="1" x14ac:dyDescent="0.25">
      <c r="B716" s="102"/>
      <c r="C716" s="25"/>
      <c r="D716" s="25"/>
      <c r="E716" s="25"/>
      <c r="F716" s="279" t="s">
        <v>97</v>
      </c>
      <c r="G716" s="417"/>
      <c r="H716" s="418"/>
      <c r="I716" s="280" t="e">
        <f>SUM(I713:I715)</f>
        <v>#REF!</v>
      </c>
      <c r="J716" s="417"/>
      <c r="K716" s="418"/>
      <c r="L716" s="280" t="e">
        <f>SUM(L713:L715)</f>
        <v>#REF!</v>
      </c>
      <c r="M716" s="280" t="e">
        <f t="shared" si="96"/>
        <v>#REF!</v>
      </c>
      <c r="N716" s="284" t="e">
        <f t="shared" si="95"/>
        <v>#REF!</v>
      </c>
      <c r="O716" s="286" t="e">
        <f>L716/L718</f>
        <v>#REF!</v>
      </c>
      <c r="P716" s="194"/>
    </row>
    <row r="717" spans="2:17" ht="21.75" customHeight="1" thickBot="1" x14ac:dyDescent="0.25">
      <c r="B717" s="102"/>
      <c r="C717" s="25"/>
      <c r="D717" s="25"/>
      <c r="E717" s="25"/>
      <c r="F717" s="188" t="s">
        <v>170</v>
      </c>
      <c r="G717" s="189"/>
      <c r="H717" s="193">
        <v>0.13</v>
      </c>
      <c r="I717" s="190" t="e">
        <f>I716*H717</f>
        <v>#REF!</v>
      </c>
      <c r="J717" s="189"/>
      <c r="K717" s="193">
        <v>0.13</v>
      </c>
      <c r="L717" s="191" t="e">
        <f>L716*K717</f>
        <v>#REF!</v>
      </c>
      <c r="M717" s="160" t="e">
        <f t="shared" si="96"/>
        <v>#REF!</v>
      </c>
      <c r="N717" s="164" t="e">
        <f t="shared" si="95"/>
        <v>#REF!</v>
      </c>
      <c r="O717" s="166" t="e">
        <f>L717/L718</f>
        <v>#REF!</v>
      </c>
      <c r="P717" s="95"/>
    </row>
    <row r="718" spans="2:17" ht="21.75" customHeight="1" thickBot="1" x14ac:dyDescent="0.25">
      <c r="B718" s="236"/>
      <c r="C718" s="237"/>
      <c r="D718" s="237"/>
      <c r="E718" s="238"/>
      <c r="F718" s="281" t="s">
        <v>49</v>
      </c>
      <c r="G718" s="428"/>
      <c r="H718" s="429"/>
      <c r="I718" s="282" t="e">
        <f>I716+I717</f>
        <v>#REF!</v>
      </c>
      <c r="J718" s="428"/>
      <c r="K718" s="429"/>
      <c r="L718" s="282" t="e">
        <f>L716+L717</f>
        <v>#REF!</v>
      </c>
      <c r="M718" s="282" t="e">
        <f t="shared" si="96"/>
        <v>#REF!</v>
      </c>
      <c r="N718" s="287" t="e">
        <f t="shared" si="95"/>
        <v>#REF!</v>
      </c>
      <c r="O718" s="288" t="e">
        <f>O716+O717</f>
        <v>#REF!</v>
      </c>
      <c r="P718" s="239"/>
      <c r="Q718" s="240"/>
    </row>
    <row r="719" spans="2:17" ht="10.5" customHeight="1" thickBot="1" x14ac:dyDescent="0.4">
      <c r="B719" s="96"/>
      <c r="C719" s="431"/>
      <c r="D719" s="431"/>
      <c r="E719" s="431"/>
      <c r="F719" s="431"/>
      <c r="G719" s="431"/>
      <c r="H719" s="431"/>
      <c r="I719" s="431"/>
      <c r="J719" s="431"/>
      <c r="K719" s="431"/>
      <c r="L719" s="431"/>
      <c r="M719" s="431"/>
      <c r="N719" s="431"/>
      <c r="O719" s="431"/>
      <c r="P719" s="97"/>
    </row>
    <row r="720" spans="2:17" ht="17.25" customHeight="1" x14ac:dyDescent="0.2"/>
    <row r="721" ht="6.95" customHeight="1" x14ac:dyDescent="0.2"/>
    <row r="722" ht="6.95" customHeight="1" x14ac:dyDescent="0.2"/>
    <row r="725" ht="6.95" customHeight="1" x14ac:dyDescent="0.2"/>
    <row r="728" ht="18" customHeight="1" x14ac:dyDescent="0.2"/>
    <row r="729" ht="18" customHeight="1" x14ac:dyDescent="0.2"/>
    <row r="730" ht="18" customHeight="1" x14ac:dyDescent="0.2"/>
    <row r="731" ht="18" customHeight="1" x14ac:dyDescent="0.2"/>
    <row r="732" ht="18" customHeight="1" x14ac:dyDescent="0.2"/>
    <row r="733" ht="18" customHeight="1" x14ac:dyDescent="0.2"/>
    <row r="734" ht="18" customHeight="1" x14ac:dyDescent="0.2"/>
    <row r="735" ht="18" customHeight="1" x14ac:dyDescent="0.2"/>
    <row r="736" ht="18" customHeight="1" x14ac:dyDescent="0.2"/>
    <row r="737" ht="6.95" customHeight="1" x14ac:dyDescent="0.2"/>
    <row r="738" ht="6.95" customHeight="1" x14ac:dyDescent="0.2"/>
    <row r="741" ht="6.95" customHeight="1" x14ac:dyDescent="0.2"/>
    <row r="744" ht="18" customHeight="1" x14ac:dyDescent="0.2"/>
    <row r="745" ht="18" customHeight="1" x14ac:dyDescent="0.2"/>
    <row r="746" ht="18" customHeight="1" x14ac:dyDescent="0.2"/>
    <row r="747" ht="18" customHeight="1" x14ac:dyDescent="0.2"/>
    <row r="748" ht="18" customHeight="1" x14ac:dyDescent="0.2"/>
    <row r="749" ht="18" customHeight="1" x14ac:dyDescent="0.2"/>
    <row r="750" ht="18" customHeight="1" x14ac:dyDescent="0.2"/>
    <row r="751" ht="18" customHeight="1" x14ac:dyDescent="0.2"/>
    <row r="752" ht="18" customHeight="1" x14ac:dyDescent="0.2"/>
    <row r="753" ht="6.95" customHeight="1" x14ac:dyDescent="0.2"/>
  </sheetData>
  <mergeCells count="517">
    <mergeCell ref="C603:O603"/>
    <mergeCell ref="C624:O624"/>
    <mergeCell ref="G626:I626"/>
    <mergeCell ref="J626:L626"/>
    <mergeCell ref="M626:O626"/>
    <mergeCell ref="C625:O625"/>
    <mergeCell ref="G615:H615"/>
    <mergeCell ref="J615:K615"/>
    <mergeCell ref="C623:O623"/>
    <mergeCell ref="G618:H618"/>
    <mergeCell ref="J618:K618"/>
    <mergeCell ref="G600:H600"/>
    <mergeCell ref="J600:K600"/>
    <mergeCell ref="C545:D545"/>
    <mergeCell ref="G551:H551"/>
    <mergeCell ref="J551:K551"/>
    <mergeCell ref="G553:H553"/>
    <mergeCell ref="J553:K553"/>
    <mergeCell ref="C566:D566"/>
    <mergeCell ref="G620:H620"/>
    <mergeCell ref="J620:K620"/>
    <mergeCell ref="G613:H613"/>
    <mergeCell ref="J613:K613"/>
    <mergeCell ref="G572:H572"/>
    <mergeCell ref="J572:K572"/>
    <mergeCell ref="C604:O604"/>
    <mergeCell ref="C605:O605"/>
    <mergeCell ref="C584:O584"/>
    <mergeCell ref="G585:I585"/>
    <mergeCell ref="M606:O606"/>
    <mergeCell ref="C608:D608"/>
    <mergeCell ref="G606:I606"/>
    <mergeCell ref="J606:L606"/>
    <mergeCell ref="G595:H595"/>
    <mergeCell ref="J595:K595"/>
    <mergeCell ref="C520:O520"/>
    <mergeCell ref="C524:D524"/>
    <mergeCell ref="G530:H530"/>
    <mergeCell ref="J530:K530"/>
    <mergeCell ref="G532:H532"/>
    <mergeCell ref="J532:K532"/>
    <mergeCell ref="J535:K535"/>
    <mergeCell ref="C521:O521"/>
    <mergeCell ref="C416:O416"/>
    <mergeCell ref="C417:O417"/>
    <mergeCell ref="M418:O418"/>
    <mergeCell ref="C519:O519"/>
    <mergeCell ref="G426:H426"/>
    <mergeCell ref="J426:K426"/>
    <mergeCell ref="G428:H428"/>
    <mergeCell ref="J428:K428"/>
    <mergeCell ref="G418:I418"/>
    <mergeCell ref="G433:H433"/>
    <mergeCell ref="J433:K433"/>
    <mergeCell ref="C420:D420"/>
    <mergeCell ref="G447:H447"/>
    <mergeCell ref="J447:K447"/>
    <mergeCell ref="G449:H449"/>
    <mergeCell ref="G522:I522"/>
    <mergeCell ref="G368:H368"/>
    <mergeCell ref="J368:K368"/>
    <mergeCell ref="C378:D378"/>
    <mergeCell ref="G384:H384"/>
    <mergeCell ref="J384:K384"/>
    <mergeCell ref="G386:H386"/>
    <mergeCell ref="J386:K386"/>
    <mergeCell ref="G405:H405"/>
    <mergeCell ref="C396:O396"/>
    <mergeCell ref="G397:I397"/>
    <mergeCell ref="G389:H389"/>
    <mergeCell ref="J389:K389"/>
    <mergeCell ref="G391:H391"/>
    <mergeCell ref="J391:K391"/>
    <mergeCell ref="C399:D399"/>
    <mergeCell ref="J405:K405"/>
    <mergeCell ref="G257:H257"/>
    <mergeCell ref="J257:K257"/>
    <mergeCell ref="J302:K302"/>
    <mergeCell ref="C290:O290"/>
    <mergeCell ref="G279:H279"/>
    <mergeCell ref="M271:O271"/>
    <mergeCell ref="C270:O270"/>
    <mergeCell ref="G284:H284"/>
    <mergeCell ref="G261:H261"/>
    <mergeCell ref="J261:K261"/>
    <mergeCell ref="G263:H263"/>
    <mergeCell ref="J263:K263"/>
    <mergeCell ref="G292:I292"/>
    <mergeCell ref="J271:L271"/>
    <mergeCell ref="G286:H286"/>
    <mergeCell ref="C244:O244"/>
    <mergeCell ref="C245:O245"/>
    <mergeCell ref="C246:O246"/>
    <mergeCell ref="G247:I247"/>
    <mergeCell ref="J247:L247"/>
    <mergeCell ref="M247:O247"/>
    <mergeCell ref="C249:D249"/>
    <mergeCell ref="G255:H255"/>
    <mergeCell ref="J255:K255"/>
    <mergeCell ref="C222:O222"/>
    <mergeCell ref="C223:O223"/>
    <mergeCell ref="C224:O224"/>
    <mergeCell ref="G225:I225"/>
    <mergeCell ref="J225:L225"/>
    <mergeCell ref="M225:O225"/>
    <mergeCell ref="G239:H239"/>
    <mergeCell ref="J239:K239"/>
    <mergeCell ref="G241:H241"/>
    <mergeCell ref="J241:K241"/>
    <mergeCell ref="C227:D227"/>
    <mergeCell ref="G233:H233"/>
    <mergeCell ref="J233:K233"/>
    <mergeCell ref="G235:H235"/>
    <mergeCell ref="J235:K235"/>
    <mergeCell ref="C200:O200"/>
    <mergeCell ref="C201:O201"/>
    <mergeCell ref="C202:O202"/>
    <mergeCell ref="G203:I203"/>
    <mergeCell ref="J203:L203"/>
    <mergeCell ref="M203:O203"/>
    <mergeCell ref="G217:H217"/>
    <mergeCell ref="J217:K217"/>
    <mergeCell ref="G219:H219"/>
    <mergeCell ref="J219:K219"/>
    <mergeCell ref="C205:D205"/>
    <mergeCell ref="G211:H211"/>
    <mergeCell ref="J211:K211"/>
    <mergeCell ref="G213:H213"/>
    <mergeCell ref="J213:K213"/>
    <mergeCell ref="G195:H195"/>
    <mergeCell ref="J195:K195"/>
    <mergeCell ref="G197:H197"/>
    <mergeCell ref="J197:K197"/>
    <mergeCell ref="C183:D183"/>
    <mergeCell ref="G189:H189"/>
    <mergeCell ref="J189:K189"/>
    <mergeCell ref="G191:H191"/>
    <mergeCell ref="J191:K191"/>
    <mergeCell ref="G181:I181"/>
    <mergeCell ref="J181:L181"/>
    <mergeCell ref="C180:O180"/>
    <mergeCell ref="G173:H173"/>
    <mergeCell ref="J173:K173"/>
    <mergeCell ref="M181:O181"/>
    <mergeCell ref="G175:H175"/>
    <mergeCell ref="J175:K175"/>
    <mergeCell ref="C178:O178"/>
    <mergeCell ref="C179:O179"/>
    <mergeCell ref="G167:H167"/>
    <mergeCell ref="J167:K167"/>
    <mergeCell ref="G50:I50"/>
    <mergeCell ref="J50:L50"/>
    <mergeCell ref="M50:O50"/>
    <mergeCell ref="J60:K60"/>
    <mergeCell ref="G45:H45"/>
    <mergeCell ref="J45:K45"/>
    <mergeCell ref="G159:I159"/>
    <mergeCell ref="G65:H65"/>
    <mergeCell ref="J65:K65"/>
    <mergeCell ref="J63:K63"/>
    <mergeCell ref="C46:O46"/>
    <mergeCell ref="C49:O49"/>
    <mergeCell ref="C69:O69"/>
    <mergeCell ref="J125:K125"/>
    <mergeCell ref="C113:O113"/>
    <mergeCell ref="G128:H128"/>
    <mergeCell ref="J128:K128"/>
    <mergeCell ref="G130:H130"/>
    <mergeCell ref="J130:K130"/>
    <mergeCell ref="J84:K84"/>
    <mergeCell ref="G86:H86"/>
    <mergeCell ref="J86:K86"/>
    <mergeCell ref="C161:D161"/>
    <mergeCell ref="J30:L30"/>
    <mergeCell ref="M30:O30"/>
    <mergeCell ref="C29:O29"/>
    <mergeCell ref="C32:D32"/>
    <mergeCell ref="G38:H38"/>
    <mergeCell ref="J38:K38"/>
    <mergeCell ref="G43:H43"/>
    <mergeCell ref="J43:K43"/>
    <mergeCell ref="G40:H40"/>
    <mergeCell ref="G152:H152"/>
    <mergeCell ref="M159:O159"/>
    <mergeCell ref="G137:I137"/>
    <mergeCell ref="J137:L137"/>
    <mergeCell ref="G145:H145"/>
    <mergeCell ref="J145:K145"/>
    <mergeCell ref="C91:O91"/>
    <mergeCell ref="G150:H150"/>
    <mergeCell ref="J150:K150"/>
    <mergeCell ref="C134:O134"/>
    <mergeCell ref="C135:O135"/>
    <mergeCell ref="C136:O136"/>
    <mergeCell ref="G115:I115"/>
    <mergeCell ref="G106:H106"/>
    <mergeCell ref="C8:O8"/>
    <mergeCell ref="C9:O9"/>
    <mergeCell ref="C12:D12"/>
    <mergeCell ref="G10:I10"/>
    <mergeCell ref="J10:L10"/>
    <mergeCell ref="M10:O10"/>
    <mergeCell ref="C336:D336"/>
    <mergeCell ref="G355:I355"/>
    <mergeCell ref="J355:L355"/>
    <mergeCell ref="M355:O355"/>
    <mergeCell ref="J349:K349"/>
    <mergeCell ref="C352:O352"/>
    <mergeCell ref="C353:O353"/>
    <mergeCell ref="C354:O354"/>
    <mergeCell ref="G349:H349"/>
    <mergeCell ref="G342:H342"/>
    <mergeCell ref="C90:O90"/>
    <mergeCell ref="J292:L292"/>
    <mergeCell ref="C73:D73"/>
    <mergeCell ref="G93:I93"/>
    <mergeCell ref="J93:L93"/>
    <mergeCell ref="M93:O93"/>
    <mergeCell ref="C291:O291"/>
    <mergeCell ref="G281:H281"/>
    <mergeCell ref="C26:O26"/>
    <mergeCell ref="C273:D273"/>
    <mergeCell ref="G271:I271"/>
    <mergeCell ref="J115:L115"/>
    <mergeCell ref="C289:O289"/>
    <mergeCell ref="C156:O156"/>
    <mergeCell ref="C157:O157"/>
    <mergeCell ref="C357:D357"/>
    <mergeCell ref="J281:K281"/>
    <mergeCell ref="J169:K169"/>
    <mergeCell ref="C66:O66"/>
    <mergeCell ref="G79:H79"/>
    <mergeCell ref="J79:K79"/>
    <mergeCell ref="C52:D52"/>
    <mergeCell ref="G58:H58"/>
    <mergeCell ref="J58:K58"/>
    <mergeCell ref="G60:H60"/>
    <mergeCell ref="C70:O70"/>
    <mergeCell ref="G63:H63"/>
    <mergeCell ref="J159:L159"/>
    <mergeCell ref="J40:K40"/>
    <mergeCell ref="G169:H169"/>
    <mergeCell ref="C114:O114"/>
    <mergeCell ref="C48:O48"/>
    <mergeCell ref="J697:K697"/>
    <mergeCell ref="C700:O700"/>
    <mergeCell ref="G673:H673"/>
    <mergeCell ref="G675:H675"/>
    <mergeCell ref="J577:K577"/>
    <mergeCell ref="C587:D587"/>
    <mergeCell ref="G692:H692"/>
    <mergeCell ref="G646:I646"/>
    <mergeCell ref="J646:L646"/>
    <mergeCell ref="C645:O645"/>
    <mergeCell ref="M646:O646"/>
    <mergeCell ref="J660:K660"/>
    <mergeCell ref="J673:K673"/>
    <mergeCell ref="C668:D668"/>
    <mergeCell ref="G640:H640"/>
    <mergeCell ref="J640:K640"/>
    <mergeCell ref="C628:D628"/>
    <mergeCell ref="G635:H635"/>
    <mergeCell ref="J635:K635"/>
    <mergeCell ref="G577:H577"/>
    <mergeCell ref="G593:H593"/>
    <mergeCell ref="J593:K593"/>
    <mergeCell ref="G579:H579"/>
    <mergeCell ref="J579:K579"/>
    <mergeCell ref="J692:K692"/>
    <mergeCell ref="G685:I685"/>
    <mergeCell ref="J685:L685"/>
    <mergeCell ref="C683:O683"/>
    <mergeCell ref="J680:K680"/>
    <mergeCell ref="M71:O71"/>
    <mergeCell ref="J71:L71"/>
    <mergeCell ref="C117:D117"/>
    <mergeCell ref="G108:H108"/>
    <mergeCell ref="J108:K108"/>
    <mergeCell ref="C664:O664"/>
    <mergeCell ref="J655:K655"/>
    <mergeCell ref="G655:H655"/>
    <mergeCell ref="C648:D648"/>
    <mergeCell ref="J653:K653"/>
    <mergeCell ref="C310:O310"/>
    <mergeCell ref="G347:H347"/>
    <mergeCell ref="G574:H574"/>
    <mergeCell ref="J574:K574"/>
    <mergeCell ref="C158:O158"/>
    <mergeCell ref="J300:K300"/>
    <mergeCell ref="J279:K279"/>
    <mergeCell ref="M137:O137"/>
    <mergeCell ref="C684:O684"/>
    <mergeCell ref="B1:O1"/>
    <mergeCell ref="B2:O2"/>
    <mergeCell ref="B3:O3"/>
    <mergeCell ref="B7:O7"/>
    <mergeCell ref="C6:O6"/>
    <mergeCell ref="C4:O4"/>
    <mergeCell ref="C5:O5"/>
    <mergeCell ref="C706:D706"/>
    <mergeCell ref="C112:O112"/>
    <mergeCell ref="G680:H680"/>
    <mergeCell ref="J152:K152"/>
    <mergeCell ref="C269:O269"/>
    <mergeCell ref="C268:O268"/>
    <mergeCell ref="G678:H678"/>
    <mergeCell ref="M313:O313"/>
    <mergeCell ref="J678:K678"/>
    <mergeCell ref="C312:O312"/>
    <mergeCell ref="J675:K675"/>
    <mergeCell ref="G653:H653"/>
    <mergeCell ref="J694:K694"/>
    <mergeCell ref="C643:O643"/>
    <mergeCell ref="G638:H638"/>
    <mergeCell ref="J633:K633"/>
    <mergeCell ref="J638:K638"/>
    <mergeCell ref="C315:D315"/>
    <mergeCell ref="J284:K284"/>
    <mergeCell ref="C311:O311"/>
    <mergeCell ref="C663:O663"/>
    <mergeCell ref="G660:H660"/>
    <mergeCell ref="G633:H633"/>
    <mergeCell ref="C644:O644"/>
    <mergeCell ref="C665:O665"/>
    <mergeCell ref="G666:I666"/>
    <mergeCell ref="J666:L666"/>
    <mergeCell ref="M666:O666"/>
    <mergeCell ref="G658:H658"/>
    <mergeCell ref="J658:K658"/>
    <mergeCell ref="J321:K321"/>
    <mergeCell ref="C333:O333"/>
    <mergeCell ref="G326:H326"/>
    <mergeCell ref="G313:I313"/>
    <mergeCell ref="G302:H302"/>
    <mergeCell ref="C294:D294"/>
    <mergeCell ref="G300:H300"/>
    <mergeCell ref="M292:O292"/>
    <mergeCell ref="G307:H307"/>
    <mergeCell ref="J286:K286"/>
    <mergeCell ref="J307:K307"/>
    <mergeCell ref="G718:H718"/>
    <mergeCell ref="J718:K718"/>
    <mergeCell ref="C719:O719"/>
    <mergeCell ref="C562:O562"/>
    <mergeCell ref="C563:O563"/>
    <mergeCell ref="G564:I564"/>
    <mergeCell ref="J564:L564"/>
    <mergeCell ref="G716:H716"/>
    <mergeCell ref="J716:K716"/>
    <mergeCell ref="G713:H713"/>
    <mergeCell ref="G711:H711"/>
    <mergeCell ref="J711:K711"/>
    <mergeCell ref="G704:I704"/>
    <mergeCell ref="J704:L704"/>
    <mergeCell ref="M704:O704"/>
    <mergeCell ref="M685:O685"/>
    <mergeCell ref="C687:D687"/>
    <mergeCell ref="C702:O702"/>
    <mergeCell ref="G694:H694"/>
    <mergeCell ref="J713:K713"/>
    <mergeCell ref="C703:O703"/>
    <mergeCell ref="G699:H699"/>
    <mergeCell ref="J699:K699"/>
    <mergeCell ref="G697:H697"/>
    <mergeCell ref="G18:H18"/>
    <mergeCell ref="J18:K18"/>
    <mergeCell ref="G23:H23"/>
    <mergeCell ref="J23:K23"/>
    <mergeCell ref="G20:H20"/>
    <mergeCell ref="J20:K20"/>
    <mergeCell ref="J25:K25"/>
    <mergeCell ref="G25:H25"/>
    <mergeCell ref="G147:H147"/>
    <mergeCell ref="J147:K147"/>
    <mergeCell ref="C68:O68"/>
    <mergeCell ref="C95:D95"/>
    <mergeCell ref="G101:H101"/>
    <mergeCell ref="G84:H84"/>
    <mergeCell ref="C139:D139"/>
    <mergeCell ref="G81:H81"/>
    <mergeCell ref="J81:K81"/>
    <mergeCell ref="G123:H123"/>
    <mergeCell ref="J123:K123"/>
    <mergeCell ref="G125:H125"/>
    <mergeCell ref="M115:O115"/>
    <mergeCell ref="G71:I71"/>
    <mergeCell ref="C28:O28"/>
    <mergeCell ref="G30:I30"/>
    <mergeCell ref="G305:H305"/>
    <mergeCell ref="G323:H323"/>
    <mergeCell ref="J323:K323"/>
    <mergeCell ref="G321:H321"/>
    <mergeCell ref="J326:K326"/>
    <mergeCell ref="J305:K305"/>
    <mergeCell ref="J342:K342"/>
    <mergeCell ref="G344:H344"/>
    <mergeCell ref="J344:K344"/>
    <mergeCell ref="G334:I334"/>
    <mergeCell ref="J334:L334"/>
    <mergeCell ref="J313:L313"/>
    <mergeCell ref="G363:H363"/>
    <mergeCell ref="J363:K363"/>
    <mergeCell ref="M334:O334"/>
    <mergeCell ref="G328:H328"/>
    <mergeCell ref="J328:K328"/>
    <mergeCell ref="C331:O331"/>
    <mergeCell ref="C332:O332"/>
    <mergeCell ref="J347:K347"/>
    <mergeCell ref="G410:H410"/>
    <mergeCell ref="J410:K410"/>
    <mergeCell ref="C394:O394"/>
    <mergeCell ref="C395:O395"/>
    <mergeCell ref="J397:L397"/>
    <mergeCell ref="M397:O397"/>
    <mergeCell ref="J365:K365"/>
    <mergeCell ref="C373:O373"/>
    <mergeCell ref="C374:O374"/>
    <mergeCell ref="J370:K370"/>
    <mergeCell ref="C375:O375"/>
    <mergeCell ref="G376:I376"/>
    <mergeCell ref="J376:L376"/>
    <mergeCell ref="M376:O376"/>
    <mergeCell ref="G370:H370"/>
    <mergeCell ref="G365:H365"/>
    <mergeCell ref="G407:H407"/>
    <mergeCell ref="J407:K407"/>
    <mergeCell ref="J418:L418"/>
    <mergeCell ref="G431:H431"/>
    <mergeCell ref="J431:K431"/>
    <mergeCell ref="G412:H412"/>
    <mergeCell ref="J412:K412"/>
    <mergeCell ref="C415:O415"/>
    <mergeCell ref="C441:D441"/>
    <mergeCell ref="J522:L522"/>
    <mergeCell ref="M522:O522"/>
    <mergeCell ref="G598:H598"/>
    <mergeCell ref="J598:K598"/>
    <mergeCell ref="C582:O582"/>
    <mergeCell ref="C583:O583"/>
    <mergeCell ref="M543:O543"/>
    <mergeCell ref="G535:H535"/>
    <mergeCell ref="M564:O564"/>
    <mergeCell ref="G556:H556"/>
    <mergeCell ref="J556:K556"/>
    <mergeCell ref="G558:H558"/>
    <mergeCell ref="C540:O540"/>
    <mergeCell ref="C541:O541"/>
    <mergeCell ref="C542:O542"/>
    <mergeCell ref="J558:K558"/>
    <mergeCell ref="C561:O561"/>
    <mergeCell ref="G543:I543"/>
    <mergeCell ref="J543:L543"/>
    <mergeCell ref="J585:L585"/>
    <mergeCell ref="M585:O585"/>
    <mergeCell ref="G537:H537"/>
    <mergeCell ref="J537:K537"/>
    <mergeCell ref="J449:K449"/>
    <mergeCell ref="G452:H452"/>
    <mergeCell ref="J452:K452"/>
    <mergeCell ref="C436:O436"/>
    <mergeCell ref="C437:O437"/>
    <mergeCell ref="C438:O438"/>
    <mergeCell ref="G439:I439"/>
    <mergeCell ref="J439:L439"/>
    <mergeCell ref="M439:O439"/>
    <mergeCell ref="C462:D462"/>
    <mergeCell ref="G468:H468"/>
    <mergeCell ref="J468:K468"/>
    <mergeCell ref="G470:H470"/>
    <mergeCell ref="J470:K470"/>
    <mergeCell ref="G473:H473"/>
    <mergeCell ref="J473:K473"/>
    <mergeCell ref="G454:H454"/>
    <mergeCell ref="J454:K454"/>
    <mergeCell ref="C457:O457"/>
    <mergeCell ref="C458:O458"/>
    <mergeCell ref="C459:O459"/>
    <mergeCell ref="G460:I460"/>
    <mergeCell ref="J460:L460"/>
    <mergeCell ref="M460:O460"/>
    <mergeCell ref="J489:K489"/>
    <mergeCell ref="G491:H491"/>
    <mergeCell ref="J491:K491"/>
    <mergeCell ref="G494:H494"/>
    <mergeCell ref="J494:K494"/>
    <mergeCell ref="G475:H475"/>
    <mergeCell ref="J475:K475"/>
    <mergeCell ref="C478:O478"/>
    <mergeCell ref="C479:O479"/>
    <mergeCell ref="C480:O480"/>
    <mergeCell ref="G481:I481"/>
    <mergeCell ref="J481:L481"/>
    <mergeCell ref="M481:O481"/>
    <mergeCell ref="J106:K106"/>
    <mergeCell ref="C92:O92"/>
    <mergeCell ref="J101:K101"/>
    <mergeCell ref="G103:H103"/>
    <mergeCell ref="J103:K103"/>
    <mergeCell ref="G517:H517"/>
    <mergeCell ref="J517:K517"/>
    <mergeCell ref="G496:H496"/>
    <mergeCell ref="J496:K496"/>
    <mergeCell ref="C499:O499"/>
    <mergeCell ref="C504:D504"/>
    <mergeCell ref="G510:H510"/>
    <mergeCell ref="J510:K510"/>
    <mergeCell ref="G512:H512"/>
    <mergeCell ref="J512:K512"/>
    <mergeCell ref="G515:H515"/>
    <mergeCell ref="J515:K515"/>
    <mergeCell ref="C500:O500"/>
    <mergeCell ref="C501:O501"/>
    <mergeCell ref="G502:I502"/>
    <mergeCell ref="J502:L502"/>
    <mergeCell ref="M502:O502"/>
    <mergeCell ref="C483:D483"/>
    <mergeCell ref="G489:H489"/>
  </mergeCells>
  <phoneticPr fontId="0" type="noConversion"/>
  <pageMargins left="0.75" right="0.75" top="1" bottom="1" header="0.5" footer="0.5"/>
  <pageSetup scale="21" fitToHeight="6" orientation="landscape" horizontalDpi="355" verticalDpi="355" r:id="rId1"/>
  <headerFooter alignWithMargins="0"/>
  <rowBreaks count="10" manualBreakCount="10">
    <brk id="66" max="15" man="1"/>
    <brk id="154" max="15" man="1"/>
    <brk id="198" max="15" man="1"/>
    <brk id="264" max="15" man="1"/>
    <brk id="329" max="15" man="1"/>
    <brk id="392" max="15" man="1"/>
    <brk id="455" max="15" man="1"/>
    <brk id="518" max="15" man="1"/>
    <brk id="601" max="15" man="1"/>
    <brk id="68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90" zoomScaleNormal="90" workbookViewId="0">
      <selection activeCell="E10" sqref="E10"/>
    </sheetView>
  </sheetViews>
  <sheetFormatPr defaultRowHeight="12.75" x14ac:dyDescent="0.2"/>
  <cols>
    <col min="1" max="1" width="32.7109375" bestFit="1" customWidth="1"/>
    <col min="2" max="2" width="16.7109375" customWidth="1"/>
    <col min="3" max="3" width="13.5703125" customWidth="1"/>
    <col min="4" max="4" width="15" customWidth="1"/>
    <col min="5" max="5" width="19.28515625" customWidth="1"/>
    <col min="6" max="6" width="2.7109375" customWidth="1"/>
    <col min="7" max="7" width="19" style="1" bestFit="1" customWidth="1"/>
    <col min="8" max="8" width="23.7109375" style="1" bestFit="1" customWidth="1"/>
    <col min="9" max="9" width="11.28515625" style="1" bestFit="1" customWidth="1"/>
    <col min="10" max="11" width="14" style="1" bestFit="1" customWidth="1"/>
    <col min="12" max="12" width="13.7109375" style="1" customWidth="1"/>
  </cols>
  <sheetData>
    <row r="1" spans="1:12" x14ac:dyDescent="0.2">
      <c r="A1" s="394">
        <f>+'Revenue Input'!A1</f>
        <v>0</v>
      </c>
      <c r="B1" s="394"/>
      <c r="C1" s="394"/>
      <c r="D1" s="394"/>
      <c r="E1" s="394"/>
    </row>
    <row r="2" spans="1:12" ht="13.5" thickBot="1" x14ac:dyDescent="0.25">
      <c r="A2" s="404"/>
      <c r="B2" s="404"/>
      <c r="C2" s="404"/>
      <c r="D2" s="404"/>
      <c r="E2" s="404"/>
    </row>
    <row r="3" spans="1:12" ht="21" thickBot="1" x14ac:dyDescent="0.35">
      <c r="A3" s="440" t="s">
        <v>185</v>
      </c>
      <c r="B3" s="440"/>
      <c r="C3" s="440"/>
      <c r="D3" s="440"/>
      <c r="E3" s="440"/>
      <c r="G3" s="52" t="s">
        <v>73</v>
      </c>
      <c r="H3" s="183" t="s">
        <v>112</v>
      </c>
    </row>
    <row r="4" spans="1:12" ht="15.75" x14ac:dyDescent="0.25">
      <c r="A4" s="439"/>
      <c r="B4" s="439"/>
      <c r="C4" s="439"/>
      <c r="D4" s="439"/>
      <c r="E4" s="439"/>
    </row>
    <row r="5" spans="1:12" x14ac:dyDescent="0.2">
      <c r="A5" s="441"/>
      <c r="B5" s="441"/>
      <c r="C5" s="441"/>
      <c r="D5" s="441"/>
      <c r="E5" s="441"/>
      <c r="F5" s="50"/>
      <c r="G5" s="50"/>
      <c r="H5" s="50"/>
      <c r="I5" s="50"/>
      <c r="J5" s="50"/>
      <c r="K5" s="50"/>
    </row>
    <row r="6" spans="1:12" ht="15.75" x14ac:dyDescent="0.25">
      <c r="A6" s="439"/>
      <c r="B6" s="439"/>
      <c r="C6" s="439"/>
      <c r="D6" s="439"/>
      <c r="E6" s="439"/>
    </row>
    <row r="7" spans="1:12" s="7" customFormat="1" ht="18" x14ac:dyDescent="0.25">
      <c r="A7" s="410" t="s">
        <v>186</v>
      </c>
      <c r="B7" s="410"/>
      <c r="C7" s="410"/>
      <c r="D7" s="410"/>
      <c r="E7" s="410"/>
      <c r="G7" s="17"/>
      <c r="H7" s="17"/>
      <c r="I7" s="17"/>
      <c r="J7" s="17"/>
      <c r="K7" s="17"/>
      <c r="L7" s="17"/>
    </row>
    <row r="8" spans="1:12" s="7" customFormat="1" x14ac:dyDescent="0.2">
      <c r="A8" s="331" t="s">
        <v>0</v>
      </c>
      <c r="B8" s="341" t="s">
        <v>16</v>
      </c>
      <c r="C8" s="341" t="s">
        <v>17</v>
      </c>
      <c r="D8" s="341" t="s">
        <v>13</v>
      </c>
      <c r="E8" s="341" t="s">
        <v>12</v>
      </c>
      <c r="G8" s="18"/>
      <c r="H8" s="18"/>
      <c r="I8" s="18"/>
      <c r="J8" s="18"/>
      <c r="K8" s="18"/>
      <c r="L8" s="18"/>
    </row>
    <row r="9" spans="1:12" s="7" customFormat="1" ht="18" customHeight="1" x14ac:dyDescent="0.2">
      <c r="A9" s="84" t="str">
        <f>'Cost Allocation Study'!A5</f>
        <v>Residential</v>
      </c>
      <c r="B9" s="199">
        <v>0</v>
      </c>
      <c r="C9" s="199">
        <f>IF(+$H$3="Y",+ROUND(+'Rates By Rate Class'!D6,2),+'Rates By Rate Class'!D6)</f>
        <v>12.63</v>
      </c>
      <c r="D9" s="92"/>
      <c r="E9" s="92">
        <f>IF(+$H$3="Y",ROUND(+'Rates By Rate Class'!E6,4),+'Rates By Rate Class'!E6)</f>
        <v>1.2200000000000001E-2</v>
      </c>
      <c r="G9" s="51"/>
      <c r="H9" s="51"/>
      <c r="I9" s="17"/>
      <c r="J9" s="17"/>
      <c r="K9" s="17"/>
      <c r="L9" s="17"/>
    </row>
    <row r="10" spans="1:12" s="7" customFormat="1" ht="18" customHeight="1" x14ac:dyDescent="0.2">
      <c r="A10" s="84" t="str">
        <f>'Cost Allocation Study'!A6</f>
        <v>GS &lt; 50 kW</v>
      </c>
      <c r="B10" s="199">
        <v>0</v>
      </c>
      <c r="C10" s="199">
        <f>IF(+$H$3="Y",+ROUND(+'Rates By Rate Class'!D7,2),+'Rates By Rate Class'!D7)</f>
        <v>25.96</v>
      </c>
      <c r="D10" s="92"/>
      <c r="E10" s="92">
        <f>IF(+$H$3="Y",ROUND(+'Rates By Rate Class'!E7,4),+'Rates By Rate Class'!E7)</f>
        <v>1.34E-2</v>
      </c>
      <c r="G10" s="51"/>
      <c r="H10" s="51"/>
      <c r="I10" s="17"/>
      <c r="J10" s="17"/>
      <c r="K10" s="17"/>
      <c r="L10" s="17"/>
    </row>
    <row r="11" spans="1:12" s="7" customFormat="1" ht="18" customHeight="1" x14ac:dyDescent="0.2">
      <c r="A11" s="84" t="str">
        <f>'Cost Allocation Study'!A7</f>
        <v>GS &gt;50 to 999 kW</v>
      </c>
      <c r="B11" s="199">
        <v>0</v>
      </c>
      <c r="C11" s="199">
        <f>IF(+$H$3="Y",+ROUND(+'Rates By Rate Class'!D8,2),+'Rates By Rate Class'!D8)</f>
        <v>195.33</v>
      </c>
      <c r="D11" s="92">
        <f>IF(+$H$3="Y",ROUND(+'Rates By Rate Class'!E8,4),+'Rates By Rate Class'!E8)</f>
        <v>2.4857</v>
      </c>
      <c r="E11" s="92"/>
      <c r="G11" s="51"/>
      <c r="H11" s="51"/>
      <c r="I11" s="17"/>
      <c r="J11" s="17"/>
      <c r="K11" s="17"/>
      <c r="L11" s="17"/>
    </row>
    <row r="12" spans="1:12" s="7" customFormat="1" ht="18" customHeight="1" x14ac:dyDescent="0.2">
      <c r="A12" s="84" t="str">
        <f>'Cost Allocation Study'!A8</f>
        <v>GS &gt;1000 to 4999 kW</v>
      </c>
      <c r="B12" s="199">
        <v>0</v>
      </c>
      <c r="C12" s="199">
        <f>IF(+$H$3="Y",+ROUND(+'Rates By Rate Class'!D9,2),+'Rates By Rate Class'!D9)</f>
        <v>2794.55</v>
      </c>
      <c r="D12" s="92">
        <f>IF(+$H$3="Y",ROUND(+'Rates By Rate Class'!E9,4),+'Rates By Rate Class'!E9)</f>
        <v>2.2079</v>
      </c>
      <c r="E12" s="92"/>
      <c r="G12" s="51"/>
      <c r="H12" s="51"/>
      <c r="I12" s="17"/>
      <c r="J12" s="17"/>
      <c r="K12" s="17"/>
      <c r="L12" s="17"/>
    </row>
    <row r="13" spans="1:12" s="7" customFormat="1" ht="18" customHeight="1" x14ac:dyDescent="0.2">
      <c r="A13" s="84" t="str">
        <f>'Cost Allocation Study'!A9</f>
        <v>Large Use</v>
      </c>
      <c r="B13" s="199">
        <v>0</v>
      </c>
      <c r="C13" s="199">
        <f>IF(+$H$3="Y",+ROUND(+'Rates By Rate Class'!D10,2),+'Rates By Rate Class'!D10)</f>
        <v>0</v>
      </c>
      <c r="D13" s="92" t="e">
        <f>IF(+$H$3="Y",ROUND(+'Rates By Rate Class'!E10,4),+'Rates By Rate Class'!E10)</f>
        <v>#DIV/0!</v>
      </c>
      <c r="E13" s="92"/>
      <c r="G13" s="51"/>
      <c r="H13" s="51"/>
      <c r="I13" s="17"/>
      <c r="J13" s="17"/>
      <c r="K13" s="17"/>
      <c r="L13" s="17"/>
    </row>
    <row r="14" spans="1:12" s="7" customFormat="1" ht="18" customHeight="1" x14ac:dyDescent="0.2">
      <c r="A14" s="84" t="str">
        <f>'Cost Allocation Study'!A10</f>
        <v>Sentinel Lights</v>
      </c>
      <c r="B14" s="199">
        <f>IF(+$H$3="Y",+ROUND(+'Rates By Rate Class'!D11,4),+'Rates By Rate Class'!D11)</f>
        <v>6.6554000000000002</v>
      </c>
      <c r="C14" s="199"/>
      <c r="D14" s="92">
        <f>IF(+$H$3="Y",ROUND(+'Rates By Rate Class'!E11,4),+'Rates By Rate Class'!E11)</f>
        <v>5.3399000000000001</v>
      </c>
      <c r="E14" s="92"/>
      <c r="G14" s="51"/>
      <c r="H14" s="51"/>
      <c r="I14" s="17"/>
      <c r="J14" s="17"/>
      <c r="K14" s="17"/>
      <c r="L14" s="17"/>
    </row>
    <row r="15" spans="1:12" s="7" customFormat="1" ht="18" customHeight="1" x14ac:dyDescent="0.2">
      <c r="A15" s="84" t="str">
        <f>'Cost Allocation Study'!A11</f>
        <v>Street Lighting</v>
      </c>
      <c r="B15" s="199">
        <f>IF(+$H$3="Y",+ROUND(+'Rates By Rate Class'!D12,4),+'Rates By Rate Class'!D12)</f>
        <v>1.1073999999999999</v>
      </c>
      <c r="C15" s="199"/>
      <c r="D15" s="92">
        <f>IF(+$H$3="Y",ROUND(+'Rates By Rate Class'!E12,4),+'Rates By Rate Class'!E12)</f>
        <v>6.6959</v>
      </c>
      <c r="E15" s="92"/>
      <c r="G15" s="51"/>
      <c r="H15" s="51"/>
      <c r="I15" s="17"/>
      <c r="J15" s="17"/>
      <c r="K15" s="17"/>
      <c r="L15" s="17"/>
    </row>
    <row r="16" spans="1:12" s="7" customFormat="1" ht="18" customHeight="1" x14ac:dyDescent="0.2">
      <c r="A16" s="84" t="str">
        <f>'Cost Allocation Study'!A12</f>
        <v>Unmetered and Scattered</v>
      </c>
      <c r="B16" s="199">
        <f>IF(+$H$3="Y",+ROUND(+'Rates By Rate Class'!D13,4),+'Rates By Rate Class'!D13)</f>
        <v>6.7534999999999998</v>
      </c>
      <c r="C16" s="199"/>
      <c r="D16" s="92"/>
      <c r="E16" s="92">
        <f>IF(+$H$3="Y",ROUND(+'Rates By Rate Class'!E13,4),+'Rates By Rate Class'!E13)</f>
        <v>9.9000000000000008E-3</v>
      </c>
      <c r="G16" s="51"/>
      <c r="H16" s="51"/>
      <c r="I16" s="17"/>
      <c r="J16" s="17"/>
      <c r="K16" s="17"/>
      <c r="L16" s="17"/>
    </row>
    <row r="17" spans="1:12" ht="18.75" customHeight="1" x14ac:dyDescent="0.25">
      <c r="A17" s="439"/>
      <c r="B17" s="439"/>
      <c r="C17" s="439"/>
      <c r="D17" s="439"/>
      <c r="E17" s="439"/>
      <c r="G17" s="17"/>
      <c r="H17" s="17"/>
      <c r="I17" s="17"/>
      <c r="J17" s="17"/>
      <c r="K17" s="17"/>
      <c r="L17" s="17"/>
    </row>
    <row r="18" spans="1:12" s="7" customFormat="1" ht="15" customHeight="1" thickBot="1" x14ac:dyDescent="0.3">
      <c r="A18" s="439"/>
      <c r="B18" s="439"/>
      <c r="C18" s="439"/>
      <c r="D18" s="439"/>
      <c r="E18" s="439"/>
      <c r="G18" s="17"/>
      <c r="H18"/>
      <c r="I18"/>
      <c r="J18"/>
      <c r="K18"/>
      <c r="L18"/>
    </row>
    <row r="19" spans="1:12" s="7" customFormat="1" ht="18" customHeight="1" thickBot="1" x14ac:dyDescent="0.25">
      <c r="A19" s="49" t="s">
        <v>77</v>
      </c>
      <c r="B19" s="56"/>
      <c r="C19" s="56"/>
      <c r="D19" s="93">
        <f>'Transformer Allowance'!B17</f>
        <v>-0.6</v>
      </c>
      <c r="E19" s="56"/>
      <c r="G19" s="17"/>
      <c r="H19"/>
      <c r="I19"/>
      <c r="J19"/>
      <c r="K19"/>
      <c r="L19"/>
    </row>
    <row r="22" spans="1:12" x14ac:dyDescent="0.2">
      <c r="G22"/>
      <c r="H22"/>
      <c r="I22"/>
      <c r="J22"/>
      <c r="K22"/>
      <c r="L22"/>
    </row>
    <row r="23" spans="1:12" ht="90.75" customHeight="1" x14ac:dyDescent="0.2">
      <c r="G23"/>
      <c r="H23"/>
      <c r="I23"/>
      <c r="J23"/>
      <c r="K23"/>
      <c r="L23"/>
    </row>
    <row r="24" spans="1:12" ht="18" customHeight="1" x14ac:dyDescent="0.2">
      <c r="G24"/>
      <c r="H24"/>
      <c r="I24"/>
      <c r="J24"/>
      <c r="K24"/>
      <c r="L24"/>
    </row>
    <row r="25" spans="1:12" ht="18" customHeight="1" x14ac:dyDescent="0.2">
      <c r="G25"/>
      <c r="H25"/>
      <c r="I25"/>
      <c r="J25"/>
      <c r="K25"/>
      <c r="L25"/>
    </row>
    <row r="26" spans="1:12" ht="18" customHeight="1" x14ac:dyDescent="0.2">
      <c r="G26"/>
      <c r="H26"/>
      <c r="I26"/>
      <c r="J26"/>
      <c r="K26"/>
      <c r="L26"/>
    </row>
    <row r="27" spans="1:12" ht="18" customHeight="1" x14ac:dyDescent="0.2">
      <c r="G27"/>
      <c r="H27"/>
      <c r="I27"/>
      <c r="J27"/>
      <c r="K27"/>
      <c r="L27"/>
    </row>
    <row r="28" spans="1:12" ht="18" customHeight="1" x14ac:dyDescent="0.2">
      <c r="G28"/>
      <c r="H28"/>
      <c r="I28"/>
      <c r="J28"/>
      <c r="K28"/>
      <c r="L28"/>
    </row>
    <row r="29" spans="1:12" ht="18" customHeight="1" x14ac:dyDescent="0.2">
      <c r="G29"/>
      <c r="H29"/>
      <c r="I29"/>
      <c r="J29"/>
      <c r="K29"/>
      <c r="L29"/>
    </row>
    <row r="30" spans="1:12" ht="18" customHeight="1" x14ac:dyDescent="0.2">
      <c r="G30"/>
      <c r="H30"/>
      <c r="I30"/>
      <c r="J30"/>
      <c r="K30"/>
      <c r="L30"/>
    </row>
    <row r="31" spans="1:12" ht="18" customHeight="1" x14ac:dyDescent="0.2">
      <c r="G31"/>
      <c r="H31"/>
      <c r="I31"/>
      <c r="J31"/>
      <c r="K31"/>
      <c r="L31"/>
    </row>
    <row r="32" spans="1:12" x14ac:dyDescent="0.2">
      <c r="G32"/>
      <c r="H32"/>
      <c r="I32"/>
      <c r="J32"/>
      <c r="K32"/>
      <c r="L32"/>
    </row>
    <row r="33" spans="7:12" x14ac:dyDescent="0.2">
      <c r="G33"/>
      <c r="H33"/>
      <c r="I33"/>
      <c r="J33"/>
      <c r="K33"/>
      <c r="L33"/>
    </row>
  </sheetData>
  <mergeCells count="9">
    <mergeCell ref="A4:E4"/>
    <mergeCell ref="A6:E6"/>
    <mergeCell ref="A17:E17"/>
    <mergeCell ref="A18:E18"/>
    <mergeCell ref="A1:E1"/>
    <mergeCell ref="A2:E2"/>
    <mergeCell ref="A7:E7"/>
    <mergeCell ref="A3:E3"/>
    <mergeCell ref="A5:E5"/>
  </mergeCells>
  <phoneticPr fontId="0" type="noConversion"/>
  <pageMargins left="0.75" right="0.75" top="1" bottom="1" header="0.5" footer="0.5"/>
  <pageSetup scale="93" orientation="portrait" horizontalDpi="355" vertic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Revenue Input</vt:lpstr>
      <vt:lpstr>Transformer Allowance</vt:lpstr>
      <vt:lpstr>Forecast Data For2013</vt:lpstr>
      <vt:lpstr>2012 Existing Rates</vt:lpstr>
      <vt:lpstr>2013 Test Yr On Existing Rates</vt:lpstr>
      <vt:lpstr>Cost Allocation Study</vt:lpstr>
      <vt:lpstr>Rates By Rate Class</vt:lpstr>
      <vt:lpstr>BILL IMPACTS</vt:lpstr>
      <vt:lpstr>Distribution Rate Schedule</vt:lpstr>
      <vt:lpstr>Rate Schedule </vt:lpstr>
      <vt:lpstr>Dist. Rev. Reconciliation</vt:lpstr>
      <vt:lpstr>Revenue Deficiency Analysis</vt:lpstr>
      <vt:lpstr>Appendix 2-O Table a</vt:lpstr>
      <vt:lpstr>Appendix 2-O Table b</vt:lpstr>
      <vt:lpstr>Appendix 2-O Table c</vt:lpstr>
      <vt:lpstr>Appendix 2-O Table d</vt:lpstr>
      <vt:lpstr>Rate Schedule Part 2</vt:lpstr>
      <vt:lpstr>'2012 Existing Rates'!Print_Area</vt:lpstr>
      <vt:lpstr>'2013 Test Yr On Existing Rates'!Print_Area</vt:lpstr>
      <vt:lpstr>'Appendix 2-O Table a'!Print_Area</vt:lpstr>
      <vt:lpstr>'Appendix 2-O Table b'!Print_Area</vt:lpstr>
      <vt:lpstr>'Appendix 2-O Table c'!Print_Area</vt:lpstr>
      <vt:lpstr>'Appendix 2-O Table d'!Print_Area</vt:lpstr>
      <vt:lpstr>'BILL IMPACTS'!Print_Area</vt:lpstr>
      <vt:lpstr>'Cost Allocation Study'!Print_Area</vt:lpstr>
      <vt:lpstr>'Dist. Rev. Reconciliation'!Print_Area</vt:lpstr>
      <vt:lpstr>'Distribution Rate Schedule'!Print_Area</vt:lpstr>
      <vt:lpstr>'Forecast Data For2013'!Print_Area</vt:lpstr>
      <vt:lpstr>'Rate Schedule '!Print_Area</vt:lpstr>
      <vt:lpstr>'Rates By Rate Class'!Print_Area</vt:lpstr>
      <vt:lpstr>'Revenue Deficiency Analysis'!Print_Area</vt:lpstr>
      <vt:lpstr>'Revenue Input'!Print_Area</vt:lpstr>
      <vt:lpstr>'Transformer Allowance'!Print_Area</vt:lpstr>
    </vt:vector>
  </TitlesOfParts>
  <Company>Hamilton Utilities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Joline Dosen</cp:lastModifiedBy>
  <cp:lastPrinted>2013-04-10T18:35:31Z</cp:lastPrinted>
  <dcterms:created xsi:type="dcterms:W3CDTF">2007-07-20T14:53:09Z</dcterms:created>
  <dcterms:modified xsi:type="dcterms:W3CDTF">2013-04-25T19:42:59Z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