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30255" windowHeight="11640" activeTab="0"/>
  </bookViews>
  <sheets>
    <sheet name="Exhibit 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DM_2007">#REF!</definedName>
    <definedName name="EDR_06_OthInfo" localSheetId="0">'[8]4. 2006 Smart Meter Information'!#REF!</definedName>
    <definedName name="EDR_06_OthInfo">'[8]4. 2006 Smart Meter Information'!#REF!</definedName>
    <definedName name="EDR06Tariffs" localSheetId="0">'[8]3. 2006 Tariff Sheet'!#REF!</definedName>
    <definedName name="EDR06Tariffs">'[8]3. 2006 Tariff Sheet'!#REF!</definedName>
    <definedName name="impactdata">'[9]8-7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'Exhibit A'!$B$1:$P$65</definedName>
    <definedName name="Rate_Riders">#REF!</definedName>
    <definedName name="RPP_Data">#REF!</definedName>
    <definedName name="terr_name">'[9]1-1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<sst xmlns="http://schemas.openxmlformats.org/spreadsheetml/2006/main" count="81" uniqueCount="72">
  <si>
    <t>Veridian Connections inc.</t>
  </si>
  <si>
    <t>Motion to Review</t>
  </si>
  <si>
    <t>Revised Calculation for Class Specific SMDR - Includes Foregone SMIRR revenues - May 1st to October 31st - Updated to include 2009 Amortization related to Pre-2009 SM Capital Expenditures</t>
  </si>
  <si>
    <t>A</t>
  </si>
  <si>
    <t>B</t>
  </si>
  <si>
    <t>C</t>
  </si>
  <si>
    <t>D</t>
  </si>
  <si>
    <t>F</t>
  </si>
  <si>
    <t xml:space="preserve">G </t>
  </si>
  <si>
    <t>As Filed 2009</t>
  </si>
  <si>
    <t>Recalculated 2009*</t>
  </si>
  <si>
    <t>Total as Filed</t>
  </si>
  <si>
    <t>Total (Recalc 2009 - 2012)</t>
  </si>
  <si>
    <t>Incremental</t>
  </si>
  <si>
    <t>Explanation Allocator</t>
  </si>
  <si>
    <t>Evidence Reference</t>
  </si>
  <si>
    <t>Total</t>
  </si>
  <si>
    <t>Revenue Requirement from Smart Meter Model - Sheet 5.SM_Rev_Reqt</t>
  </si>
  <si>
    <t>Interest on Operating Expenses from Smart Meter Model- Sheet 9-SMFA_SMDR_SMIRR</t>
  </si>
  <si>
    <t xml:space="preserve">Interest on SMFA revenues from Smart Meter Model - Sheet </t>
  </si>
  <si>
    <t xml:space="preserve">TOTAL   </t>
  </si>
  <si>
    <t>Total Return on Capital</t>
  </si>
  <si>
    <t>Toal Capital Costs by Class</t>
  </si>
  <si>
    <t>Table 12 - Page 23</t>
  </si>
  <si>
    <t>Allocated per Class</t>
  </si>
  <si>
    <t>Amortization and interest Expense</t>
  </si>
  <si>
    <t>Operating Expenses</t>
  </si>
  <si>
    <t>Number of Smart Meters Installed for each Class</t>
  </si>
  <si>
    <t>Grossed-up Taxes/PILs</t>
  </si>
  <si>
    <t>Revenue Requirement allocated to each Class before PILs</t>
  </si>
  <si>
    <t>TOTAL</t>
  </si>
  <si>
    <t>* -2009 Revenue Requirement updated to include 2009 amortization expense related to SM assets to December 31, 2008</t>
  </si>
  <si>
    <r>
      <t xml:space="preserve">Percentage of costs allocated to </t>
    </r>
    <r>
      <rPr>
        <b/>
        <sz val="11"/>
        <rFont val="Calibri"/>
        <family val="2"/>
      </rPr>
      <t xml:space="preserve">Residential and GS &lt; 50 kW </t>
    </r>
    <r>
      <rPr>
        <b/>
        <sz val="11"/>
        <color indexed="8"/>
        <rFont val="Calibri"/>
        <family val="2"/>
      </rPr>
      <t>customer classes</t>
    </r>
  </si>
  <si>
    <t>Revenue Generated from Smart Meter Funding Adder</t>
  </si>
  <si>
    <t>SMFA Revenues directly attributable to class</t>
  </si>
  <si>
    <t>Residual SMFA revenues (from other metered classes) attributed evenly</t>
  </si>
  <si>
    <t>Revenues Generated from SMFA</t>
  </si>
  <si>
    <t>Net Deferred Revenue Requirement</t>
  </si>
  <si>
    <t>Recalculated Allocation per Class</t>
  </si>
  <si>
    <t>Number of Metered Customers</t>
  </si>
  <si>
    <t>(2012)</t>
  </si>
  <si>
    <t>H</t>
  </si>
  <si>
    <t>Recalculated Smart Meter Disposition Rate Rider - when including 2009 Amortization for Pre-2009 SM Capital Expenditures (18 month rider)</t>
  </si>
  <si>
    <t>Board Approved Smart Meter Disposition Rate Rider</t>
  </si>
  <si>
    <t>I</t>
  </si>
  <si>
    <t>Recalculated Allocation per Class to include 2009 Amortization on Pre-2009 Capital Expenditures</t>
  </si>
  <si>
    <t>Less: Previously Allocated per Class</t>
  </si>
  <si>
    <t>J</t>
  </si>
  <si>
    <t>Amounts to be recovered by Rate Class for Incremental SMDR for 2009 Amortization of Pre-2009 SM Capital Expenditures</t>
  </si>
  <si>
    <t>K</t>
  </si>
  <si>
    <t>L</t>
  </si>
  <si>
    <t>As reported in Veridian's RRR Filings (except for 2012 - based on customer counts to April 30th)</t>
  </si>
  <si>
    <t>Smart Meter Funding Adder Revenues</t>
  </si>
  <si>
    <t>Number of customers</t>
  </si>
  <si>
    <t>Estimated Allocation of SMFA Revenues by Rate Class</t>
  </si>
  <si>
    <t>Year</t>
  </si>
  <si>
    <t>Residential</t>
  </si>
  <si>
    <t>GS &lt; 50 kW</t>
  </si>
  <si>
    <t>Other Metered Customer Classes (GS &gt; 50 kW, Intermediate, Large Use)</t>
  </si>
  <si>
    <t>Total Metered Customers where SMFA applied</t>
  </si>
  <si>
    <t>Other Metered Customer Classes</t>
  </si>
  <si>
    <t>SMFA revenues collected from Smart Meter Model</t>
  </si>
  <si>
    <t>2012 - To April 30th</t>
  </si>
  <si>
    <t>Even allocation</t>
  </si>
  <si>
    <t>Allocation of 0.94% to Res and GS &lt; 50 kW</t>
  </si>
  <si>
    <t>Schedule of SMFA in effect</t>
  </si>
  <si>
    <t xml:space="preserve">Rate Year </t>
  </si>
  <si>
    <t>SMFA</t>
  </si>
  <si>
    <t>Revised Amount for SMDR  Effective July 1, 2013 to April 30, 2014 (previously approved rider amount plus incremental amount required for balance of 12 month recovery)</t>
  </si>
  <si>
    <t>Increase in Rate Rider required effective July 1, 2013 for recovery of 2009 Amortization for Pre-2009 SM Capex (for balance of Rate Rider life - 10 months)</t>
  </si>
  <si>
    <t>Exhibit "A" -  Updated Calculation of SMDR and SMIRR amounts and Rate Riders (NOTE: No change to the SMIRR)</t>
  </si>
  <si>
    <t>EB-2013-0022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</si>
</sst>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&quot;$&quot;#,##0.00"/>
    <numFmt numFmtId="166" formatCode="_-&quot;$&quot;* #,##0.00_-;\-&quot;$&quot;* #,##0.00_-;_-&quot;$&quot;* &quot;-&quot;??_-;_-@_-"/>
    <numFmt numFmtId="167" formatCode="0.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17" borderId="0" applyNumberFormat="0" applyBorder="0" applyAlignment="0" applyProtection="0"/>
    <xf numFmtId="0" fontId="49" fillId="27" borderId="0" applyNumberFormat="0" applyBorder="0" applyAlignment="0" applyProtection="0"/>
    <xf numFmtId="0" fontId="10" fillId="19" borderId="0" applyNumberFormat="0" applyBorder="0" applyAlignment="0" applyProtection="0"/>
    <xf numFmtId="0" fontId="49" fillId="28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3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10" fillId="29" borderId="0" applyNumberFormat="0" applyBorder="0" applyAlignment="0" applyProtection="0"/>
    <xf numFmtId="0" fontId="49" fillId="41" borderId="0" applyNumberFormat="0" applyBorder="0" applyAlignment="0" applyProtection="0"/>
    <xf numFmtId="0" fontId="10" fillId="3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0" applyNumberFormat="0" applyBorder="0" applyAlignment="0" applyProtection="0"/>
    <xf numFmtId="0" fontId="11" fillId="5" borderId="0" applyNumberFormat="0" applyBorder="0" applyAlignment="0" applyProtection="0"/>
    <xf numFmtId="0" fontId="51" fillId="45" borderId="1" applyNumberFormat="0" applyAlignment="0" applyProtection="0"/>
    <xf numFmtId="0" fontId="12" fillId="46" borderId="2" applyNumberFormat="0" applyAlignment="0" applyProtection="0"/>
    <xf numFmtId="0" fontId="52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5" fillId="7" borderId="0" applyNumberFormat="0" applyBorder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50" borderId="1" applyNumberFormat="0" applyAlignment="0" applyProtection="0"/>
    <xf numFmtId="0" fontId="19" fillId="13" borderId="2" applyNumberFormat="0" applyAlignment="0" applyProtection="0"/>
    <xf numFmtId="0" fontId="59" fillId="0" borderId="11" applyNumberFormat="0" applyFill="0" applyAlignment="0" applyProtection="0"/>
    <xf numFmtId="0" fontId="20" fillId="0" borderId="12" applyNumberFormat="0" applyFill="0" applyAlignment="0" applyProtection="0"/>
    <xf numFmtId="0" fontId="60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61" fillId="45" borderId="15" applyNumberFormat="0" applyAlignment="0" applyProtection="0"/>
    <xf numFmtId="0" fontId="24" fillId="46" borderId="16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6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3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wrapText="1"/>
    </xf>
    <xf numFmtId="165" fontId="0" fillId="0" borderId="21" xfId="0" applyNumberForma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1" xfId="0" applyFill="1" applyBorder="1" applyAlignment="1">
      <alignment/>
    </xf>
    <xf numFmtId="165" fontId="0" fillId="0" borderId="21" xfId="0" applyNumberFormat="1" applyFill="1" applyBorder="1" applyAlignment="1">
      <alignment wrapText="1"/>
    </xf>
    <xf numFmtId="165" fontId="0" fillId="0" borderId="22" xfId="0" applyNumberForma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165" fontId="63" fillId="0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wrapText="1"/>
      <protection/>
    </xf>
    <xf numFmtId="0" fontId="0" fillId="0" borderId="21" xfId="0" applyFill="1" applyBorder="1" applyAlignment="1">
      <alignment wrapText="1"/>
    </xf>
    <xf numFmtId="10" fontId="0" fillId="0" borderId="21" xfId="0" applyNumberFormat="1" applyFill="1" applyBorder="1" applyAlignment="1">
      <alignment wrapText="1"/>
    </xf>
    <xf numFmtId="165" fontId="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 wrapText="1"/>
    </xf>
    <xf numFmtId="3" fontId="0" fillId="0" borderId="21" xfId="0" applyNumberFormat="1" applyFill="1" applyBorder="1" applyAlignment="1">
      <alignment/>
    </xf>
    <xf numFmtId="165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9" fontId="5" fillId="0" borderId="23" xfId="98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/>
    </xf>
    <xf numFmtId="165" fontId="63" fillId="55" borderId="19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19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0" fontId="0" fillId="0" borderId="21" xfId="98" applyNumberFormat="1" applyFont="1" applyFill="1" applyBorder="1" applyAlignment="1">
      <alignment/>
    </xf>
    <xf numFmtId="10" fontId="0" fillId="0" borderId="26" xfId="98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21" xfId="72" applyFont="1" applyFill="1" applyBorder="1" applyAlignment="1">
      <alignment/>
    </xf>
    <xf numFmtId="0" fontId="0" fillId="0" borderId="0" xfId="0" applyFill="1" applyAlignment="1" quotePrefix="1">
      <alignment/>
    </xf>
    <xf numFmtId="165" fontId="66" fillId="0" borderId="0" xfId="0" applyNumberFormat="1" applyFont="1" applyFill="1" applyAlignment="1">
      <alignment horizontal="center"/>
    </xf>
    <xf numFmtId="165" fontId="6" fillId="0" borderId="27" xfId="0" applyNumberFormat="1" applyFont="1" applyFill="1" applyBorder="1" applyAlignment="1">
      <alignment/>
    </xf>
    <xf numFmtId="165" fontId="6" fillId="0" borderId="25" xfId="0" applyNumberFormat="1" applyFont="1" applyFill="1" applyBorder="1" applyAlignment="1">
      <alignment/>
    </xf>
    <xf numFmtId="0" fontId="7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5" fontId="7" fillId="0" borderId="0" xfId="0" applyNumberFormat="1" applyFont="1" applyFill="1" applyBorder="1" applyAlignment="1">
      <alignment wrapText="1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/>
    </xf>
    <xf numFmtId="44" fontId="0" fillId="0" borderId="0" xfId="72" applyFont="1" applyFill="1" applyAlignment="1">
      <alignment wrapText="1"/>
    </xf>
    <xf numFmtId="44" fontId="63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right" wrapText="1"/>
    </xf>
    <xf numFmtId="44" fontId="63" fillId="0" borderId="30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63" fillId="0" borderId="0" xfId="0" applyNumberFormat="1" applyFont="1" applyFill="1" applyAlignment="1">
      <alignment/>
    </xf>
    <xf numFmtId="10" fontId="2" fillId="0" borderId="0" xfId="98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wrapText="1"/>
    </xf>
    <xf numFmtId="167" fontId="2" fillId="0" borderId="31" xfId="0" applyNumberFormat="1" applyFont="1" applyFill="1" applyBorder="1" applyAlignment="1">
      <alignment/>
    </xf>
    <xf numFmtId="167" fontId="0" fillId="0" borderId="31" xfId="0" applyNumberFormat="1" applyFill="1" applyBorder="1" applyAlignment="1">
      <alignment wrapText="1"/>
    </xf>
    <xf numFmtId="10" fontId="2" fillId="0" borderId="0" xfId="0" applyNumberFormat="1" applyFont="1" applyFill="1" applyAlignment="1">
      <alignment/>
    </xf>
    <xf numFmtId="1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44" fontId="0" fillId="0" borderId="0" xfId="72" applyFont="1" applyFill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 horizontal="right"/>
    </xf>
    <xf numFmtId="0" fontId="65" fillId="0" borderId="0" xfId="0" applyFont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5" fontId="2" fillId="0" borderId="32" xfId="0" applyNumberFormat="1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33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wrapText="1"/>
    </xf>
    <xf numFmtId="165" fontId="47" fillId="56" borderId="27" xfId="0" applyNumberFormat="1" applyFont="1" applyFill="1" applyBorder="1" applyAlignment="1">
      <alignment wrapText="1"/>
    </xf>
    <xf numFmtId="165" fontId="47" fillId="56" borderId="25" xfId="0" applyNumberFormat="1" applyFont="1" applyFill="1" applyBorder="1" applyAlignment="1">
      <alignment wrapText="1"/>
    </xf>
    <xf numFmtId="165" fontId="47" fillId="56" borderId="24" xfId="0" applyNumberFormat="1" applyFont="1" applyFill="1" applyBorder="1" applyAlignment="1">
      <alignment wrapText="1"/>
    </xf>
    <xf numFmtId="165" fontId="69" fillId="56" borderId="0" xfId="0" applyNumberFormat="1" applyFont="1" applyFill="1" applyBorder="1" applyAlignment="1">
      <alignment/>
    </xf>
    <xf numFmtId="0" fontId="6" fillId="0" borderId="2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165" fontId="6" fillId="0" borderId="27" xfId="0" applyNumberFormat="1" applyFont="1" applyFill="1" applyBorder="1" applyAlignment="1">
      <alignment wrapText="1"/>
    </xf>
    <xf numFmtId="165" fontId="6" fillId="0" borderId="25" xfId="0" applyNumberFormat="1" applyFont="1" applyFill="1" applyBorder="1" applyAlignment="1">
      <alignment wrapText="1"/>
    </xf>
    <xf numFmtId="165" fontId="6" fillId="0" borderId="24" xfId="0" applyNumberFormat="1" applyFont="1" applyFill="1" applyBorder="1" applyAlignment="1">
      <alignment wrapText="1"/>
    </xf>
    <xf numFmtId="165" fontId="2" fillId="0" borderId="28" xfId="0" applyNumberFormat="1" applyFont="1" applyFill="1" applyBorder="1" applyAlignment="1">
      <alignment/>
    </xf>
    <xf numFmtId="0" fontId="70" fillId="0" borderId="32" xfId="0" applyFont="1" applyFill="1" applyBorder="1" applyAlignment="1" quotePrefix="1">
      <alignment vertical="center" wrapText="1"/>
    </xf>
    <xf numFmtId="9" fontId="5" fillId="0" borderId="20" xfId="98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Currency 2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clorg\Local%20Settings\Temporary%20Internet%20Files\Content.Outlook\3IVUFYG3\Updated%20SMDR%20Calc-includes%202009%20amortiz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clorg\Local%20Settings\Temporary%20Internet%20Files\Content.Outlook\3IVUFYG3\Differences%20in%20Revenue%20Requirement%20inclusion%20of%202009%20depreci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orate%20Planning\2012%20SM%20Final%20Disposition%20Application\Working%20Model%20Versions\2012_smart_meter_model-v1-0325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orate%20Planning\PBR\2011\Veridian%20PBR%20Data%202011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clorg\Local%20Settings\Temporary%20Internet%20Files\Content.Outlook\3IVUFYG3\Customer%20Count%20Stats%202011%20to%20CURREN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2011%20IRM%20Application\SM%20Rate%20Adder%20Review\VC%20-%202010%20-%20SmartMeterAdderModel%20V8-July%2029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 Rider Calcs"/>
      <sheetName val="SMDR-ClAll-Rider-upd for 2009 a"/>
      <sheetName val="Rev-SMDR Class Alloc-Rider Calc"/>
      <sheetName val="Rev-SMDR&amp;SMIRR Amts-Rider Calc"/>
      <sheetName val="Sheet2"/>
      <sheetName val="Sheet3"/>
    </sheetNames>
    <sheetDataSet>
      <sheetData sheetId="2">
        <row r="9">
          <cell r="C9">
            <v>1343790.4832923582</v>
          </cell>
          <cell r="H9">
            <v>5707540.460008148</v>
          </cell>
        </row>
        <row r="10">
          <cell r="C10">
            <v>7070.835995708334</v>
          </cell>
          <cell r="H10">
            <v>68209.40957979584</v>
          </cell>
        </row>
        <row r="11">
          <cell r="C11">
            <v>-3201.0099999999998</v>
          </cell>
          <cell r="H11">
            <v>-115698.76000000001</v>
          </cell>
        </row>
        <row r="12">
          <cell r="C12">
            <v>1347660.3092880666</v>
          </cell>
          <cell r="H12">
            <v>5660051.109587944</v>
          </cell>
        </row>
        <row r="13">
          <cell r="C13">
            <v>157056.23264348</v>
          </cell>
          <cell r="H13">
            <v>1213187.9963270423</v>
          </cell>
        </row>
        <row r="14">
          <cell r="H14" t="str">
            <v>Allocated per Class</v>
          </cell>
        </row>
        <row r="15">
          <cell r="H15">
            <v>1400363.5722464626</v>
          </cell>
        </row>
        <row r="16">
          <cell r="H16" t="str">
            <v>Allocated per Class</v>
          </cell>
        </row>
        <row r="17">
          <cell r="C17">
            <v>1083531.6600000001</v>
          </cell>
          <cell r="H17">
            <v>2940558.662497178</v>
          </cell>
        </row>
        <row r="18">
          <cell r="H18" t="str">
            <v>Allocated per Class</v>
          </cell>
        </row>
        <row r="19">
          <cell r="C19">
            <v>-56489.66068445522</v>
          </cell>
          <cell r="H19">
            <v>105940.87851726054</v>
          </cell>
        </row>
        <row r="20">
          <cell r="H20" t="str">
            <v>Allocated per Class</v>
          </cell>
        </row>
        <row r="22">
          <cell r="H22">
            <v>5660051.109587943</v>
          </cell>
        </row>
        <row r="30">
          <cell r="L30">
            <v>1031560.4936447749</v>
          </cell>
          <cell r="M30">
            <v>536657.8559431662</v>
          </cell>
        </row>
        <row r="32">
          <cell r="L32">
            <v>0.5484421719294754</v>
          </cell>
          <cell r="M32">
            <v>3.446742812737098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fdsfds"/>
      <sheetName val="Summary of Differences-RR"/>
      <sheetName val="Summary of Diff-PILS "/>
      <sheetName val="Summ of Diff - UCC Calc"/>
      <sheetName val="Rev Req't originally filed"/>
      <sheetName val="Taxes_PILs originally filed"/>
      <sheetName val="UCC Calc originally filed"/>
      <sheetName val="Sheet1"/>
    </sheetNames>
    <sheetDataSet>
      <sheetData sheetId="1">
        <row r="35">
          <cell r="G35">
            <v>1083531.6600000001</v>
          </cell>
        </row>
        <row r="43">
          <cell r="F43">
            <v>159692.25133333332</v>
          </cell>
          <cell r="G43">
            <v>688551.256</v>
          </cell>
        </row>
        <row r="53">
          <cell r="G53">
            <v>-107124.87262027613</v>
          </cell>
        </row>
        <row r="55">
          <cell r="G55">
            <v>1822014.276023204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  <sheetName val="Sheet1"/>
    </sheetNames>
    <sheetDataSet>
      <sheetData sheetId="4">
        <row r="47">
          <cell r="M47">
            <v>157056.23264348</v>
          </cell>
          <cell r="O47">
            <v>364229.61109399</v>
          </cell>
          <cell r="Q47">
            <v>463651.91600935673</v>
          </cell>
          <cell r="S47">
            <v>456500.47316043125</v>
          </cell>
        </row>
        <row r="50">
          <cell r="O50">
            <v>876480.4400000003</v>
          </cell>
          <cell r="Q50">
            <v>616995.5300000008</v>
          </cell>
          <cell r="S50">
            <v>727102.0649943537</v>
          </cell>
        </row>
        <row r="58">
          <cell r="O58">
            <v>422057.77033333335</v>
          </cell>
          <cell r="Q58">
            <v>564234.21</v>
          </cell>
          <cell r="S58">
            <v>603737.382</v>
          </cell>
        </row>
        <row r="68">
          <cell r="O68">
            <v>-5341.934312146525</v>
          </cell>
          <cell r="Q68">
            <v>110694.81606856582</v>
          </cell>
          <cell r="S68">
            <v>114155.31489059294</v>
          </cell>
        </row>
        <row r="70">
          <cell r="O70">
            <v>1657425.887115177</v>
          </cell>
          <cell r="Q70">
            <v>1755576.4720779234</v>
          </cell>
          <cell r="S70">
            <v>1901495.235045378</v>
          </cell>
        </row>
      </sheetData>
      <sheetData sheetId="7">
        <row r="60">
          <cell r="K60">
            <v>75365.94</v>
          </cell>
        </row>
        <row r="61">
          <cell r="K61">
            <v>89421.68</v>
          </cell>
          <cell r="M61">
            <v>153.87</v>
          </cell>
        </row>
        <row r="62">
          <cell r="K62">
            <v>81447.98999999999</v>
          </cell>
          <cell r="M62">
            <v>336.44</v>
          </cell>
        </row>
        <row r="63">
          <cell r="K63">
            <v>70324.75000000001</v>
          </cell>
          <cell r="M63">
            <v>205.2</v>
          </cell>
        </row>
        <row r="64">
          <cell r="K64">
            <v>91533.16</v>
          </cell>
          <cell r="M64">
            <v>263.8</v>
          </cell>
        </row>
        <row r="65">
          <cell r="K65">
            <v>80028.36</v>
          </cell>
          <cell r="M65">
            <v>340.08</v>
          </cell>
        </row>
        <row r="66">
          <cell r="K66">
            <v>77146.39</v>
          </cell>
          <cell r="M66">
            <v>223.72</v>
          </cell>
        </row>
        <row r="67">
          <cell r="K67">
            <v>88517.16</v>
          </cell>
          <cell r="M67">
            <v>259.08</v>
          </cell>
        </row>
        <row r="68">
          <cell r="K68">
            <v>82313.54000000001</v>
          </cell>
          <cell r="M68">
            <v>299.65</v>
          </cell>
        </row>
        <row r="69">
          <cell r="K69">
            <v>69762.01000000001</v>
          </cell>
          <cell r="M69">
            <v>337.38</v>
          </cell>
        </row>
        <row r="70">
          <cell r="K70">
            <v>94017.66</v>
          </cell>
          <cell r="M70">
            <v>369.35</v>
          </cell>
        </row>
        <row r="71">
          <cell r="K71">
            <v>77206.34</v>
          </cell>
          <cell r="M71">
            <v>412.44</v>
          </cell>
        </row>
        <row r="72">
          <cell r="K72">
            <v>76055.10999999999</v>
          </cell>
          <cell r="M72">
            <v>447.83</v>
          </cell>
        </row>
        <row r="73">
          <cell r="K73">
            <v>89710.28000000001</v>
          </cell>
          <cell r="M73">
            <v>482.69</v>
          </cell>
        </row>
        <row r="74">
          <cell r="K74">
            <v>89537.95999999999</v>
          </cell>
          <cell r="M74">
            <v>523.81</v>
          </cell>
        </row>
        <row r="75">
          <cell r="K75">
            <v>65213.61</v>
          </cell>
          <cell r="M75">
            <v>564.84</v>
          </cell>
        </row>
        <row r="76">
          <cell r="K76">
            <v>93886.49</v>
          </cell>
          <cell r="M76">
            <v>594.73</v>
          </cell>
        </row>
        <row r="77">
          <cell r="K77">
            <v>84741.24</v>
          </cell>
          <cell r="M77">
            <v>637.77</v>
          </cell>
        </row>
        <row r="78">
          <cell r="K78">
            <v>87831.77</v>
          </cell>
          <cell r="M78">
            <v>1094.87</v>
          </cell>
        </row>
        <row r="79">
          <cell r="K79">
            <v>181722.31</v>
          </cell>
          <cell r="M79">
            <v>1160.01</v>
          </cell>
        </row>
        <row r="80">
          <cell r="K80">
            <v>62827.19</v>
          </cell>
          <cell r="M80">
            <v>1294.79</v>
          </cell>
        </row>
        <row r="81">
          <cell r="K81">
            <v>141525.78</v>
          </cell>
          <cell r="M81">
            <v>1808.61</v>
          </cell>
        </row>
        <row r="82">
          <cell r="K82">
            <v>122122.73</v>
          </cell>
          <cell r="M82">
            <v>1950.14</v>
          </cell>
        </row>
        <row r="83">
          <cell r="K83">
            <v>102648.89</v>
          </cell>
          <cell r="M83">
            <v>2072.26</v>
          </cell>
        </row>
        <row r="84">
          <cell r="K84">
            <v>116267.56</v>
          </cell>
          <cell r="M84">
            <v>2664.26</v>
          </cell>
        </row>
        <row r="85">
          <cell r="K85">
            <v>143933.36</v>
          </cell>
          <cell r="M85">
            <v>2806.69</v>
          </cell>
        </row>
        <row r="86">
          <cell r="K86">
            <v>93050.18</v>
          </cell>
          <cell r="M86">
            <v>2983.01</v>
          </cell>
        </row>
        <row r="87">
          <cell r="K87">
            <v>132786.62</v>
          </cell>
          <cell r="M87">
            <v>3097</v>
          </cell>
        </row>
        <row r="88">
          <cell r="K88">
            <v>95192.66</v>
          </cell>
          <cell r="M88">
            <v>3259.66</v>
          </cell>
        </row>
        <row r="89">
          <cell r="K89">
            <v>114948.72</v>
          </cell>
          <cell r="M89">
            <v>3376.27</v>
          </cell>
        </row>
        <row r="90">
          <cell r="K90">
            <v>107518.20999999999</v>
          </cell>
          <cell r="M90">
            <v>3517.08</v>
          </cell>
        </row>
        <row r="91">
          <cell r="K91">
            <v>146076.2</v>
          </cell>
          <cell r="M91">
            <v>3648.79</v>
          </cell>
        </row>
        <row r="92">
          <cell r="K92">
            <v>83614.87</v>
          </cell>
          <cell r="M92">
            <v>3827.74</v>
          </cell>
        </row>
        <row r="93">
          <cell r="K93">
            <v>136597.19</v>
          </cell>
          <cell r="M93">
            <v>3930.16</v>
          </cell>
        </row>
        <row r="94">
          <cell r="K94">
            <v>94667.2</v>
          </cell>
          <cell r="M94">
            <v>4097.5</v>
          </cell>
        </row>
        <row r="95">
          <cell r="K95">
            <v>128448.25</v>
          </cell>
          <cell r="M95">
            <v>4213.46</v>
          </cell>
        </row>
        <row r="96">
          <cell r="K96">
            <v>122209.64</v>
          </cell>
          <cell r="M96">
            <v>4370.81</v>
          </cell>
        </row>
        <row r="97">
          <cell r="K97">
            <v>110019.63</v>
          </cell>
          <cell r="M97">
            <v>4520.52</v>
          </cell>
        </row>
        <row r="98">
          <cell r="K98">
            <v>115807.57</v>
          </cell>
          <cell r="M98">
            <v>4655.29</v>
          </cell>
        </row>
        <row r="99">
          <cell r="K99">
            <v>175786.56</v>
          </cell>
          <cell r="M99">
            <v>4797.16</v>
          </cell>
        </row>
        <row r="100">
          <cell r="M100">
            <v>5012.5</v>
          </cell>
        </row>
        <row r="101">
          <cell r="M101">
            <v>5012.5</v>
          </cell>
        </row>
        <row r="102">
          <cell r="M102">
            <v>5012.5</v>
          </cell>
        </row>
        <row r="103">
          <cell r="M103">
            <v>5012.5</v>
          </cell>
        </row>
        <row r="104">
          <cell r="M104">
            <v>5012.5</v>
          </cell>
        </row>
        <row r="105">
          <cell r="M105">
            <v>5012.5</v>
          </cell>
        </row>
        <row r="106">
          <cell r="M106">
            <v>5012.5</v>
          </cell>
        </row>
        <row r="107">
          <cell r="M107">
            <v>5012.5</v>
          </cell>
        </row>
        <row r="109">
          <cell r="K109">
            <v>4091832.760000001</v>
          </cell>
        </row>
      </sheetData>
      <sheetData sheetId="10">
        <row r="32">
          <cell r="M32">
            <v>7070.835995708334</v>
          </cell>
          <cell r="O32">
            <v>15092.631806587502</v>
          </cell>
          <cell r="Q32">
            <v>46045.941777500004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idian,Scugog,Gravenhurst"/>
      <sheetName val="Gravenhurst 2005"/>
    </sheetNames>
    <sheetDataSet>
      <sheetData sheetId="0">
        <row r="95">
          <cell r="P95">
            <v>101547</v>
          </cell>
          <cell r="Q95">
            <v>102929</v>
          </cell>
          <cell r="R95">
            <v>104060</v>
          </cell>
        </row>
        <row r="98">
          <cell r="P98">
            <v>8501</v>
          </cell>
          <cell r="Q98">
            <v>8578</v>
          </cell>
          <cell r="R98">
            <v>8595</v>
          </cell>
        </row>
        <row r="99">
          <cell r="P99">
            <v>1049</v>
          </cell>
          <cell r="Q99">
            <v>1055</v>
          </cell>
          <cell r="R99">
            <v>1047</v>
          </cell>
        </row>
        <row r="101">
          <cell r="P101">
            <v>5</v>
          </cell>
          <cell r="Q101">
            <v>5</v>
          </cell>
          <cell r="R101">
            <v>4</v>
          </cell>
        </row>
        <row r="111">
          <cell r="A111">
            <v>2</v>
          </cell>
          <cell r="B111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2011"/>
      <sheetName val="2011 Breakdown "/>
      <sheetName val="Customer Count 2012"/>
      <sheetName val="2012 Breakdown"/>
      <sheetName val="Breakdown Grav &amp; Pick"/>
      <sheetName val="Sheet1"/>
    </sheetNames>
    <sheetDataSet>
      <sheetData sheetId="2">
        <row r="184">
          <cell r="B184">
            <v>104651</v>
          </cell>
          <cell r="H184">
            <v>8663</v>
          </cell>
        </row>
        <row r="185">
          <cell r="H185">
            <v>1062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ate Calc"/>
      <sheetName val="5. PILs"/>
      <sheetName val="6.  SM Nt Fix Ass &amp;UCC"/>
      <sheetName val="Costs Detail"/>
      <sheetName val="Cost Details by Class"/>
      <sheetName val="09-10 Install Costs"/>
      <sheetName val="Sm Comm Meter Costs"/>
      <sheetName val="4. Smart Meter Rev &amp; Adder"/>
      <sheetName val="5. Clearing Actual"/>
      <sheetName val="6. Adder Recovery"/>
      <sheetName val="7A.  Smart Meter Rate Calc"/>
      <sheetName val="8A. PILs"/>
      <sheetName val="9A. SM Avg Nt Fix Ass &amp;UCC"/>
      <sheetName val="10. 2007A Smart Meter Rate Calc"/>
      <sheetName val="11. 2007A PILs"/>
      <sheetName val="12. 2007A SM Nt Fix Ass &amp;UCC"/>
      <sheetName val="16. Carry Cost Required to May "/>
      <sheetName val="Collector Upgrad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5"/>
  <sheetViews>
    <sheetView tabSelected="1" zoomScale="75" zoomScaleNormal="75" zoomScalePageLayoutView="0" workbookViewId="0" topLeftCell="E10">
      <selection activeCell="G38" sqref="G38:G39"/>
    </sheetView>
  </sheetViews>
  <sheetFormatPr defaultColWidth="8.8515625" defaultRowHeight="15"/>
  <cols>
    <col min="1" max="1" width="4.140625" style="0" customWidth="1"/>
    <col min="2" max="2" width="33.8515625" style="1" customWidth="1"/>
    <col min="3" max="3" width="18.421875" style="1" customWidth="1"/>
    <col min="4" max="4" width="14.28125" style="0" customWidth="1"/>
    <col min="5" max="5" width="17.140625" style="0" customWidth="1"/>
    <col min="6" max="6" width="18.8515625" style="0" customWidth="1"/>
    <col min="7" max="7" width="17.421875" style="0" customWidth="1"/>
    <col min="8" max="8" width="4.140625" style="0" customWidth="1"/>
    <col min="9" max="9" width="14.421875" style="0" customWidth="1"/>
    <col min="10" max="11" width="15.140625" style="2" customWidth="1"/>
    <col min="12" max="12" width="14.140625" style="1" customWidth="1"/>
    <col min="13" max="13" width="13.8515625" style="0" customWidth="1"/>
    <col min="14" max="15" width="15.7109375" style="0" bestFit="1" customWidth="1"/>
    <col min="16" max="16" width="16.7109375" style="0" customWidth="1"/>
    <col min="17" max="17" width="13.28125" style="0" customWidth="1"/>
    <col min="18" max="18" width="12.7109375" style="0" bestFit="1" customWidth="1"/>
  </cols>
  <sheetData>
    <row r="1" spans="15:16" ht="17.25">
      <c r="O1" s="86" t="s">
        <v>0</v>
      </c>
      <c r="P1" s="86"/>
    </row>
    <row r="2" spans="2:16" ht="21">
      <c r="B2" s="85" t="s">
        <v>70</v>
      </c>
      <c r="C2" s="3"/>
      <c r="D2" s="3"/>
      <c r="E2" s="3"/>
      <c r="F2" s="3"/>
      <c r="P2" s="4" t="s">
        <v>71</v>
      </c>
    </row>
    <row r="3" spans="2:16" ht="17.25">
      <c r="B3" s="5"/>
      <c r="C3" s="5"/>
      <c r="D3" s="6"/>
      <c r="E3" s="6"/>
      <c r="F3" s="6"/>
      <c r="O3" s="86" t="s">
        <v>1</v>
      </c>
      <c r="P3" s="86"/>
    </row>
    <row r="5" spans="2:15" ht="21.75" customHeight="1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3" ht="15.75">
      <c r="B6" s="7"/>
      <c r="C6" s="7"/>
    </row>
    <row r="7" spans="3:16" ht="18" thickBot="1">
      <c r="C7" s="8"/>
      <c r="D7" s="9" t="s">
        <v>3</v>
      </c>
      <c r="E7" s="10"/>
      <c r="F7" s="10"/>
      <c r="G7" s="10"/>
      <c r="H7" s="10"/>
      <c r="I7" s="4"/>
      <c r="J7" s="11" t="s">
        <v>4</v>
      </c>
      <c r="K7" s="11" t="s">
        <v>5</v>
      </c>
      <c r="L7" s="12"/>
      <c r="M7" s="10"/>
      <c r="N7" s="4" t="s">
        <v>6</v>
      </c>
      <c r="O7" s="4" t="s">
        <v>7</v>
      </c>
      <c r="P7" s="4" t="s">
        <v>8</v>
      </c>
    </row>
    <row r="8" spans="2:16" s="18" customFormat="1" ht="38.25" customHeight="1">
      <c r="B8" s="13"/>
      <c r="C8" s="14" t="s">
        <v>9</v>
      </c>
      <c r="D8" s="14" t="s">
        <v>10</v>
      </c>
      <c r="E8" s="14">
        <v>2010</v>
      </c>
      <c r="F8" s="14">
        <v>2011</v>
      </c>
      <c r="G8" s="14">
        <v>2012</v>
      </c>
      <c r="H8" s="15"/>
      <c r="I8" s="16" t="s">
        <v>11</v>
      </c>
      <c r="J8" s="14" t="s">
        <v>12</v>
      </c>
      <c r="K8" s="14" t="s">
        <v>13</v>
      </c>
      <c r="L8" s="17" t="s">
        <v>14</v>
      </c>
      <c r="M8" s="17" t="s">
        <v>15</v>
      </c>
      <c r="N8" s="118" t="s">
        <v>16</v>
      </c>
      <c r="O8" s="119" t="str">
        <f>IF('[1]I2 LDC class'!$D$20="",'[1]I2 LDC class'!$C$20,'[1]I2 LDC class'!$D$20)</f>
        <v>Residential</v>
      </c>
      <c r="P8" s="119" t="str">
        <f>IF('[1]I2 LDC class'!$D$21="",'[1]I2 LDC class'!$C$21,'[1]I2 LDC class'!$D$21)</f>
        <v>General Service Less than 50 kW</v>
      </c>
    </row>
    <row r="9" spans="2:16" s="18" customFormat="1" ht="45">
      <c r="B9" s="19" t="s">
        <v>17</v>
      </c>
      <c r="C9" s="20">
        <f>'[2]Rev-SMDR Class Alloc-Rider Calc'!C9</f>
        <v>1343790.4832923582</v>
      </c>
      <c r="D9" s="20">
        <f>'[3]Summary of Differences-RR'!$G$55</f>
        <v>1822014.276023204</v>
      </c>
      <c r="E9" s="20">
        <f>'[4]5. SM_Rev_Reqt'!$O$70</f>
        <v>1657425.887115177</v>
      </c>
      <c r="F9" s="20">
        <f>'[4]5. SM_Rev_Reqt'!$Q$70</f>
        <v>1755576.4720779234</v>
      </c>
      <c r="G9" s="20">
        <f>'[4]5. SM_Rev_Reqt'!$S$70/12*6</f>
        <v>950747.617522689</v>
      </c>
      <c r="H9" s="20"/>
      <c r="I9" s="21">
        <f>'[2]Rev-SMDR Class Alloc-Rider Calc'!H9</f>
        <v>5707540.460008148</v>
      </c>
      <c r="J9" s="20">
        <f>SUM(D9:G9)</f>
        <v>6185764.252738994</v>
      </c>
      <c r="K9" s="20">
        <f>J9-I9</f>
        <v>478223.7927308455</v>
      </c>
      <c r="L9" s="22"/>
      <c r="M9" s="23"/>
      <c r="N9" s="23"/>
      <c r="O9" s="23"/>
      <c r="P9" s="23"/>
    </row>
    <row r="10" spans="2:16" s="18" customFormat="1" ht="45">
      <c r="B10" s="19" t="s">
        <v>18</v>
      </c>
      <c r="C10" s="20">
        <f>'[2]Rev-SMDR Class Alloc-Rider Calc'!C10</f>
        <v>7070.835995708334</v>
      </c>
      <c r="D10" s="20">
        <f>'[4]9. SMFA_SMDR_SMIRR'!$M$32</f>
        <v>7070.835995708334</v>
      </c>
      <c r="E10" s="20">
        <f>'[4]9. SMFA_SMDR_SMIRR'!$O$32</f>
        <v>15092.631806587502</v>
      </c>
      <c r="F10" s="20">
        <f>'[4]9. SMFA_SMDR_SMIRR'!$Q$32</f>
        <v>46045.941777500004</v>
      </c>
      <c r="G10" s="20"/>
      <c r="H10" s="24"/>
      <c r="I10" s="21">
        <f>'[2]Rev-SMDR Class Alloc-Rider Calc'!H10</f>
        <v>68209.40957979584</v>
      </c>
      <c r="J10" s="21">
        <f>SUM(D10:G10)</f>
        <v>68209.40957979584</v>
      </c>
      <c r="K10" s="21">
        <f>J10-I10</f>
        <v>0</v>
      </c>
      <c r="L10" s="22"/>
      <c r="M10" s="23"/>
      <c r="N10" s="23"/>
      <c r="O10" s="23"/>
      <c r="P10" s="23"/>
    </row>
    <row r="11" spans="2:16" s="18" customFormat="1" ht="30.75" thickBot="1">
      <c r="B11" s="19" t="s">
        <v>19</v>
      </c>
      <c r="C11" s="25">
        <f>'[2]Rev-SMDR Class Alloc-Rider Calc'!C11</f>
        <v>-3201.0099999999998</v>
      </c>
      <c r="D11" s="25">
        <f>-SUM('[4]8. Funding_Adder_Revs'!$M$61:$M$71)</f>
        <v>-3201.0099999999998</v>
      </c>
      <c r="E11" s="25">
        <f>-SUM('[4]8. Funding_Adder_Revs'!$M$72:$M$83)</f>
        <v>-12632.35</v>
      </c>
      <c r="F11" s="25">
        <f>-SUM('[4]8. Funding_Adder_Revs'!$M$84:$M$95)</f>
        <v>-41421.62</v>
      </c>
      <c r="G11" s="25">
        <f>-SUM('[4]8. Funding_Adder_Revs'!$M$96:$M$107)</f>
        <v>-58443.78</v>
      </c>
      <c r="H11" s="24"/>
      <c r="I11" s="26">
        <f>'[2]Rev-SMDR Class Alloc-Rider Calc'!H11</f>
        <v>-115698.76000000001</v>
      </c>
      <c r="J11" s="26">
        <f>SUM(D11:G11)</f>
        <v>-115698.76000000001</v>
      </c>
      <c r="K11" s="26">
        <f>J11-I11</f>
        <v>0</v>
      </c>
      <c r="L11" s="22"/>
      <c r="M11" s="23"/>
      <c r="N11" s="23"/>
      <c r="O11" s="23"/>
      <c r="P11" s="23"/>
    </row>
    <row r="12" spans="2:16" s="18" customFormat="1" ht="15">
      <c r="B12" s="27" t="s">
        <v>20</v>
      </c>
      <c r="C12" s="28">
        <f>'[2]Rev-SMDR Class Alloc-Rider Calc'!C12</f>
        <v>1347660.3092880666</v>
      </c>
      <c r="D12" s="28">
        <f>SUM(D9:D11)</f>
        <v>1825884.1020189123</v>
      </c>
      <c r="E12" s="28">
        <f>SUM(E9:E11)</f>
        <v>1659886.1689217645</v>
      </c>
      <c r="F12" s="28">
        <f>SUM(F9:F11)</f>
        <v>1760200.7938554233</v>
      </c>
      <c r="G12" s="28">
        <f>SUM(G9:G11)</f>
        <v>892303.837522689</v>
      </c>
      <c r="H12" s="24"/>
      <c r="I12" s="21">
        <f>'[2]Rev-SMDR Class Alloc-Rider Calc'!H12</f>
        <v>5660051.109587944</v>
      </c>
      <c r="J12" s="21">
        <f>SUM(J9:J11)</f>
        <v>6138274.90231879</v>
      </c>
      <c r="K12" s="21">
        <f>J12-I12</f>
        <v>478223.7927308455</v>
      </c>
      <c r="L12" s="22"/>
      <c r="M12" s="23"/>
      <c r="N12" s="23"/>
      <c r="O12" s="23"/>
      <c r="P12" s="23"/>
    </row>
    <row r="13" spans="2:16" s="22" customFormat="1" ht="45.75" customHeight="1">
      <c r="B13" s="29" t="s">
        <v>21</v>
      </c>
      <c r="C13" s="24">
        <f>'[2]Rev-SMDR Class Alloc-Rider Calc'!C13</f>
        <v>157056.23264348</v>
      </c>
      <c r="D13" s="24">
        <f>'[4]5. SM_Rev_Reqt'!$M$47</f>
        <v>157056.23264348</v>
      </c>
      <c r="E13" s="24">
        <f>'[4]5. SM_Rev_Reqt'!$O$47</f>
        <v>364229.61109399</v>
      </c>
      <c r="F13" s="24">
        <f>'[4]5. SM_Rev_Reqt'!$Q$47</f>
        <v>463651.91600935673</v>
      </c>
      <c r="G13" s="24">
        <f>'[4]5. SM_Rev_Reqt'!$S$47/12*6</f>
        <v>228250.23658021563</v>
      </c>
      <c r="H13" s="24"/>
      <c r="I13" s="21">
        <f>'[2]Rev-SMDR Class Alloc-Rider Calc'!H13</f>
        <v>1213187.9963270423</v>
      </c>
      <c r="J13" s="21">
        <f>SUM(D13:G13)</f>
        <v>1213187.9963270423</v>
      </c>
      <c r="K13" s="21">
        <f>J13-I13</f>
        <v>0</v>
      </c>
      <c r="L13" s="22" t="s">
        <v>22</v>
      </c>
      <c r="M13" s="30" t="s">
        <v>23</v>
      </c>
      <c r="N13" s="31">
        <f aca="true" t="shared" si="0" ref="N13:N20">SUM(O13:P13)</f>
        <v>1</v>
      </c>
      <c r="O13" s="31">
        <v>0.761</v>
      </c>
      <c r="P13" s="31">
        <f>100%-O13</f>
        <v>0.239</v>
      </c>
    </row>
    <row r="14" spans="2:16" s="18" customFormat="1" ht="15">
      <c r="B14" s="30"/>
      <c r="C14" s="20"/>
      <c r="D14" s="20"/>
      <c r="E14" s="20"/>
      <c r="F14" s="20"/>
      <c r="G14" s="20"/>
      <c r="H14" s="20"/>
      <c r="I14" s="21" t="str">
        <f>'[2]Rev-SMDR Class Alloc-Rider Calc'!H14</f>
        <v>Allocated per Class</v>
      </c>
      <c r="J14" s="21" t="s">
        <v>24</v>
      </c>
      <c r="K14" s="21"/>
      <c r="L14" s="22"/>
      <c r="M14" s="23"/>
      <c r="N14" s="20">
        <f t="shared" si="0"/>
        <v>1213187.9963270423</v>
      </c>
      <c r="O14" s="20">
        <f>O13*$J$13</f>
        <v>923236.0652048793</v>
      </c>
      <c r="P14" s="20">
        <f>P13*$J$13</f>
        <v>289951.93112216314</v>
      </c>
    </row>
    <row r="15" spans="2:16" s="18" customFormat="1" ht="30">
      <c r="B15" s="19" t="s">
        <v>25</v>
      </c>
      <c r="C15" s="20">
        <f>'[3]Summary of Differences-RR'!$F$43+C10+C11</f>
        <v>163562.07732904164</v>
      </c>
      <c r="D15" s="20">
        <f>'[3]Summary of Differences-RR'!$G$43+D10+D11</f>
        <v>692421.0819957084</v>
      </c>
      <c r="E15" s="20">
        <f>'[4]5. SM_Rev_Reqt'!$O$58+'[4]9. SMFA_SMDR_SMIRR'!$O$32+E11</f>
        <v>424518.0521399209</v>
      </c>
      <c r="F15" s="20">
        <f>'[4]5. SM_Rev_Reqt'!$Q$58+'[4]9. SMFA_SMDR_SMIRR'!$Q$32+F11</f>
        <v>568858.5317775</v>
      </c>
      <c r="G15" s="20">
        <f>'[4]5. SM_Rev_Reqt'!$S$58/12*6+G11</f>
        <v>243424.911</v>
      </c>
      <c r="H15" s="20"/>
      <c r="I15" s="21">
        <f>'[2]Rev-SMDR Class Alloc-Rider Calc'!H15</f>
        <v>1400363.5722464626</v>
      </c>
      <c r="J15" s="20">
        <f>SUM(D15:G15)</f>
        <v>1929222.5769131293</v>
      </c>
      <c r="K15" s="20">
        <f>J15-I15</f>
        <v>528859.0046666667</v>
      </c>
      <c r="L15" s="22" t="str">
        <f>L13</f>
        <v>Toal Capital Costs by Class</v>
      </c>
      <c r="M15" s="30" t="str">
        <f>M13</f>
        <v>Table 12 - Page 23</v>
      </c>
      <c r="N15" s="31">
        <f t="shared" si="0"/>
        <v>1</v>
      </c>
      <c r="O15" s="31">
        <f>O13</f>
        <v>0.761</v>
      </c>
      <c r="P15" s="31">
        <f>P13</f>
        <v>0.239</v>
      </c>
    </row>
    <row r="16" spans="2:16" s="18" customFormat="1" ht="15">
      <c r="B16" s="30"/>
      <c r="C16" s="20"/>
      <c r="D16" s="20"/>
      <c r="E16" s="20"/>
      <c r="F16" s="20"/>
      <c r="G16" s="20"/>
      <c r="H16" s="20"/>
      <c r="I16" s="21" t="str">
        <f>'[2]Rev-SMDR Class Alloc-Rider Calc'!H16</f>
        <v>Allocated per Class</v>
      </c>
      <c r="J16" s="21" t="s">
        <v>24</v>
      </c>
      <c r="K16" s="21"/>
      <c r="L16" s="22"/>
      <c r="M16" s="23"/>
      <c r="N16" s="20">
        <f t="shared" si="0"/>
        <v>1929222.576913129</v>
      </c>
      <c r="O16" s="20">
        <f>$J$15*O15</f>
        <v>1468138.3810308913</v>
      </c>
      <c r="P16" s="20">
        <f>$J$15*P15</f>
        <v>461084.19588223787</v>
      </c>
    </row>
    <row r="17" spans="2:16" s="18" customFormat="1" ht="60">
      <c r="B17" s="29" t="s">
        <v>26</v>
      </c>
      <c r="C17" s="20">
        <f>'[2]Rev-SMDR Class Alloc-Rider Calc'!C17</f>
        <v>1083531.6600000001</v>
      </c>
      <c r="D17" s="20">
        <f>'[3]Summary of Differences-RR'!$G$35</f>
        <v>1083531.6600000001</v>
      </c>
      <c r="E17" s="20">
        <f>'[4]5. SM_Rev_Reqt'!$O$50</f>
        <v>876480.4400000003</v>
      </c>
      <c r="F17" s="32">
        <f>'[4]5. SM_Rev_Reqt'!$Q$50</f>
        <v>616995.5300000008</v>
      </c>
      <c r="G17" s="32">
        <f>'[4]5. SM_Rev_Reqt'!$S$50/12*6</f>
        <v>363551.03249717684</v>
      </c>
      <c r="H17" s="20"/>
      <c r="I17" s="21">
        <f>'[2]Rev-SMDR Class Alloc-Rider Calc'!H17</f>
        <v>2940558.662497178</v>
      </c>
      <c r="J17" s="21">
        <f>SUM(D17:G17)</f>
        <v>2940558.662497178</v>
      </c>
      <c r="K17" s="21">
        <f>J17-I17</f>
        <v>0</v>
      </c>
      <c r="L17" s="22" t="s">
        <v>27</v>
      </c>
      <c r="M17" s="30" t="s">
        <v>23</v>
      </c>
      <c r="N17" s="33">
        <f>103719+8635</f>
        <v>112354</v>
      </c>
      <c r="O17" s="34">
        <f>103719</f>
        <v>103719</v>
      </c>
      <c r="P17" s="34">
        <v>8635</v>
      </c>
    </row>
    <row r="18" spans="2:16" s="18" customFormat="1" ht="15">
      <c r="B18" s="30"/>
      <c r="C18" s="20"/>
      <c r="D18" s="20"/>
      <c r="E18" s="20"/>
      <c r="F18" s="20"/>
      <c r="G18" s="20"/>
      <c r="H18" s="20"/>
      <c r="I18" s="21" t="str">
        <f>'[2]Rev-SMDR Class Alloc-Rider Calc'!H18</f>
        <v>Allocated per Class</v>
      </c>
      <c r="J18" s="21" t="s">
        <v>24</v>
      </c>
      <c r="K18" s="21"/>
      <c r="L18" s="22"/>
      <c r="M18" s="23"/>
      <c r="N18" s="20">
        <f t="shared" si="0"/>
        <v>2940558.662497178</v>
      </c>
      <c r="O18" s="20">
        <f>$J$17/$N$17*O17</f>
        <v>2714561.154169365</v>
      </c>
      <c r="P18" s="20">
        <f>$J$17/$N$17*P17</f>
        <v>225997.5083278133</v>
      </c>
    </row>
    <row r="19" spans="2:16" s="18" customFormat="1" ht="75">
      <c r="B19" s="29" t="s">
        <v>28</v>
      </c>
      <c r="C19" s="35">
        <f>'[2]Rev-SMDR Class Alloc-Rider Calc'!C19</f>
        <v>-56489.66068445522</v>
      </c>
      <c r="D19" s="35">
        <f>'[3]Summary of Differences-RR'!$G$53</f>
        <v>-107124.87262027613</v>
      </c>
      <c r="E19" s="35">
        <f>'[4]5. SM_Rev_Reqt'!$O$68</f>
        <v>-5341.934312146525</v>
      </c>
      <c r="F19" s="32">
        <f>'[4]5. SM_Rev_Reqt'!$Q$68</f>
        <v>110694.81606856582</v>
      </c>
      <c r="G19" s="32">
        <f>'[4]5. SM_Rev_Reqt'!$S$68/12*6</f>
        <v>57077.65744529647</v>
      </c>
      <c r="H19" s="20"/>
      <c r="I19" s="21">
        <f>'[2]Rev-SMDR Class Alloc-Rider Calc'!H19</f>
        <v>105940.87851726054</v>
      </c>
      <c r="J19" s="35">
        <f>SUM(D19:G19)</f>
        <v>55305.66658143964</v>
      </c>
      <c r="K19" s="35">
        <f>J19-I19</f>
        <v>-50635.2119358209</v>
      </c>
      <c r="L19" s="22" t="s">
        <v>29</v>
      </c>
      <c r="M19" s="23"/>
      <c r="N19" s="20">
        <f t="shared" si="0"/>
        <v>6082969.23573735</v>
      </c>
      <c r="O19" s="20">
        <f>O14+O16+O18</f>
        <v>5105935.600405135</v>
      </c>
      <c r="P19" s="20">
        <f>P14+P16+P18</f>
        <v>977033.6353322144</v>
      </c>
    </row>
    <row r="20" spans="2:16" s="18" customFormat="1" ht="15">
      <c r="B20" s="30"/>
      <c r="C20" s="20"/>
      <c r="D20" s="20"/>
      <c r="E20" s="20"/>
      <c r="F20" s="20"/>
      <c r="G20" s="20"/>
      <c r="H20" s="20"/>
      <c r="I20" s="21" t="str">
        <f>'[2]Rev-SMDR Class Alloc-Rider Calc'!H20</f>
        <v>Allocated per Class</v>
      </c>
      <c r="J20" s="21" t="s">
        <v>24</v>
      </c>
      <c r="K20" s="21"/>
      <c r="L20" s="22"/>
      <c r="M20" s="23"/>
      <c r="N20" s="20">
        <f t="shared" si="0"/>
        <v>55305.66658143963</v>
      </c>
      <c r="O20" s="20">
        <f>$J$19/$N$19*O19</f>
        <v>46422.587548740004</v>
      </c>
      <c r="P20" s="20">
        <f>$J$19/$N$19*P19</f>
        <v>8883.079032699627</v>
      </c>
    </row>
    <row r="21" spans="2:16" s="18" customFormat="1" ht="42" customHeight="1" thickBot="1">
      <c r="B21" s="30"/>
      <c r="C21" s="20"/>
      <c r="D21" s="20"/>
      <c r="E21" s="20"/>
      <c r="F21" s="20"/>
      <c r="G21" s="20"/>
      <c r="H21" s="20"/>
      <c r="I21" s="26"/>
      <c r="J21" s="26"/>
      <c r="K21" s="26"/>
      <c r="L21" s="22"/>
      <c r="M21" s="36"/>
      <c r="N21" s="37" t="s">
        <v>16</v>
      </c>
      <c r="O21" s="38" t="str">
        <f>IF('[1]I2 LDC class'!$D$20="",'[1]I2 LDC class'!$C$20,'[1]I2 LDC class'!$D$20)</f>
        <v>Residential</v>
      </c>
      <c r="P21" s="38" t="str">
        <f>IF('[1]I2 LDC class'!$D$21="",'[1]I2 LDC class'!$C$21,'[1]I2 LDC class'!$D$21)</f>
        <v>General Service Less than 50 kW</v>
      </c>
    </row>
    <row r="22" spans="2:16" s="43" customFormat="1" ht="15.75" thickBot="1">
      <c r="B22" s="88" t="s">
        <v>30</v>
      </c>
      <c r="C22" s="89"/>
      <c r="D22" s="90"/>
      <c r="E22" s="90"/>
      <c r="F22" s="90"/>
      <c r="G22" s="90"/>
      <c r="H22" s="91"/>
      <c r="I22" s="39">
        <f>'[2]Rev-SMDR Class Alloc-Rider Calc'!H22</f>
        <v>5660051.109587943</v>
      </c>
      <c r="J22" s="39">
        <f>J13+J15+J17+J19</f>
        <v>6138274.90231879</v>
      </c>
      <c r="K22" s="40">
        <f>J22-I22</f>
        <v>478223.79273084644</v>
      </c>
      <c r="L22" s="41"/>
      <c r="M22" s="42"/>
      <c r="N22" s="116">
        <f>+N14+N16+N18+N20</f>
        <v>6138274.90231879</v>
      </c>
      <c r="O22" s="116">
        <f>+O14+O16+O18+O20</f>
        <v>5152358.187953875</v>
      </c>
      <c r="P22" s="116">
        <f>+P14+P16+P18+P20</f>
        <v>985916.714364914</v>
      </c>
    </row>
    <row r="23" spans="2:16" s="18" customFormat="1" ht="28.5" customHeight="1">
      <c r="B23" s="117" t="s">
        <v>31</v>
      </c>
      <c r="C23" s="117"/>
      <c r="D23" s="117"/>
      <c r="E23" s="117"/>
      <c r="F23" s="117"/>
      <c r="G23" s="117"/>
      <c r="H23" s="44"/>
      <c r="I23" s="44"/>
      <c r="J23" s="92" t="s">
        <v>32</v>
      </c>
      <c r="K23" s="92"/>
      <c r="L23" s="93"/>
      <c r="M23" s="93"/>
      <c r="N23" s="45">
        <f>SUM(O23:P23)</f>
        <v>1</v>
      </c>
      <c r="O23" s="46">
        <f>O22/N22</f>
        <v>0.8393821179314607</v>
      </c>
      <c r="P23" s="46">
        <f>P22/N22</f>
        <v>0.1606178820685393</v>
      </c>
    </row>
    <row r="24" spans="2:16" s="18" customFormat="1" ht="15">
      <c r="B24" s="94" t="s">
        <v>33</v>
      </c>
      <c r="C24" s="94"/>
      <c r="D24" s="94"/>
      <c r="E24" s="94"/>
      <c r="F24" s="94"/>
      <c r="G24" s="94"/>
      <c r="H24" s="94"/>
      <c r="I24" s="47"/>
      <c r="J24" s="48">
        <f>'[4]8. Funding_Adder_Revs'!$K$109</f>
        <v>4091832.760000001</v>
      </c>
      <c r="K24" s="48"/>
      <c r="L24" s="22"/>
      <c r="O24" s="20"/>
      <c r="P24" s="20"/>
    </row>
    <row r="25" spans="2:16" s="18" customFormat="1" ht="15">
      <c r="B25" s="47"/>
      <c r="C25" s="47"/>
      <c r="D25" s="47"/>
      <c r="E25" s="47"/>
      <c r="F25" s="47"/>
      <c r="G25" s="47"/>
      <c r="H25" s="47"/>
      <c r="I25" s="47"/>
      <c r="J25" s="48"/>
      <c r="K25" s="48"/>
      <c r="L25" s="96" t="s">
        <v>34</v>
      </c>
      <c r="M25" s="96"/>
      <c r="N25" s="97"/>
      <c r="O25" s="49">
        <f>J54</f>
        <v>0.9146115390810116</v>
      </c>
      <c r="P25" s="49">
        <f>L54</f>
        <v>0.07600806072363851</v>
      </c>
    </row>
    <row r="26" spans="2:16" s="18" customFormat="1" ht="30.75" customHeight="1" thickBot="1">
      <c r="B26" s="47"/>
      <c r="C26" s="47"/>
      <c r="D26" s="47"/>
      <c r="E26" s="47"/>
      <c r="F26" s="47"/>
      <c r="G26" s="47"/>
      <c r="H26" s="47"/>
      <c r="I26" s="47"/>
      <c r="J26" s="48"/>
      <c r="K26" s="48"/>
      <c r="L26" s="98" t="s">
        <v>35</v>
      </c>
      <c r="M26" s="98"/>
      <c r="N26" s="99"/>
      <c r="O26" s="50">
        <f>J57</f>
        <v>0.004690200097675017</v>
      </c>
      <c r="P26" s="50">
        <f>L57</f>
        <v>0.004690200097675017</v>
      </c>
    </row>
    <row r="27" spans="2:16" s="18" customFormat="1" ht="15" customHeight="1" thickTop="1">
      <c r="B27" s="47"/>
      <c r="C27" s="47"/>
      <c r="D27" s="47"/>
      <c r="E27" s="47"/>
      <c r="F27" s="47"/>
      <c r="G27" s="47"/>
      <c r="H27" s="47"/>
      <c r="I27" s="47"/>
      <c r="J27" s="48"/>
      <c r="K27" s="48"/>
      <c r="L27" s="22" t="s">
        <v>16</v>
      </c>
      <c r="M27" s="22"/>
      <c r="N27" s="22"/>
      <c r="O27" s="49">
        <f>SUM(O25:O26)</f>
        <v>0.9193017391786866</v>
      </c>
      <c r="P27" s="49">
        <f>P25+P26</f>
        <v>0.08069826082131352</v>
      </c>
    </row>
    <row r="28" spans="2:16" s="18" customFormat="1" ht="15" customHeight="1">
      <c r="B28" s="47"/>
      <c r="C28" s="47"/>
      <c r="D28" s="100" t="s">
        <v>36</v>
      </c>
      <c r="E28" s="100"/>
      <c r="F28" s="100"/>
      <c r="G28" s="100"/>
      <c r="H28" s="100"/>
      <c r="I28" s="51"/>
      <c r="J28" s="48">
        <f>J24</f>
        <v>4091832.760000001</v>
      </c>
      <c r="K28" s="48"/>
      <c r="L28" s="22"/>
      <c r="M28" s="22"/>
      <c r="N28" s="22"/>
      <c r="O28" s="52">
        <f>O27*J28</f>
        <v>3761628.9726963267</v>
      </c>
      <c r="P28" s="20">
        <f>J28*P27</f>
        <v>330203.78730367526</v>
      </c>
    </row>
    <row r="29" spans="2:16" s="18" customFormat="1" ht="15">
      <c r="B29" s="101" t="s">
        <v>37</v>
      </c>
      <c r="C29" s="101"/>
      <c r="D29" s="94"/>
      <c r="E29" s="94"/>
      <c r="F29" s="94"/>
      <c r="G29" s="94"/>
      <c r="H29" s="94"/>
      <c r="I29" s="47"/>
      <c r="J29" s="48">
        <f>J22-J24</f>
        <v>2046442.1423187885</v>
      </c>
      <c r="K29" s="48"/>
      <c r="L29" s="22"/>
      <c r="O29" s="23"/>
      <c r="P29" s="23"/>
    </row>
    <row r="30" spans="2:16" s="18" customFormat="1" ht="15">
      <c r="B30" s="22"/>
      <c r="C30" s="22"/>
      <c r="D30" s="44"/>
      <c r="E30" s="44"/>
      <c r="F30" s="44"/>
      <c r="G30" s="44"/>
      <c r="H30" s="44"/>
      <c r="I30" s="44"/>
      <c r="J30" s="48" t="s">
        <v>38</v>
      </c>
      <c r="K30" s="48"/>
      <c r="L30" s="22"/>
      <c r="N30" s="44">
        <f>O30+P30</f>
        <v>2046442.1423187875</v>
      </c>
      <c r="O30" s="20">
        <f>O22-O28</f>
        <v>1390729.2152575487</v>
      </c>
      <c r="P30" s="20">
        <f>P22-P28</f>
        <v>655712.9270612388</v>
      </c>
    </row>
    <row r="31" spans="2:16" s="18" customFormat="1" ht="15.75" thickBot="1">
      <c r="B31" s="22"/>
      <c r="C31" s="22"/>
      <c r="D31" s="44"/>
      <c r="E31" s="44"/>
      <c r="F31" s="44"/>
      <c r="G31" s="44"/>
      <c r="H31" s="44"/>
      <c r="I31" s="44"/>
      <c r="J31" s="48" t="s">
        <v>39</v>
      </c>
      <c r="K31" s="48"/>
      <c r="L31" s="22"/>
      <c r="M31" s="53" t="s">
        <v>40</v>
      </c>
      <c r="O31" s="34">
        <v>104494</v>
      </c>
      <c r="P31" s="34">
        <v>8650</v>
      </c>
    </row>
    <row r="32" spans="2:16" s="18" customFormat="1" ht="29.25" customHeight="1" thickBot="1">
      <c r="B32" s="22"/>
      <c r="C32" s="22"/>
      <c r="D32" s="44"/>
      <c r="E32" s="44"/>
      <c r="F32" s="44"/>
      <c r="G32" s="54" t="s">
        <v>41</v>
      </c>
      <c r="H32" s="113" t="s">
        <v>42</v>
      </c>
      <c r="I32" s="114"/>
      <c r="J32" s="114"/>
      <c r="K32" s="114"/>
      <c r="L32" s="114"/>
      <c r="M32" s="114"/>
      <c r="N32" s="115"/>
      <c r="O32" s="59">
        <f>O30/O31/18</f>
        <v>0.7393987614693182</v>
      </c>
      <c r="P32" s="59">
        <f>P30/P31/18</f>
        <v>4.211386814779954</v>
      </c>
    </row>
    <row r="33" spans="2:16" s="18" customFormat="1" ht="18" thickBot="1">
      <c r="B33" s="22"/>
      <c r="C33" s="22"/>
      <c r="D33" s="44"/>
      <c r="E33" s="44"/>
      <c r="F33" s="44"/>
      <c r="G33" s="54"/>
      <c r="H33" s="55" t="s">
        <v>43</v>
      </c>
      <c r="I33" s="56"/>
      <c r="J33" s="57"/>
      <c r="K33" s="57"/>
      <c r="L33" s="58"/>
      <c r="M33" s="58"/>
      <c r="N33" s="58"/>
      <c r="O33" s="59">
        <f>'[2]Rev-SMDR Class Alloc-Rider Calc'!L32</f>
        <v>0.5484421719294754</v>
      </c>
      <c r="P33" s="59">
        <f>'[2]Rev-SMDR Class Alloc-Rider Calc'!M32</f>
        <v>3.446742812737098</v>
      </c>
    </row>
    <row r="34" spans="2:18" s="18" customFormat="1" ht="18" thickBot="1">
      <c r="B34" s="22"/>
      <c r="C34" s="22"/>
      <c r="D34" s="44"/>
      <c r="E34" s="44"/>
      <c r="F34" s="44"/>
      <c r="G34" s="54"/>
      <c r="H34" s="60"/>
      <c r="I34" s="60"/>
      <c r="J34" s="61"/>
      <c r="K34" s="61"/>
      <c r="L34" s="62"/>
      <c r="M34" s="62"/>
      <c r="N34" s="62"/>
      <c r="O34" s="63"/>
      <c r="P34" s="63"/>
      <c r="Q34" s="44"/>
      <c r="R34" s="44"/>
    </row>
    <row r="35" spans="2:16" s="18" customFormat="1" ht="29.25" customHeight="1" thickBot="1">
      <c r="B35" s="22"/>
      <c r="C35" s="22"/>
      <c r="D35" s="44"/>
      <c r="E35" s="44"/>
      <c r="F35" s="44"/>
      <c r="G35" s="54" t="s">
        <v>44</v>
      </c>
      <c r="H35" s="60"/>
      <c r="I35" s="113" t="s">
        <v>45</v>
      </c>
      <c r="J35" s="114"/>
      <c r="K35" s="114"/>
      <c r="L35" s="114"/>
      <c r="M35" s="114"/>
      <c r="N35" s="115"/>
      <c r="O35" s="63">
        <f>O30</f>
        <v>1390729.2152575487</v>
      </c>
      <c r="P35" s="63">
        <f>P30</f>
        <v>655712.9270612388</v>
      </c>
    </row>
    <row r="36" spans="2:16" s="18" customFormat="1" ht="18" thickBot="1">
      <c r="B36" s="22"/>
      <c r="C36" s="22"/>
      <c r="D36" s="44"/>
      <c r="E36" s="44"/>
      <c r="F36" s="44"/>
      <c r="G36" s="54"/>
      <c r="H36" s="60"/>
      <c r="I36" s="48" t="s">
        <v>46</v>
      </c>
      <c r="K36" s="48"/>
      <c r="L36" s="62"/>
      <c r="M36" s="62"/>
      <c r="N36" s="62"/>
      <c r="O36" s="64">
        <f>'[2]Rev-SMDR Class Alloc-Rider Calc'!L30</f>
        <v>1031560.4936447749</v>
      </c>
      <c r="P36" s="64">
        <f>'[2]Rev-SMDR Class Alloc-Rider Calc'!M30</f>
        <v>536657.8559431662</v>
      </c>
    </row>
    <row r="37" spans="2:17" s="18" customFormat="1" ht="38.25" customHeight="1" thickBot="1">
      <c r="B37" s="22"/>
      <c r="C37" s="22"/>
      <c r="D37" s="44"/>
      <c r="E37" s="44"/>
      <c r="F37" s="44"/>
      <c r="G37" s="54" t="s">
        <v>47</v>
      </c>
      <c r="H37" s="60"/>
      <c r="I37" s="110" t="s">
        <v>48</v>
      </c>
      <c r="J37" s="111"/>
      <c r="K37" s="111"/>
      <c r="L37" s="111"/>
      <c r="M37" s="112"/>
      <c r="N37" s="65">
        <f>O37+P37</f>
        <v>478223.79273084644</v>
      </c>
      <c r="O37" s="63">
        <f>O35-O36</f>
        <v>359168.72161277384</v>
      </c>
      <c r="P37" s="63">
        <f>P35-P36</f>
        <v>119055.0711180726</v>
      </c>
      <c r="Q37" s="44"/>
    </row>
    <row r="38" spans="2:17" s="18" customFormat="1" ht="13.5" customHeight="1" thickBot="1">
      <c r="B38" s="22"/>
      <c r="C38" s="22"/>
      <c r="D38" s="44"/>
      <c r="E38" s="44"/>
      <c r="F38" s="44"/>
      <c r="G38" s="54"/>
      <c r="H38" s="60"/>
      <c r="I38" s="60"/>
      <c r="J38" s="61"/>
      <c r="K38" s="61"/>
      <c r="L38" s="61"/>
      <c r="M38" s="61"/>
      <c r="N38" s="65"/>
      <c r="O38" s="63"/>
      <c r="P38" s="63"/>
      <c r="Q38" s="44"/>
    </row>
    <row r="39" spans="2:16" s="18" customFormat="1" ht="33" customHeight="1" thickBot="1">
      <c r="B39" s="22"/>
      <c r="C39" s="22"/>
      <c r="D39" s="44"/>
      <c r="E39" s="44"/>
      <c r="F39" s="44"/>
      <c r="G39" s="54" t="s">
        <v>49</v>
      </c>
      <c r="H39" s="60"/>
      <c r="I39" s="106" t="s">
        <v>69</v>
      </c>
      <c r="J39" s="107"/>
      <c r="K39" s="107"/>
      <c r="L39" s="107"/>
      <c r="M39" s="107"/>
      <c r="N39" s="108"/>
      <c r="O39" s="109">
        <f>O37/O31/10</f>
        <v>0.3437218611717169</v>
      </c>
      <c r="P39" s="109">
        <f>P37/P31/10</f>
        <v>1.37635920367714</v>
      </c>
    </row>
    <row r="40" spans="2:17" s="18" customFormat="1" ht="13.5" customHeight="1" thickBot="1">
      <c r="B40" s="22"/>
      <c r="C40" s="22"/>
      <c r="D40" s="44"/>
      <c r="E40" s="44"/>
      <c r="F40" s="44"/>
      <c r="G40" s="54"/>
      <c r="H40" s="60"/>
      <c r="I40" s="60"/>
      <c r="J40" s="61"/>
      <c r="K40" s="61"/>
      <c r="L40" s="61"/>
      <c r="M40" s="61"/>
      <c r="N40" s="65"/>
      <c r="O40" s="63"/>
      <c r="P40" s="63"/>
      <c r="Q40" s="44"/>
    </row>
    <row r="41" spans="2:16" s="18" customFormat="1" ht="33" customHeight="1" thickBot="1">
      <c r="B41" s="22"/>
      <c r="C41" s="22"/>
      <c r="D41" s="44"/>
      <c r="E41" s="44"/>
      <c r="F41" s="44"/>
      <c r="G41" s="54" t="s">
        <v>50</v>
      </c>
      <c r="H41" s="60"/>
      <c r="I41" s="106" t="s">
        <v>68</v>
      </c>
      <c r="J41" s="107"/>
      <c r="K41" s="107"/>
      <c r="L41" s="107"/>
      <c r="M41" s="107"/>
      <c r="N41" s="108"/>
      <c r="O41" s="109">
        <f>O39+O33</f>
        <v>0.8921640331011923</v>
      </c>
      <c r="P41" s="109">
        <f>P33+P39</f>
        <v>4.8231020164142375</v>
      </c>
    </row>
    <row r="42" spans="2:17" s="18" customFormat="1" ht="13.5" customHeight="1">
      <c r="B42" s="22"/>
      <c r="C42" s="22"/>
      <c r="D42" s="44"/>
      <c r="E42" s="44"/>
      <c r="F42" s="44"/>
      <c r="G42" s="54"/>
      <c r="H42" s="60"/>
      <c r="I42" s="60"/>
      <c r="J42" s="61"/>
      <c r="K42" s="61"/>
      <c r="L42" s="61"/>
      <c r="M42" s="61"/>
      <c r="N42" s="65"/>
      <c r="O42" s="63"/>
      <c r="P42" s="63"/>
      <c r="Q42" s="44"/>
    </row>
    <row r="43" spans="2:12" s="18" customFormat="1" ht="15">
      <c r="B43" s="22"/>
      <c r="C43" s="22"/>
      <c r="D43" s="44"/>
      <c r="E43" s="44"/>
      <c r="F43" s="44"/>
      <c r="G43" s="44"/>
      <c r="H43" s="44"/>
      <c r="I43" s="44"/>
      <c r="J43" s="48"/>
      <c r="K43" s="48"/>
      <c r="L43" s="22"/>
    </row>
    <row r="44" spans="2:12" s="18" customFormat="1" ht="15">
      <c r="B44" s="22"/>
      <c r="C44" s="22"/>
      <c r="D44" s="44" t="s">
        <v>51</v>
      </c>
      <c r="E44" s="44"/>
      <c r="F44" s="44"/>
      <c r="G44" s="44"/>
      <c r="H44" s="44"/>
      <c r="I44" s="44"/>
      <c r="J44" s="48"/>
      <c r="K44" s="48"/>
      <c r="L44" s="22"/>
    </row>
    <row r="45" spans="2:13" s="18" customFormat="1" ht="30">
      <c r="B45" s="22" t="s">
        <v>52</v>
      </c>
      <c r="C45" s="22"/>
      <c r="D45" s="103" t="s">
        <v>53</v>
      </c>
      <c r="E45" s="103"/>
      <c r="F45" s="103"/>
      <c r="G45" s="66"/>
      <c r="H45" s="44"/>
      <c r="I45" s="44"/>
      <c r="J45" s="104" t="s">
        <v>54</v>
      </c>
      <c r="K45" s="104"/>
      <c r="L45" s="104"/>
      <c r="M45" s="104"/>
    </row>
    <row r="46" spans="2:15" s="18" customFormat="1" ht="15">
      <c r="B46" s="22" t="s">
        <v>55</v>
      </c>
      <c r="C46" s="22"/>
      <c r="D46" s="44" t="s">
        <v>56</v>
      </c>
      <c r="E46" s="44" t="s">
        <v>57</v>
      </c>
      <c r="F46" s="105" t="s">
        <v>58</v>
      </c>
      <c r="G46" s="105" t="s">
        <v>59</v>
      </c>
      <c r="H46" s="44"/>
      <c r="I46" s="44"/>
      <c r="J46" s="95" t="s">
        <v>56</v>
      </c>
      <c r="K46" s="67"/>
      <c r="L46" s="95" t="s">
        <v>57</v>
      </c>
      <c r="M46" s="95" t="s">
        <v>60</v>
      </c>
      <c r="N46" s="95" t="s">
        <v>16</v>
      </c>
      <c r="O46" s="95" t="s">
        <v>61</v>
      </c>
    </row>
    <row r="47" spans="2:15" s="18" customFormat="1" ht="59.25" customHeight="1">
      <c r="B47" s="22"/>
      <c r="C47" s="22"/>
      <c r="F47" s="96"/>
      <c r="G47" s="96"/>
      <c r="J47" s="95"/>
      <c r="K47" s="67"/>
      <c r="L47" s="95"/>
      <c r="M47" s="95"/>
      <c r="N47" s="95"/>
      <c r="O47" s="95"/>
    </row>
    <row r="48" spans="2:15" s="18" customFormat="1" ht="15">
      <c r="B48" s="22">
        <v>2009</v>
      </c>
      <c r="C48" s="22"/>
      <c r="D48" s="68">
        <f>'[5]Veridian,Scugog,Gravenhurst'!$P$95</f>
        <v>101547</v>
      </c>
      <c r="E48" s="68">
        <f>'[5]Veridian,Scugog,Gravenhurst'!$P$98</f>
        <v>8501</v>
      </c>
      <c r="F48" s="68">
        <f>'[5]Veridian,Scugog,Gravenhurst'!$P$99+'[5]Veridian,Scugog,Gravenhurst'!$P$101+'[5]Veridian,Scugog,Gravenhurst'!$P$111</f>
        <v>1054</v>
      </c>
      <c r="G48" s="68">
        <f>SUM(D48:F48)</f>
        <v>111102</v>
      </c>
      <c r="J48" s="69">
        <f>(O48*(D48/G48))</f>
        <v>893053.6665771994</v>
      </c>
      <c r="K48" s="69"/>
      <c r="L48" s="69">
        <f>(O48*(E48/G48))</f>
        <v>74761.92521268745</v>
      </c>
      <c r="M48" s="69">
        <f>(O48*(F48/G48))</f>
        <v>9269.38821011323</v>
      </c>
      <c r="N48" s="70">
        <f>SUM(J48:M48)</f>
        <v>977084.9800000001</v>
      </c>
      <c r="O48" s="71">
        <f>SUM('[4]8. Funding_Adder_Revs'!$K$60:$K$71)</f>
        <v>977084.9800000001</v>
      </c>
    </row>
    <row r="49" spans="2:15" s="18" customFormat="1" ht="15">
      <c r="B49" s="22">
        <v>2010</v>
      </c>
      <c r="C49" s="22"/>
      <c r="D49" s="68">
        <f>'[5]Veridian,Scugog,Gravenhurst'!$Q$95</f>
        <v>102929</v>
      </c>
      <c r="E49" s="68">
        <f>'[5]Veridian,Scugog,Gravenhurst'!$Q$98</f>
        <v>8578</v>
      </c>
      <c r="F49" s="68">
        <f>'[5]Veridian,Scugog,Gravenhurst'!$Q$99+'[5]Veridian,Scugog,Gravenhurst'!$Q$101+'[5]Veridian,Scugog,Gravenhurst'!$Q$111</f>
        <v>1062</v>
      </c>
      <c r="G49" s="68">
        <f>SUM(D49:F49)</f>
        <v>112569</v>
      </c>
      <c r="J49" s="69">
        <f>(O49*(D49/G49))</f>
        <v>1095246.1212362195</v>
      </c>
      <c r="K49" s="69"/>
      <c r="L49" s="69">
        <f>(O49*(E49/G49))</f>
        <v>91276.71723191997</v>
      </c>
      <c r="M49" s="69">
        <f>(O49*(F49/G49))</f>
        <v>11300.521531860457</v>
      </c>
      <c r="N49" s="70">
        <f>SUM(J49:M49)</f>
        <v>1197823.3599999999</v>
      </c>
      <c r="O49" s="71">
        <f>SUM('[4]8. Funding_Adder_Revs'!$K$72:$K$83)</f>
        <v>1197823.3599999999</v>
      </c>
    </row>
    <row r="50" spans="2:15" s="18" customFormat="1" ht="15">
      <c r="B50" s="22">
        <v>2011</v>
      </c>
      <c r="C50" s="22"/>
      <c r="D50" s="68">
        <f>'[5]Veridian,Scugog,Gravenhurst'!$R$95</f>
        <v>104060</v>
      </c>
      <c r="E50" s="68">
        <f>'[5]Veridian,Scugog,Gravenhurst'!$R$98</f>
        <v>8595</v>
      </c>
      <c r="F50" s="68">
        <f>'[5]Veridian,Scugog,Gravenhurst'!$R$99+'[5]Veridian,Scugog,Gravenhurst'!$R$101+'[5]Veridian,Scugog,Gravenhurst'!$R$111</f>
        <v>1054</v>
      </c>
      <c r="G50" s="68">
        <f>SUM(D50:F50)</f>
        <v>113709</v>
      </c>
      <c r="J50" s="69">
        <f>(O50*(D50/G50))</f>
        <v>1274886.703261835</v>
      </c>
      <c r="K50" s="69"/>
      <c r="L50" s="69">
        <f>(O50*(E50/G50))</f>
        <v>105301.28017043506</v>
      </c>
      <c r="M50" s="69">
        <f>(O50*(F50/G50))</f>
        <v>12913.036567729907</v>
      </c>
      <c r="N50" s="70">
        <f>SUM(J50:M50)</f>
        <v>1393101.02</v>
      </c>
      <c r="O50" s="71">
        <f>SUM('[4]8. Funding_Adder_Revs'!$K$84:$K$95)</f>
        <v>1393101.02</v>
      </c>
    </row>
    <row r="51" spans="2:15" s="18" customFormat="1" ht="15.75" thickBot="1">
      <c r="B51" s="72" t="s">
        <v>62</v>
      </c>
      <c r="C51" s="72"/>
      <c r="D51" s="68">
        <f>'[6]Customer Count 2012'!$B$184</f>
        <v>104651</v>
      </c>
      <c r="E51" s="68">
        <f>'[6]Customer Count 2012'!$H$184</f>
        <v>8663</v>
      </c>
      <c r="F51" s="68">
        <f>'[6]Customer Count 2012'!$H$185+5+3</f>
        <v>1070</v>
      </c>
      <c r="G51" s="68">
        <f>SUM(D51:F51)</f>
        <v>114384</v>
      </c>
      <c r="J51" s="73">
        <f>(O51*(D51/G51))</f>
        <v>479250.96721044905</v>
      </c>
      <c r="K51" s="73"/>
      <c r="L51" s="74">
        <f>(O51*(E51/G51))</f>
        <v>39672.35027801091</v>
      </c>
      <c r="M51" s="73">
        <f>(O51*(F51/G51))</f>
        <v>4900.082511540076</v>
      </c>
      <c r="N51" s="73">
        <f>SUM(J51:M51)</f>
        <v>523823.4000000001</v>
      </c>
      <c r="O51" s="74">
        <f>SUM('[4]8. Funding_Adder_Revs'!$K$96:$K$99)</f>
        <v>523823.4</v>
      </c>
    </row>
    <row r="52" spans="2:13" s="18" customFormat="1" ht="15">
      <c r="B52" s="22"/>
      <c r="C52" s="22"/>
      <c r="J52" s="69"/>
      <c r="K52" s="69"/>
      <c r="L52" s="69"/>
      <c r="M52" s="69"/>
    </row>
    <row r="53" spans="2:15" s="18" customFormat="1" ht="15">
      <c r="B53" s="22"/>
      <c r="C53" s="22"/>
      <c r="J53" s="70">
        <f>SUM(J48:J51)</f>
        <v>3742437.4582857033</v>
      </c>
      <c r="K53" s="70"/>
      <c r="L53" s="70">
        <f>SUM(L48:L51)</f>
        <v>311012.27289305336</v>
      </c>
      <c r="M53" s="70">
        <f>SUM(M48:M51)</f>
        <v>38383.028821243664</v>
      </c>
      <c r="N53" s="70">
        <f>SUM(N48:N51)</f>
        <v>4091832.76</v>
      </c>
      <c r="O53" s="75">
        <f>SUM(O48:O52)</f>
        <v>4091832.76</v>
      </c>
    </row>
    <row r="54" spans="2:14" s="18" customFormat="1" ht="15">
      <c r="B54" s="22"/>
      <c r="C54" s="22"/>
      <c r="J54" s="76">
        <f>J53/$N53</f>
        <v>0.9146115390810116</v>
      </c>
      <c r="K54" s="76"/>
      <c r="L54" s="76">
        <f>L53/$N53</f>
        <v>0.07600806072363851</v>
      </c>
      <c r="M54" s="76">
        <f>M53/$N53</f>
        <v>0.009380400195350034</v>
      </c>
      <c r="N54" s="45">
        <f>SUM(J54:M54)</f>
        <v>1.0000000000000002</v>
      </c>
    </row>
    <row r="55" spans="2:12" s="18" customFormat="1" ht="15">
      <c r="B55" s="22"/>
      <c r="C55" s="22"/>
      <c r="J55" s="77">
        <f>O23</f>
        <v>0.8393821179314607</v>
      </c>
      <c r="K55" s="77"/>
      <c r="L55" s="78">
        <f>P23</f>
        <v>0.1606178820685393</v>
      </c>
    </row>
    <row r="56" spans="2:12" s="18" customFormat="1" ht="15">
      <c r="B56" s="22"/>
      <c r="C56" s="22"/>
      <c r="D56" s="18" t="s">
        <v>63</v>
      </c>
      <c r="J56" s="77">
        <v>0.5</v>
      </c>
      <c r="K56" s="77"/>
      <c r="L56" s="78">
        <v>0.5</v>
      </c>
    </row>
    <row r="57" spans="2:12" s="18" customFormat="1" ht="15.75" thickBot="1">
      <c r="B57" s="22"/>
      <c r="C57" s="22"/>
      <c r="D57" s="18" t="s">
        <v>64</v>
      </c>
      <c r="J57" s="79">
        <f>J56*M54</f>
        <v>0.004690200097675017</v>
      </c>
      <c r="K57" s="79"/>
      <c r="L57" s="80">
        <f>L56*M54</f>
        <v>0.004690200097675017</v>
      </c>
    </row>
    <row r="58" spans="2:12" s="18" customFormat="1" ht="15.75" thickTop="1">
      <c r="B58" s="22"/>
      <c r="C58" s="22"/>
      <c r="J58" s="81">
        <f>J54+J57</f>
        <v>0.9193017391786866</v>
      </c>
      <c r="K58" s="81"/>
      <c r="L58" s="82">
        <f>L54+L57</f>
        <v>0.08069826082131352</v>
      </c>
    </row>
    <row r="59" spans="2:12" s="18" customFormat="1" ht="17.25" customHeight="1">
      <c r="B59" s="22"/>
      <c r="C59" s="22"/>
      <c r="D59" s="102" t="s">
        <v>65</v>
      </c>
      <c r="E59" s="102"/>
      <c r="J59" s="43"/>
      <c r="K59" s="43"/>
      <c r="L59" s="22"/>
    </row>
    <row r="60" spans="2:12" s="18" customFormat="1" ht="15">
      <c r="B60" s="22"/>
      <c r="C60" s="22"/>
      <c r="J60" s="43"/>
      <c r="K60" s="43"/>
      <c r="L60" s="22"/>
    </row>
    <row r="61" spans="2:12" s="18" customFormat="1" ht="15">
      <c r="B61" s="22"/>
      <c r="C61" s="22"/>
      <c r="D61" s="83" t="s">
        <v>66</v>
      </c>
      <c r="E61" s="83" t="s">
        <v>67</v>
      </c>
      <c r="J61" s="43"/>
      <c r="K61" s="43"/>
      <c r="L61" s="22"/>
    </row>
    <row r="62" spans="2:14" s="18" customFormat="1" ht="15">
      <c r="B62" s="22"/>
      <c r="C62" s="22"/>
      <c r="D62" s="18">
        <v>2008</v>
      </c>
      <c r="E62" s="84">
        <v>0.73</v>
      </c>
      <c r="J62" s="43"/>
      <c r="K62" s="43"/>
      <c r="L62" s="22"/>
      <c r="M62" s="71"/>
      <c r="N62" s="71"/>
    </row>
    <row r="63" spans="2:12" s="18" customFormat="1" ht="15">
      <c r="B63" s="22"/>
      <c r="C63" s="22"/>
      <c r="D63" s="18">
        <v>2009</v>
      </c>
      <c r="E63" s="84">
        <v>0.73</v>
      </c>
      <c r="J63" s="43"/>
      <c r="K63" s="43"/>
      <c r="L63" s="22"/>
    </row>
    <row r="64" spans="2:14" s="18" customFormat="1" ht="15">
      <c r="B64" s="22"/>
      <c r="C64" s="22"/>
      <c r="D64" s="18">
        <v>2010</v>
      </c>
      <c r="E64" s="84">
        <v>1</v>
      </c>
      <c r="J64" s="43"/>
      <c r="K64" s="43"/>
      <c r="L64" s="22"/>
      <c r="N64" s="71"/>
    </row>
    <row r="65" spans="2:12" s="18" customFormat="1" ht="15">
      <c r="B65" s="22"/>
      <c r="C65" s="22"/>
      <c r="D65" s="18">
        <v>2011</v>
      </c>
      <c r="E65" s="84">
        <v>1</v>
      </c>
      <c r="J65" s="48"/>
      <c r="K65" s="48"/>
      <c r="L65" s="22"/>
    </row>
  </sheetData>
  <sheetProtection/>
  <mergeCells count="26">
    <mergeCell ref="O46:O47"/>
    <mergeCell ref="D59:E59"/>
    <mergeCell ref="I37:M37"/>
    <mergeCell ref="I39:N39"/>
    <mergeCell ref="I41:N41"/>
    <mergeCell ref="D45:F45"/>
    <mergeCell ref="J45:M45"/>
    <mergeCell ref="F46:F47"/>
    <mergeCell ref="G46:G47"/>
    <mergeCell ref="J46:J47"/>
    <mergeCell ref="L46:L47"/>
    <mergeCell ref="M46:M47"/>
    <mergeCell ref="L25:N25"/>
    <mergeCell ref="L26:N26"/>
    <mergeCell ref="D28:H28"/>
    <mergeCell ref="B29:H29"/>
    <mergeCell ref="H32:N32"/>
    <mergeCell ref="I35:N35"/>
    <mergeCell ref="N46:N47"/>
    <mergeCell ref="O1:P1"/>
    <mergeCell ref="B5:O5"/>
    <mergeCell ref="B22:H22"/>
    <mergeCell ref="B23:G23"/>
    <mergeCell ref="J23:M23"/>
    <mergeCell ref="B24:H24"/>
    <mergeCell ref="O3:P3"/>
  </mergeCells>
  <printOptions/>
  <pageMargins left="0.708661417322835" right="0.14" top="0.4" bottom="0.32" header="0.31496062992126" footer="0.31496062992126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Laurie Mclorg</cp:lastModifiedBy>
  <cp:lastPrinted>2013-05-10T14:59:42Z</cp:lastPrinted>
  <dcterms:created xsi:type="dcterms:W3CDTF">2013-01-20T22:27:45Z</dcterms:created>
  <dcterms:modified xsi:type="dcterms:W3CDTF">2013-05-10T14:59:55Z</dcterms:modified>
  <cp:category/>
  <cp:version/>
  <cp:contentType/>
  <cp:contentStatus/>
</cp:coreProperties>
</file>