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780" tabRatio="240" activeTab="2"/>
  </bookViews>
  <sheets>
    <sheet name="REGINFO" sheetId="1" r:id="rId1"/>
    <sheet name="2001" sheetId="2" r:id="rId2"/>
    <sheet name="2002" sheetId="3" r:id="rId3"/>
    <sheet name="TAXREC" sheetId="4" r:id="rId4"/>
  </sheets>
  <externalReferences>
    <externalReference r:id="rId7"/>
  </externalReferences>
  <definedNames>
    <definedName name="_xlnm.Print_Area" localSheetId="1">'2001'!$A$1:$L$138</definedName>
    <definedName name="_xlnm.Print_Area" localSheetId="0">'REGINFO'!$A$1:$D$56</definedName>
    <definedName name="_xlnm.Print_Area" localSheetId="3">'TAXREC'!$A$1:$F$320</definedName>
    <definedName name="_xlnm.Print_Titles" localSheetId="1">'2001'!$A:$A,'2001'!$1:$5</definedName>
    <definedName name="_xlnm.Print_Titles" localSheetId="0">'REGINFO'!$A:$A,'REGINFO'!$1:$6</definedName>
    <definedName name="_xlnm.Print_Titles" localSheetId="3">'TAXREC'!$A:$A,'TAXREC'!$1:$6</definedName>
  </definedNames>
  <calcPr fullCalcOnLoad="1"/>
</workbook>
</file>

<file path=xl/sharedStrings.xml><?xml version="1.0" encoding="utf-8"?>
<sst xmlns="http://schemas.openxmlformats.org/spreadsheetml/2006/main" count="896" uniqueCount="460">
  <si>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</si>
  <si>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</si>
  <si>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</si>
  <si>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</si>
  <si>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</si>
  <si>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</si>
  <si>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</si>
  <si>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</si>
  <si>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</si>
  <si>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</si>
  <si>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</si>
  <si>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</si>
  <si>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</si>
  <si>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</si>
  <si>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</si>
  <si>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</si>
  <si>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</si>
  <si>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</si>
  <si>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</si>
  <si>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</si>
  <si>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</si>
  <si>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</si>
  <si>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</si>
  <si>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</si>
  <si>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</si>
  <si>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</si>
  <si>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</si>
  <si>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</si>
  <si>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</si>
  <si>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</si>
  <si>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</si>
  <si>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</si>
  <si>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</si>
  <si>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</si>
  <si>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</si>
  <si>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</si>
  <si>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</si>
  <si>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</si>
  <si>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</si>
  <si>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</si>
  <si>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</si>
  <si>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</si>
  <si>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</si>
  <si>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</si>
  <si>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</si>
  <si>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</si>
  <si>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</si>
  <si>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</si>
  <si>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</si>
  <si>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</si>
  <si>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</si>
  <si>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</si>
  <si>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</si>
  <si>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</si>
  <si>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</si>
  <si>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</si>
  <si>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</si>
  <si>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</si>
  <si>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</si>
  <si>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</si>
  <si>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</si>
  <si>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</si>
  <si>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</si>
  <si>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</si>
  <si>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</si>
  <si>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</si>
  <si>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</si>
  <si>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</si>
  <si>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</si>
  <si>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</si>
  <si>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</si>
  <si>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</si>
  <si>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</si>
  <si>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</si>
  <si>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</si>
  <si>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</si>
  <si>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</si>
  <si>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</si>
  <si>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</si>
  <si>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</si>
  <si>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</si>
  <si>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</si>
  <si>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</si>
  <si>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</si>
  <si>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</si>
  <si>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</si>
  <si>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</si>
  <si>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</si>
  <si>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</si>
  <si>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</si>
  <si>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</si>
  <si>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</si>
  <si>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</si>
  <si>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</si>
  <si>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</si>
  <si>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</si>
  <si>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</si>
  <si>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</si>
  <si>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</si>
  <si>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</si>
  <si>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</si>
  <si>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</si>
  <si>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</si>
  <si>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</si>
  <si>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</si>
  <si>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</si>
  <si>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</si>
  <si>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</si>
  <si>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</si>
  <si>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</si>
  <si>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</si>
  <si>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</si>
  <si>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</si>
  <si>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</si>
  <si>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</si>
  <si>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</si>
  <si>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</si>
  <si>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</si>
  <si>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</si>
  <si>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</si>
  <si>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</si>
  <si>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</si>
  <si>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</si>
  <si>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</si>
  <si>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</si>
  <si>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</si>
  <si>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</si>
  <si>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</si>
  <si>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</si>
  <si>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</si>
  <si>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</si>
  <si>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</si>
  <si>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</si>
  <si>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</si>
  <si>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</si>
  <si>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</si>
  <si>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</si>
  <si>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</si>
  <si>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</si>
  <si>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</si>
  <si>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</si>
  <si>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</si>
  <si>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</si>
  <si>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</si>
  <si>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</si>
  <si>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</si>
  <si>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</si>
  <si>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</si>
  <si>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</si>
  <si>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</si>
  <si>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</si>
  <si>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</si>
  <si>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</si>
  <si>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</si>
  <si>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</si>
  <si>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</si>
  <si>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</si>
  <si>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</si>
  <si>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</si>
  <si>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</si>
  <si>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</si>
  <si>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</si>
  <si>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</si>
  <si>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</si>
  <si>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</si>
  <si>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</si>
  <si>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</si>
  <si>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</si>
  <si>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</si>
  <si>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</si>
  <si>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</si>
  <si>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</si>
  <si>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</si>
  <si>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</si>
  <si>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</si>
  <si>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</si>
  <si>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</si>
  <si>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</si>
  <si>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</si>
  <si>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</si>
  <si>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</si>
  <si>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</si>
  <si>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</si>
  <si>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</si>
  <si>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</si>
  <si>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</si>
  <si>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</si>
  <si>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</si>
  <si>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</si>
  <si>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</si>
  <si>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</si>
  <si>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</si>
  <si>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</si>
  <si>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</si>
  <si>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</si>
  <si>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</si>
  <si>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</si>
  <si>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</si>
  <si>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</si>
  <si>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</si>
  <si>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</si>
  <si>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</si>
  <si>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</si>
  <si>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</si>
  <si>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</si>
  <si>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</si>
  <si>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</si>
  <si>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</si>
  <si>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</si>
  <si>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</si>
  <si>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</si>
  <si>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</si>
  <si>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</si>
  <si>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</si>
  <si>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</si>
  <si>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</si>
  <si>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</si>
  <si>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</si>
  <si>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</si>
  <si>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</si>
  <si>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</si>
  <si>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</si>
  <si>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</si>
  <si>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</si>
  <si>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</si>
  <si>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</si>
  <si>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</si>
  <si>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</si>
  <si>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</si>
  <si>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</si>
  <si>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</si>
  <si>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</si>
  <si>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</si>
  <si>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</si>
  <si>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</si>
  <si>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</si>
  <si>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</si>
  <si>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</si>
  <si>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</si>
  <si>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</si>
  <si>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</si>
  <si>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</si>
  <si>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</si>
  <si>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</si>
  <si>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</si>
  <si>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</si>
  <si>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</si>
  <si>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</si>
  <si>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</si>
  <si>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</si>
  <si>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</si>
  <si>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</si>
  <si>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</si>
  <si>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</si>
  <si>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</si>
  <si>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</si>
  <si>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</si>
  <si>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</si>
  <si>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</si>
  <si>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</si>
  <si>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</si>
  <si>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</si>
  <si>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</si>
  <si>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</si>
  <si>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</si>
  <si>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</si>
  <si>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</si>
  <si>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</si>
  <si>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</si>
  <si>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</si>
  <si>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</si>
  <si>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</si>
  <si>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</si>
  <si>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</si>
  <si>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</si>
  <si>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</si>
  <si>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</si>
  <si>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</si>
  <si>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</si>
  <si>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</si>
  <si>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</si>
  <si>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</si>
  <si>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</si>
  <si>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</si>
  <si>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</si>
  <si>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</si>
  <si>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</si>
  <si>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</si>
  <si>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</si>
  <si>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</si>
  <si>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</si>
  <si>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</si>
  <si>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</si>
  <si>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</si>
  <si>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</si>
  <si>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</si>
  <si>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</si>
  <si>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</si>
  <si>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</si>
  <si>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</si>
  <si>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</si>
  <si>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</si>
  <si>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</si>
  <si>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</si>
  <si>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</si>
  <si>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</si>
  <si>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</si>
  <si>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</si>
  <si>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</si>
  <si>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</si>
  <si>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</si>
  <si>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</si>
  <si>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</si>
  <si>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</si>
  <si>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</si>
  <si>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</si>
  <si>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</si>
  <si>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</si>
  <si>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</si>
  <si>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</si>
  <si>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</si>
  <si>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</si>
  <si>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</si>
  <si>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</si>
  <si>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</si>
  <si>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</si>
  <si>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</si>
  <si>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</si>
  <si>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</si>
  <si>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</si>
  <si>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</si>
  <si>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</si>
  <si>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</si>
  <si>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</si>
  <si>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</si>
  <si>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</si>
  <si>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</si>
  <si>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</si>
  <si>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</si>
  <si>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</si>
  <si>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</si>
  <si>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</si>
  <si>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</si>
  <si>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</si>
  <si>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</si>
  <si>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</si>
  <si>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</si>
  <si>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</si>
  <si>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</si>
  <si>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</si>
  <si>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</si>
  <si>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</si>
  <si>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</si>
  <si>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</si>
  <si>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</si>
  <si>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</si>
  <si>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</si>
  <si>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</si>
  <si>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</si>
  <si>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</si>
  <si>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</si>
  <si>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</si>
  <si>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</si>
  <si>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</si>
  <si>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</si>
  <si>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</si>
  <si>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</si>
  <si>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</si>
  <si>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</si>
  <si>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</si>
  <si>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</si>
  <si>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</si>
  <si>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</si>
  <si>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</si>
  <si>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</si>
  <si>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</si>
  <si>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</si>
  <si>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</si>
  <si>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</si>
  <si>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</si>
  <si>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</si>
  <si>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</si>
  <si>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</si>
  <si>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</si>
  <si>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</si>
  <si>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</si>
  <si>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</si>
  <si>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</si>
  <si>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</si>
  <si>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</si>
  <si>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</si>
  <si>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</si>
  <si>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</si>
  <si>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</si>
  <si>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</si>
  <si>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</si>
  <si>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</si>
  <si>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</si>
  <si>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</si>
  <si>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</si>
  <si>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</si>
  <si>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</si>
  <si>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</si>
  <si>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</si>
  <si>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</si>
  <si>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</si>
  <si>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</si>
  <si>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</si>
  <si>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</si>
  <si>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</si>
  <si>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</si>
  <si>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</si>
  <si>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</si>
  <si>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</si>
  <si>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</si>
  <si>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</si>
  <si>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</si>
  <si>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</si>
  <si>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</si>
  <si>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</si>
  <si>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</si>
  <si>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</si>
  <si>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</si>
  <si>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</si>
  <si>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</si>
  <si>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</si>
  <si>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</si>
  <si>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</si>
  <si>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</si>
  <si>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</si>
  <si>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</si>
  <si>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</si>
  <si>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</si>
  <si>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</si>
  <si>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</si>
  <si>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</si>
  <si>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</si>
  <si>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</si>
  <si>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</si>
  <si>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</si>
  <si>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</si>
  <si>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</si>
  <si>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</si>
  <si>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</si>
  <si>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</si>
  <si>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</si>
  <si>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</si>
  <si>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</si>
  <si>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</si>
  <si>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</si>
  <si>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</si>
  <si>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</si>
  <si>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</si>
  <si>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</si>
  <si>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</si>
  <si>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 xml:space="preserve"> </t>
  </si>
  <si>
    <t>Utility Name  West perth</t>
  </si>
  <si>
    <t>WEST PERTH 2002</t>
  </si>
  <si>
    <t>Utility Name: West Perth</t>
  </si>
  <si>
    <t>May 1 2002 1st marr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</si>
</sst>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  <numFmt numFmtId="179" formatCode="&quot;$&quot;#,##0.000_);[Red]\(&quot;$&quot;#,##0.000\)"/>
    <numFmt numFmtId="180" formatCode="&quot;$&quot;#,##0.0000_);[Red]\(&quot;$&quot;#,##0.0000\)"/>
    <numFmt numFmtId="181" formatCode="&quot;$&quot;#,##0.000_);\(&quot;$&quot;#,##0.000\)"/>
    <numFmt numFmtId="182" formatCode="&quot;$&quot;#,##0.0000_);\(&quot;$&quot;#,##0.0000\)"/>
    <numFmt numFmtId="183" formatCode="#,##0.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8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37" borderId="0" xfId="0" applyFill="1" applyAlignment="1">
      <alignment vertical="top"/>
    </xf>
    <xf numFmtId="0" fontId="0" fillId="38" borderId="0" xfId="0" applyFill="1" applyAlignment="1">
      <alignment vertical="top"/>
    </xf>
    <xf numFmtId="3" fontId="0" fillId="0" borderId="28" xfId="0" applyNumberFormat="1" applyBorder="1" applyAlignment="1">
      <alignment vertical="top"/>
    </xf>
    <xf numFmtId="3" fontId="0" fillId="0" borderId="29" xfId="0" applyNumberFormat="1" applyFill="1" applyBorder="1" applyAlignment="1">
      <alignment vertical="top"/>
    </xf>
    <xf numFmtId="3" fontId="0" fillId="0" borderId="30" xfId="0" applyNumberFormat="1" applyFill="1" applyBorder="1" applyAlignment="1">
      <alignment vertical="top"/>
    </xf>
    <xf numFmtId="3" fontId="0" fillId="0" borderId="31" xfId="0" applyNumberFormat="1" applyFill="1" applyBorder="1" applyAlignment="1">
      <alignment vertical="top"/>
    </xf>
    <xf numFmtId="0" fontId="0" fillId="39" borderId="0" xfId="0" applyFill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7" fontId="0" fillId="0" borderId="0" xfId="0" applyNumberFormat="1" applyFill="1" applyBorder="1" applyAlignment="1">
      <alignment horizontal="left" vertical="top"/>
    </xf>
    <xf numFmtId="37" fontId="0" fillId="0" borderId="0" xfId="0" applyNumberFormat="1" applyFill="1" applyBorder="1" applyAlignment="1">
      <alignment horizontal="center" vertical="top"/>
    </xf>
    <xf numFmtId="10" fontId="0" fillId="0" borderId="0" xfId="59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3" fontId="0" fillId="40" borderId="15" xfId="0" applyNumberFormat="1" applyFill="1" applyBorder="1" applyAlignment="1">
      <alignment vertical="top"/>
    </xf>
    <xf numFmtId="3" fontId="0" fillId="41" borderId="15" xfId="0" applyNumberFormat="1" applyFill="1" applyBorder="1" applyAlignment="1">
      <alignment vertical="top"/>
    </xf>
    <xf numFmtId="3" fontId="0" fillId="40" borderId="21" xfId="0" applyNumberFormat="1" applyFill="1" applyBorder="1" applyAlignment="1">
      <alignment vertical="top"/>
    </xf>
    <xf numFmtId="173" fontId="0" fillId="41" borderId="15" xfId="0" applyNumberFormat="1" applyFill="1" applyBorder="1" applyAlignment="1">
      <alignment vertical="top"/>
    </xf>
    <xf numFmtId="3" fontId="0" fillId="41" borderId="22" xfId="0" applyNumberForma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2\RP-2002-0029\TSTAFF\West%20Perth%20Neil\West%20Perth%20Neil\CCA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M20">
            <v>11012.285000000002</v>
          </cell>
        </row>
        <row r="38">
          <cell r="M38">
            <v>87480.09509999999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7">
      <selection activeCell="F23" sqref="F23"/>
    </sheetView>
  </sheetViews>
  <sheetFormatPr defaultColWidth="9.140625" defaultRowHeight="12.75"/>
  <cols>
    <col min="1" max="1" width="36.7109375" style="0" customWidth="1"/>
    <col min="2" max="3" width="10.7109375" style="0" hidden="1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442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s="4" t="s">
        <v>458</v>
      </c>
      <c r="C4" s="10"/>
      <c r="D4" s="50" t="s">
        <v>381</v>
      </c>
      <c r="E4" s="10"/>
      <c r="G4" s="10"/>
      <c r="H4" s="10"/>
    </row>
    <row r="5" spans="1:8" ht="13.5" thickBot="1">
      <c r="A5" t="s">
        <v>382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383</v>
      </c>
      <c r="B7" s="3"/>
      <c r="C7" s="45"/>
      <c r="D7" s="3"/>
      <c r="E7" s="3"/>
      <c r="F7" s="3"/>
      <c r="G7" s="3"/>
      <c r="H7" s="3"/>
    </row>
    <row r="8" spans="1:8" ht="12.75">
      <c r="A8" s="3" t="s">
        <v>384</v>
      </c>
      <c r="B8" s="3"/>
      <c r="C8" s="117"/>
      <c r="D8" s="45"/>
      <c r="E8" s="3"/>
      <c r="F8" s="3"/>
      <c r="G8" s="3"/>
      <c r="H8" s="3"/>
    </row>
    <row r="9" spans="1:8" ht="12.75">
      <c r="A9" s="3" t="s">
        <v>385</v>
      </c>
      <c r="C9" s="45"/>
      <c r="D9" s="45"/>
      <c r="E9" s="3"/>
      <c r="F9" s="3"/>
      <c r="G9" s="3"/>
      <c r="H9" s="3"/>
    </row>
    <row r="10" spans="1:8" ht="12.75">
      <c r="A10" s="3" t="s">
        <v>386</v>
      </c>
      <c r="C10" s="45" t="s">
        <v>387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388</v>
      </c>
      <c r="C12" s="45"/>
      <c r="D12" s="45"/>
      <c r="E12" s="3"/>
      <c r="F12" s="3"/>
      <c r="G12" s="3"/>
    </row>
    <row r="13" spans="1:4" ht="12.75">
      <c r="A13" s="3" t="s">
        <v>389</v>
      </c>
      <c r="C13" s="10" t="s">
        <v>387</v>
      </c>
      <c r="D13" s="10"/>
    </row>
    <row r="14" spans="1:4" ht="12.75">
      <c r="A14" s="3"/>
      <c r="C14" s="10"/>
      <c r="D14" s="10"/>
    </row>
    <row r="15" spans="1:4" ht="12.75">
      <c r="A15" s="4" t="s">
        <v>390</v>
      </c>
      <c r="C15" s="10" t="s">
        <v>391</v>
      </c>
      <c r="D15" s="10"/>
    </row>
    <row r="16" spans="1:3" ht="12.75">
      <c r="A16" s="3"/>
      <c r="C16" s="10"/>
    </row>
    <row r="17" spans="1:3" ht="12.75">
      <c r="A17" s="118" t="s">
        <v>392</v>
      </c>
      <c r="C17" s="10"/>
    </row>
    <row r="18" spans="1:3" ht="12.75">
      <c r="A18" s="119" t="s">
        <v>393</v>
      </c>
      <c r="C18" s="10"/>
    </row>
    <row r="19" spans="1:3" ht="12.75">
      <c r="A19" s="119" t="s">
        <v>394</v>
      </c>
      <c r="C19" s="120"/>
    </row>
    <row r="20" ht="12.75">
      <c r="A20" s="121" t="s">
        <v>395</v>
      </c>
    </row>
    <row r="21" ht="12.75">
      <c r="A21" s="115"/>
    </row>
    <row r="22" spans="1:8" ht="12.75">
      <c r="A22" t="s">
        <v>396</v>
      </c>
      <c r="D22" s="5">
        <v>2637626</v>
      </c>
      <c r="H22" s="5"/>
    </row>
    <row r="24" spans="1:8" ht="12.75">
      <c r="A24" t="s">
        <v>397</v>
      </c>
      <c r="D24" s="122">
        <v>0.5</v>
      </c>
      <c r="H24" s="122"/>
    </row>
    <row r="25" ht="12.75">
      <c r="H25" s="114"/>
    </row>
    <row r="26" spans="1:10" ht="12.75">
      <c r="A26" t="s">
        <v>398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399</v>
      </c>
      <c r="D28" s="122">
        <v>0.0988</v>
      </c>
      <c r="H28" s="126"/>
    </row>
    <row r="29" ht="12.75">
      <c r="H29" s="114"/>
    </row>
    <row r="30" spans="1:8" ht="12.75">
      <c r="A30" t="s">
        <v>400</v>
      </c>
      <c r="D30" s="122">
        <v>0.0725</v>
      </c>
      <c r="H30" s="126"/>
    </row>
    <row r="31" ht="12.75">
      <c r="H31" s="114"/>
    </row>
    <row r="32" spans="1:8" ht="12.75">
      <c r="A32" t="s">
        <v>401</v>
      </c>
      <c r="D32" s="124">
        <f>D22*((D24*D28)+(D26*D30))</f>
        <v>225912.6669</v>
      </c>
      <c r="H32" s="125"/>
    </row>
    <row r="33" spans="4:8" ht="13.5" thickBot="1">
      <c r="D33" s="67"/>
      <c r="H33" s="125"/>
    </row>
    <row r="34" spans="1:11" ht="13.5" thickBot="1">
      <c r="A34" t="s">
        <v>402</v>
      </c>
      <c r="D34" s="159">
        <v>143172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403</v>
      </c>
      <c r="D36" s="124">
        <f>D32-D34</f>
        <v>82740.66690000001</v>
      </c>
      <c r="H36" s="125"/>
      <c r="J36" s="5"/>
      <c r="K36" s="5"/>
    </row>
    <row r="37" spans="1:11" ht="12.75">
      <c r="A37" t="s">
        <v>453</v>
      </c>
      <c r="D37" s="125"/>
      <c r="H37" s="125"/>
      <c r="J37" s="5"/>
      <c r="K37" s="5"/>
    </row>
    <row r="38" spans="1:11" ht="13.5" thickBot="1">
      <c r="A38" t="s">
        <v>454</v>
      </c>
      <c r="D38" s="125"/>
      <c r="H38" s="125"/>
      <c r="J38" s="5"/>
      <c r="K38" s="5"/>
    </row>
    <row r="39" spans="1:11" ht="12.75">
      <c r="A39" t="s">
        <v>404</v>
      </c>
      <c r="D39" s="160">
        <v>0</v>
      </c>
      <c r="F39" s="67"/>
      <c r="H39" s="125"/>
      <c r="J39" s="5"/>
      <c r="K39" s="5"/>
    </row>
    <row r="40" spans="1:11" ht="12.75">
      <c r="A40" t="s">
        <v>405</v>
      </c>
      <c r="D40" s="161">
        <f>27580*2</f>
        <v>55160</v>
      </c>
      <c r="E40" s="171" t="s">
        <v>459</v>
      </c>
      <c r="F40" s="170"/>
      <c r="G40" s="170"/>
      <c r="H40" s="125"/>
      <c r="J40" s="5"/>
      <c r="K40" s="5"/>
    </row>
    <row r="41" spans="1:11" ht="13.5" thickBot="1">
      <c r="A41" t="s">
        <v>406</v>
      </c>
      <c r="D41" s="162">
        <v>27580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407</v>
      </c>
      <c r="B43" s="5"/>
      <c r="C43" s="5"/>
      <c r="D43" s="89">
        <f>D22*D24</f>
        <v>1318813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408</v>
      </c>
      <c r="B45" s="5"/>
      <c r="C45" s="5"/>
      <c r="D45" s="89">
        <f>D43*D28</f>
        <v>130298.72439999999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409</v>
      </c>
      <c r="B47" s="5"/>
      <c r="C47" s="5"/>
      <c r="D47" s="89">
        <f>D22*D26</f>
        <v>1318813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410</v>
      </c>
      <c r="B49" s="5"/>
      <c r="C49" s="5"/>
      <c r="D49" s="89">
        <f>D47*D30</f>
        <v>95613.94249999999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411</v>
      </c>
      <c r="B51" s="5"/>
      <c r="C51" s="5"/>
      <c r="D51" s="112">
        <f>((D34+D39)/D32)*D49</f>
        <v>60595.271453590176</v>
      </c>
      <c r="F51" s="5"/>
      <c r="H51" s="111"/>
      <c r="J51" s="5"/>
      <c r="K51" s="5"/>
    </row>
    <row r="52" spans="1:11" ht="12.75">
      <c r="A52" t="s">
        <v>412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413</v>
      </c>
      <c r="B53" s="5"/>
      <c r="C53" s="5"/>
      <c r="D53" s="112">
        <f>((D34+D39+D40)/D32)*D49</f>
        <v>83940.86398131931</v>
      </c>
      <c r="F53" s="5"/>
      <c r="H53" s="111"/>
      <c r="J53" s="5"/>
      <c r="K53" s="5"/>
    </row>
    <row r="54" spans="1:11" ht="12.75">
      <c r="A54" t="s">
        <v>414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415</v>
      </c>
      <c r="B55" s="5"/>
      <c r="C55" s="5"/>
      <c r="D55" s="112">
        <f>D49</f>
        <v>95613.94249999999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mergeCells count="1">
    <mergeCell ref="E40:G40"/>
  </mergeCells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148"/>
  <sheetViews>
    <sheetView zoomScalePageLayoutView="0" workbookViewId="0" topLeftCell="A49">
      <selection activeCell="O48" sqref="O47:O48"/>
    </sheetView>
  </sheetViews>
  <sheetFormatPr defaultColWidth="9.140625" defaultRowHeight="12.75"/>
  <cols>
    <col min="1" max="1" width="41.0039062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5.14062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443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8">
      <c r="A7" s="164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435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441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436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437</v>
      </c>
      <c r="L10" s="35"/>
    </row>
    <row r="11" spans="1:12" ht="18">
      <c r="A11" s="164" t="s">
        <v>456</v>
      </c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438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52" s="157" customFormat="1" ht="10.5" customHeight="1">
      <c r="A15" s="110" t="s">
        <v>112</v>
      </c>
      <c r="B15" s="173">
        <v>1</v>
      </c>
      <c r="C15" s="64"/>
      <c r="D15" s="28" t="s">
        <v>143</v>
      </c>
      <c r="E15" s="175">
        <f>+G15-C15</f>
        <v>35793</v>
      </c>
      <c r="F15" s="172"/>
      <c r="G15" s="74">
        <f>+(REGINFO!D34+REGINFO!D39)/4</f>
        <v>35793</v>
      </c>
      <c r="H15" s="23" t="s">
        <v>144</v>
      </c>
      <c r="I15" s="174">
        <f>+K15-G15</f>
        <v>-35793</v>
      </c>
      <c r="J15" s="114"/>
      <c r="K15" s="178">
        <f>TAXREC!E26</f>
        <v>0</v>
      </c>
      <c r="L15" s="23" t="s">
        <v>145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</row>
    <row r="16" spans="1:52" ht="12.75">
      <c r="A16" s="110"/>
      <c r="B16" s="173"/>
      <c r="C16" s="65"/>
      <c r="D16" s="23"/>
      <c r="E16" s="175"/>
      <c r="F16" s="114"/>
      <c r="G16" s="74"/>
      <c r="H16" s="23"/>
      <c r="I16" s="174"/>
      <c r="J16" s="114"/>
      <c r="K16" s="178"/>
      <c r="L16" s="2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</row>
    <row r="17" spans="1:52" ht="12.75">
      <c r="A17" s="110" t="s">
        <v>98</v>
      </c>
      <c r="B17" s="173"/>
      <c r="C17" s="65"/>
      <c r="D17" s="23"/>
      <c r="E17" s="175"/>
      <c r="F17" s="114"/>
      <c r="G17" s="74"/>
      <c r="H17" s="23"/>
      <c r="I17" s="174"/>
      <c r="J17" s="114"/>
      <c r="K17" s="178"/>
      <c r="L17" s="2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</row>
    <row r="18" spans="1:52" ht="12.75">
      <c r="A18" s="114"/>
      <c r="B18" s="173"/>
      <c r="C18" s="64"/>
      <c r="D18" s="28"/>
      <c r="E18" s="175"/>
      <c r="F18" s="114"/>
      <c r="G18" s="74"/>
      <c r="H18" s="23"/>
      <c r="I18" s="174"/>
      <c r="J18" s="114"/>
      <c r="K18" s="178"/>
      <c r="L18" s="2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</row>
    <row r="19" spans="1:52" ht="12.75">
      <c r="A19" s="183" t="s">
        <v>217</v>
      </c>
      <c r="B19" s="184"/>
      <c r="C19" s="64"/>
      <c r="D19" s="29"/>
      <c r="E19" s="175"/>
      <c r="F19" s="111"/>
      <c r="G19" s="74"/>
      <c r="H19" s="30"/>
      <c r="I19" s="174"/>
      <c r="J19" s="111"/>
      <c r="K19" s="178"/>
      <c r="L19" s="2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</row>
    <row r="20" spans="1:52" s="157" customFormat="1" ht="12.75">
      <c r="A20" s="114" t="s">
        <v>17</v>
      </c>
      <c r="B20" s="172">
        <v>2</v>
      </c>
      <c r="C20" s="64"/>
      <c r="D20" s="30" t="s">
        <v>146</v>
      </c>
      <c r="E20" s="175">
        <f aca="true" t="shared" si="0" ref="E20:E28">+G20-C20</f>
        <v>36275.25</v>
      </c>
      <c r="F20" s="111"/>
      <c r="G20" s="74">
        <f>+'2002'!C20/4</f>
        <v>36275.25</v>
      </c>
      <c r="H20" s="30" t="s">
        <v>147</v>
      </c>
      <c r="I20" s="174">
        <f aca="true" t="shared" si="1" ref="I20:I28">+K20-G20</f>
        <v>-36275.25</v>
      </c>
      <c r="J20" s="111"/>
      <c r="K20" s="178">
        <f>TAXREC!E29</f>
        <v>0</v>
      </c>
      <c r="L20" s="23" t="s">
        <v>148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</row>
    <row r="21" spans="1:52" ht="12.75">
      <c r="A21" s="114" t="s">
        <v>86</v>
      </c>
      <c r="B21" s="172">
        <v>3</v>
      </c>
      <c r="C21" s="64"/>
      <c r="D21" s="30" t="s">
        <v>149</v>
      </c>
      <c r="E21" s="175">
        <f t="shared" si="0"/>
        <v>0</v>
      </c>
      <c r="F21" s="111"/>
      <c r="G21" s="74"/>
      <c r="H21" s="30" t="s">
        <v>150</v>
      </c>
      <c r="I21" s="174">
        <f t="shared" si="1"/>
        <v>0</v>
      </c>
      <c r="J21" s="111"/>
      <c r="K21" s="178">
        <f>TAXREC!E30</f>
        <v>0</v>
      </c>
      <c r="L21" s="23" t="s">
        <v>151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</row>
    <row r="22" spans="1:52" s="157" customFormat="1" ht="12.75">
      <c r="A22" s="114" t="s">
        <v>364</v>
      </c>
      <c r="B22" s="172">
        <v>4</v>
      </c>
      <c r="C22" s="64"/>
      <c r="D22" s="23" t="s">
        <v>152</v>
      </c>
      <c r="E22" s="175">
        <f t="shared" si="0"/>
        <v>0</v>
      </c>
      <c r="F22" s="111"/>
      <c r="G22" s="74">
        <v>0</v>
      </c>
      <c r="H22" s="30" t="s">
        <v>153</v>
      </c>
      <c r="I22" s="174">
        <f t="shared" si="1"/>
        <v>0</v>
      </c>
      <c r="J22" s="111"/>
      <c r="K22" s="178">
        <f>TAXREC!E31</f>
        <v>0</v>
      </c>
      <c r="L22" s="23" t="s">
        <v>154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</row>
    <row r="23" spans="1:52" ht="12.75">
      <c r="A23" s="114" t="s">
        <v>365</v>
      </c>
      <c r="B23" s="172">
        <v>5</v>
      </c>
      <c r="C23" s="64"/>
      <c r="D23" s="30" t="s">
        <v>155</v>
      </c>
      <c r="E23" s="175">
        <f t="shared" si="0"/>
        <v>0</v>
      </c>
      <c r="F23" s="111"/>
      <c r="G23" s="74">
        <v>0</v>
      </c>
      <c r="H23" s="30" t="s">
        <v>156</v>
      </c>
      <c r="I23" s="174">
        <f t="shared" si="1"/>
        <v>0</v>
      </c>
      <c r="J23" s="111"/>
      <c r="K23" s="178">
        <f>TAXREC!E32</f>
        <v>0</v>
      </c>
      <c r="L23" s="23" t="s">
        <v>157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</row>
    <row r="24" spans="1:52" ht="12.75">
      <c r="A24" s="114" t="s">
        <v>158</v>
      </c>
      <c r="B24" s="172">
        <v>6</v>
      </c>
      <c r="C24" s="64"/>
      <c r="D24" s="30" t="s">
        <v>159</v>
      </c>
      <c r="E24" s="175">
        <f t="shared" si="0"/>
        <v>0</v>
      </c>
      <c r="F24" s="111"/>
      <c r="G24" s="74"/>
      <c r="H24" s="30" t="s">
        <v>160</v>
      </c>
      <c r="I24" s="174">
        <f t="shared" si="1"/>
        <v>0</v>
      </c>
      <c r="J24" s="111"/>
      <c r="K24" s="178">
        <f>TAXREC!E33</f>
        <v>0</v>
      </c>
      <c r="L24" s="23" t="s">
        <v>161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2" ht="12.75">
      <c r="A25" s="114" t="s">
        <v>353</v>
      </c>
      <c r="B25" s="172"/>
      <c r="C25" s="64"/>
      <c r="D25" s="30"/>
      <c r="E25" s="175"/>
      <c r="F25" s="111"/>
      <c r="G25" s="74"/>
      <c r="H25" s="30"/>
      <c r="I25" s="174"/>
      <c r="J25" s="111"/>
      <c r="K25" s="178"/>
      <c r="L25" s="2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</row>
    <row r="26" spans="1:52" ht="12.75">
      <c r="A26" s="114" t="s">
        <v>352</v>
      </c>
      <c r="B26" s="172">
        <v>7</v>
      </c>
      <c r="C26" s="64"/>
      <c r="D26" s="30" t="s">
        <v>162</v>
      </c>
      <c r="E26" s="175">
        <f t="shared" si="0"/>
        <v>0</v>
      </c>
      <c r="F26" s="111"/>
      <c r="G26" s="74"/>
      <c r="H26" s="30" t="s">
        <v>163</v>
      </c>
      <c r="I26" s="174">
        <f t="shared" si="1"/>
        <v>0</v>
      </c>
      <c r="J26" s="111"/>
      <c r="K26" s="178">
        <f>TAXREC!E34</f>
        <v>0</v>
      </c>
      <c r="L26" s="23" t="s">
        <v>164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</row>
    <row r="27" spans="1:52" ht="12.75">
      <c r="A27" s="114" t="s">
        <v>359</v>
      </c>
      <c r="B27" s="172">
        <v>7</v>
      </c>
      <c r="C27" s="64"/>
      <c r="D27" s="30" t="s">
        <v>162</v>
      </c>
      <c r="E27" s="175">
        <f t="shared" si="0"/>
        <v>0</v>
      </c>
      <c r="F27" s="111"/>
      <c r="G27" s="74"/>
      <c r="H27" s="30" t="s">
        <v>163</v>
      </c>
      <c r="I27" s="174">
        <f t="shared" si="1"/>
        <v>0</v>
      </c>
      <c r="J27" s="111"/>
      <c r="K27" s="178">
        <f>TAXREC!E35</f>
        <v>0</v>
      </c>
      <c r="L27" s="23" t="s">
        <v>164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</row>
    <row r="28" spans="1:52" ht="12.75">
      <c r="A28" s="114" t="s">
        <v>423</v>
      </c>
      <c r="B28" s="172">
        <v>7</v>
      </c>
      <c r="C28" s="64"/>
      <c r="D28" s="30" t="s">
        <v>162</v>
      </c>
      <c r="E28" s="175">
        <f t="shared" si="0"/>
        <v>0</v>
      </c>
      <c r="F28" s="111"/>
      <c r="G28" s="74"/>
      <c r="H28" s="30" t="s">
        <v>163</v>
      </c>
      <c r="I28" s="174">
        <f t="shared" si="1"/>
        <v>0</v>
      </c>
      <c r="J28" s="111"/>
      <c r="K28" s="178">
        <f>TAXREC!E84</f>
        <v>0</v>
      </c>
      <c r="L28" s="23" t="s">
        <v>164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</row>
    <row r="29" spans="1:52" ht="12.75">
      <c r="A29" s="183" t="s">
        <v>218</v>
      </c>
      <c r="B29" s="184"/>
      <c r="C29" s="64"/>
      <c r="D29" s="30"/>
      <c r="E29" s="175"/>
      <c r="F29" s="111"/>
      <c r="G29" s="74"/>
      <c r="H29" s="30"/>
      <c r="I29" s="174"/>
      <c r="J29" s="111"/>
      <c r="K29" s="178"/>
      <c r="L29" s="2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</row>
    <row r="30" spans="1:52" ht="12.75">
      <c r="A30" s="114" t="s">
        <v>366</v>
      </c>
      <c r="B30" s="172">
        <v>8</v>
      </c>
      <c r="C30" s="64"/>
      <c r="D30" s="30" t="s">
        <v>165</v>
      </c>
      <c r="E30" s="175">
        <f aca="true" t="shared" si="2" ref="E30:E38">+G30-C30</f>
        <v>-11012.285000000002</v>
      </c>
      <c r="F30" s="111"/>
      <c r="G30" s="74">
        <f>-'[1]Sheet1'!$M$20</f>
        <v>-11012.285000000002</v>
      </c>
      <c r="H30" s="30" t="s">
        <v>166</v>
      </c>
      <c r="I30" s="174">
        <f aca="true" t="shared" si="3" ref="I30:I38">+K30-G30</f>
        <v>11012.285000000002</v>
      </c>
      <c r="J30" s="111"/>
      <c r="K30" s="178">
        <f>TAXREC!E89</f>
        <v>0</v>
      </c>
      <c r="L30" s="23" t="s">
        <v>167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</row>
    <row r="31" spans="1:52" s="163" customFormat="1" ht="12.75">
      <c r="A31" s="114" t="s">
        <v>367</v>
      </c>
      <c r="B31" s="172">
        <v>9</v>
      </c>
      <c r="C31" s="64"/>
      <c r="D31" s="30" t="s">
        <v>168</v>
      </c>
      <c r="E31" s="175">
        <f t="shared" si="2"/>
        <v>0</v>
      </c>
      <c r="F31" s="111"/>
      <c r="G31" s="74">
        <v>0</v>
      </c>
      <c r="H31" s="30" t="s">
        <v>169</v>
      </c>
      <c r="I31" s="174">
        <f t="shared" si="3"/>
        <v>0</v>
      </c>
      <c r="J31" s="111"/>
      <c r="K31" s="178">
        <f>TAXREC!E90</f>
        <v>0</v>
      </c>
      <c r="L31" s="23" t="s">
        <v>170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</row>
    <row r="32" spans="1:52" s="163" customFormat="1" ht="12.75">
      <c r="A32" s="114" t="s">
        <v>171</v>
      </c>
      <c r="B32" s="172">
        <v>10</v>
      </c>
      <c r="C32" s="64"/>
      <c r="D32" s="30" t="s">
        <v>172</v>
      </c>
      <c r="E32" s="175">
        <f t="shared" si="2"/>
        <v>0</v>
      </c>
      <c r="F32" s="111"/>
      <c r="G32" s="74">
        <v>0</v>
      </c>
      <c r="H32" s="30" t="s">
        <v>173</v>
      </c>
      <c r="I32" s="174">
        <f t="shared" si="3"/>
        <v>0</v>
      </c>
      <c r="J32" s="111"/>
      <c r="K32" s="178">
        <f>TAXREC!E91</f>
        <v>0</v>
      </c>
      <c r="L32" s="23" t="s">
        <v>174</v>
      </c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</row>
    <row r="33" spans="1:52" ht="12.75">
      <c r="A33" s="114" t="s">
        <v>158</v>
      </c>
      <c r="B33" s="172">
        <v>11</v>
      </c>
      <c r="C33" s="64"/>
      <c r="D33" s="30" t="s">
        <v>175</v>
      </c>
      <c r="E33" s="175">
        <f t="shared" si="2"/>
        <v>0</v>
      </c>
      <c r="F33" s="111"/>
      <c r="G33" s="74"/>
      <c r="H33" s="30" t="s">
        <v>176</v>
      </c>
      <c r="I33" s="174">
        <f t="shared" si="3"/>
        <v>0</v>
      </c>
      <c r="J33" s="111"/>
      <c r="K33" s="178">
        <f>TAXREC!E92</f>
        <v>0</v>
      </c>
      <c r="L33" s="23" t="s">
        <v>177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</row>
    <row r="34" spans="1:52" s="163" customFormat="1" ht="12.75">
      <c r="A34" s="114" t="s">
        <v>434</v>
      </c>
      <c r="B34" s="172">
        <v>12</v>
      </c>
      <c r="C34" s="64"/>
      <c r="D34" s="30" t="s">
        <v>178</v>
      </c>
      <c r="E34" s="175">
        <f t="shared" si="2"/>
        <v>-15148.817863397544</v>
      </c>
      <c r="F34" s="111"/>
      <c r="G34" s="74">
        <f>REGINFO!D51/4*-1</f>
        <v>-15148.817863397544</v>
      </c>
      <c r="H34" s="30" t="s">
        <v>179</v>
      </c>
      <c r="I34" s="174">
        <f t="shared" si="3"/>
        <v>15148.817863397544</v>
      </c>
      <c r="J34" s="111"/>
      <c r="K34" s="178">
        <f>TAXREC!E93</f>
        <v>0</v>
      </c>
      <c r="L34" s="23" t="s">
        <v>180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</row>
    <row r="35" spans="1:52" ht="12.75">
      <c r="A35" s="114" t="s">
        <v>354</v>
      </c>
      <c r="B35" s="172"/>
      <c r="C35" s="64"/>
      <c r="D35" s="30"/>
      <c r="E35" s="175"/>
      <c r="F35" s="111"/>
      <c r="G35" s="74"/>
      <c r="H35" s="30"/>
      <c r="I35" s="174"/>
      <c r="J35" s="111"/>
      <c r="K35" s="178"/>
      <c r="L35" s="2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</row>
    <row r="36" spans="1:52" ht="12.75">
      <c r="A36" s="114" t="s">
        <v>352</v>
      </c>
      <c r="B36" s="172">
        <v>13</v>
      </c>
      <c r="C36" s="64"/>
      <c r="D36" s="30" t="s">
        <v>181</v>
      </c>
      <c r="E36" s="175">
        <f t="shared" si="2"/>
        <v>0</v>
      </c>
      <c r="F36" s="111"/>
      <c r="G36" s="74"/>
      <c r="H36" s="30" t="s">
        <v>182</v>
      </c>
      <c r="I36" s="174">
        <f t="shared" si="3"/>
        <v>0</v>
      </c>
      <c r="J36" s="111"/>
      <c r="K36" s="178">
        <f>TAXREC!E94</f>
        <v>0</v>
      </c>
      <c r="L36" s="23" t="s">
        <v>183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</row>
    <row r="37" spans="1:52" ht="12.75">
      <c r="A37" s="114" t="s">
        <v>359</v>
      </c>
      <c r="B37" s="172">
        <v>13</v>
      </c>
      <c r="C37" s="64">
        <v>1000</v>
      </c>
      <c r="D37" s="30" t="s">
        <v>181</v>
      </c>
      <c r="E37" s="175">
        <f t="shared" si="2"/>
        <v>-1000</v>
      </c>
      <c r="F37" s="111"/>
      <c r="G37" s="74"/>
      <c r="H37" s="30" t="s">
        <v>182</v>
      </c>
      <c r="I37" s="174">
        <f t="shared" si="3"/>
        <v>0</v>
      </c>
      <c r="J37" s="111"/>
      <c r="K37" s="178">
        <f>TAXREC!E95</f>
        <v>0</v>
      </c>
      <c r="L37" s="23" t="s">
        <v>183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</row>
    <row r="38" spans="1:52" ht="12.75">
      <c r="A38" s="114" t="s">
        <v>422</v>
      </c>
      <c r="B38" s="172">
        <v>13</v>
      </c>
      <c r="C38" s="64"/>
      <c r="D38" s="30" t="s">
        <v>181</v>
      </c>
      <c r="E38" s="175">
        <f t="shared" si="2"/>
        <v>0</v>
      </c>
      <c r="F38" s="111"/>
      <c r="G38" s="74"/>
      <c r="H38" s="30" t="s">
        <v>182</v>
      </c>
      <c r="I38" s="174">
        <f t="shared" si="3"/>
        <v>0</v>
      </c>
      <c r="J38" s="111"/>
      <c r="K38" s="178">
        <f>TAXREC!E133</f>
        <v>0</v>
      </c>
      <c r="L38" s="23" t="s">
        <v>183</v>
      </c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</row>
    <row r="39" spans="2:12" ht="12.75">
      <c r="B39" s="10"/>
      <c r="C39" s="64"/>
      <c r="D39" s="30"/>
      <c r="E39" s="174"/>
      <c r="F39" s="5"/>
      <c r="G39" s="70"/>
      <c r="H39" s="39"/>
      <c r="I39" s="174"/>
      <c r="J39" s="5"/>
      <c r="K39" s="178"/>
      <c r="L39" s="35"/>
    </row>
    <row r="40" spans="1:12" ht="12.75">
      <c r="A40" s="16" t="s">
        <v>119</v>
      </c>
      <c r="B40" s="53"/>
      <c r="C40" s="96">
        <f>IF((C15=0),0,SUM(C15:C39))</f>
        <v>0</v>
      </c>
      <c r="D40" s="42"/>
      <c r="E40" s="93">
        <f>SUM(E15:E39)</f>
        <v>44907.14713660245</v>
      </c>
      <c r="F40" s="7"/>
      <c r="G40" s="96">
        <f>IF((G15=0),0,SUM(G15:G39))</f>
        <v>45907.14713660245</v>
      </c>
      <c r="H40" s="43"/>
      <c r="I40" s="93">
        <f>SUM(I15:I39)</f>
        <v>-45907.14713660245</v>
      </c>
      <c r="J40" s="7"/>
      <c r="K40" s="180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179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179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179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-0.19499999999999998</v>
      </c>
      <c r="F44" s="5"/>
      <c r="G44" s="72">
        <f>+IF((G40&lt;50000),0.1912,IF((G40&gt;175000),0.4062,0.3412))</f>
        <v>0.1912</v>
      </c>
      <c r="H44" s="39" t="s">
        <v>185</v>
      </c>
      <c r="I44" s="95">
        <f>+K44-G44</f>
        <v>0.19499999999999998</v>
      </c>
      <c r="J44" s="5"/>
      <c r="K44" s="18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179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179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8777.446532518388</v>
      </c>
      <c r="F47" s="7"/>
      <c r="G47" s="96">
        <f>G40*G44</f>
        <v>8777.446532518388</v>
      </c>
      <c r="H47" s="43"/>
      <c r="I47" s="98">
        <f>K47-G47</f>
        <v>-8777.446532518388</v>
      </c>
      <c r="J47" s="7"/>
      <c r="K47" s="180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179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179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179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8777.446532518388</v>
      </c>
      <c r="F51" s="6"/>
      <c r="G51" s="97">
        <f>+G47-G49</f>
        <v>8777.446532518388</v>
      </c>
      <c r="H51" s="40"/>
      <c r="I51" s="97">
        <f>+I47-I49</f>
        <v>-8777.446532518388</v>
      </c>
      <c r="J51" s="6"/>
      <c r="K51" s="182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2637626</v>
      </c>
      <c r="F59" s="5"/>
      <c r="G59" s="70">
        <f>+REGINFO!D22</f>
        <v>2637626</v>
      </c>
      <c r="H59" s="39" t="s">
        <v>191</v>
      </c>
      <c r="I59" s="92">
        <f>+K59-G59</f>
        <v>-2637626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-5000000</v>
      </c>
      <c r="F60" s="5"/>
      <c r="G60" s="70">
        <v>-5000000</v>
      </c>
      <c r="H60" s="39" t="s">
        <v>194</v>
      </c>
      <c r="I60" s="92">
        <f>+K60-G60</f>
        <v>5000000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-2362374</v>
      </c>
      <c r="F61" s="7"/>
      <c r="G61" s="93">
        <f>IF((G59+G60)&gt;0,+G59+G60,0)</f>
        <v>0</v>
      </c>
      <c r="H61" s="43"/>
      <c r="I61" s="98">
        <f>SUM(I59:I60)</f>
        <v>2362374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+G61*G63/4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2637626</v>
      </c>
      <c r="F68" s="8"/>
      <c r="G68" s="70">
        <f>+G59</f>
        <v>2637626</v>
      </c>
      <c r="H68" s="39" t="s">
        <v>200</v>
      </c>
      <c r="I68" s="92">
        <f>+K68-G68</f>
        <v>-2637626</v>
      </c>
      <c r="J68" s="8"/>
      <c r="K68" s="100">
        <f>TAXREC!E299</f>
        <v>0</v>
      </c>
      <c r="L68" s="35" t="s">
        <v>201</v>
      </c>
    </row>
    <row r="69" spans="1:14" ht="12.75">
      <c r="A69" s="4" t="s">
        <v>122</v>
      </c>
      <c r="B69" s="51">
        <v>20</v>
      </c>
      <c r="C69" s="64"/>
      <c r="D69" s="30" t="s">
        <v>202</v>
      </c>
      <c r="E69" s="92">
        <f>+G69-C69</f>
        <v>-10000000</v>
      </c>
      <c r="F69" s="8"/>
      <c r="G69" s="70">
        <v>-10000000</v>
      </c>
      <c r="H69" s="39" t="s">
        <v>203</v>
      </c>
      <c r="I69" s="92">
        <f>+K69-G69</f>
        <v>10000000</v>
      </c>
      <c r="J69" s="8"/>
      <c r="K69" s="100">
        <f>TAXREC!E301</f>
        <v>0</v>
      </c>
      <c r="L69" s="35" t="s">
        <v>204</v>
      </c>
      <c r="N69">
        <v>270000</v>
      </c>
    </row>
    <row r="70" spans="1:14" ht="12.75">
      <c r="A70" s="4" t="s">
        <v>121</v>
      </c>
      <c r="B70" s="51"/>
      <c r="C70" s="93">
        <f>SUM(C68:C69)</f>
        <v>0</v>
      </c>
      <c r="D70" s="42"/>
      <c r="E70" s="98">
        <f>SUM(E68:E69)</f>
        <v>-7362374</v>
      </c>
      <c r="F70" s="7"/>
      <c r="G70" s="93">
        <f>IF((G68+G69)&gt;0,+G68+G69,0)</f>
        <v>0</v>
      </c>
      <c r="H70" s="43"/>
      <c r="I70" s="98">
        <f>SUM(I68:I69)</f>
        <v>7362374</v>
      </c>
      <c r="J70" s="7"/>
      <c r="K70" s="96">
        <f>SUM(K68:K69)</f>
        <v>0</v>
      </c>
      <c r="L70" s="56"/>
      <c r="N70">
        <f>+N69*0.003</f>
        <v>810</v>
      </c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+G70*G72/4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0</v>
      </c>
      <c r="F75" s="8"/>
      <c r="G75" s="100">
        <f>IF((G74=0),0,(G40*0.0112)*-1)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0">
        <f>IF((C77&lt;0),C51/(1-C44-0.0112),C51/(1-C44))</f>
        <v>0</v>
      </c>
      <c r="D82" s="30" t="s">
        <v>211</v>
      </c>
      <c r="E82" s="92">
        <f>+G82-C82</f>
        <v>10852.431420027682</v>
      </c>
      <c r="F82" s="5"/>
      <c r="G82" s="100">
        <f>IF((G77&lt;0),G51/(1-G44-0.0112),G51/(1-G44))</f>
        <v>10852.431420027682</v>
      </c>
      <c r="H82" s="39" t="s">
        <v>212</v>
      </c>
      <c r="I82" s="92">
        <f>+K82-G82</f>
        <v>-10852.431420027682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0">
        <f>IF((C77&gt;0),C77/(1-(C44-0.0112)),C77/(1-C44))</f>
        <v>0</v>
      </c>
      <c r="D83" s="30" t="s">
        <v>213</v>
      </c>
      <c r="E83" s="92">
        <f>+G83-C83</f>
        <v>0</v>
      </c>
      <c r="F83" s="5"/>
      <c r="G83" s="100">
        <f>IF((G77&gt;0),G77/(1-(G44+0.0112)),G77/(1-G44))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0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10852.431420027682</v>
      </c>
      <c r="F87" s="6"/>
      <c r="G87" s="99">
        <f>SUM(G82:G86)</f>
        <v>10852.431420027682</v>
      </c>
      <c r="H87" s="6"/>
      <c r="I87" s="99">
        <f>SUM(I82:I85)</f>
        <v>-10852.431420027682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452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428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428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428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428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428</v>
      </c>
      <c r="K102" s="67"/>
    </row>
    <row r="103" spans="1:11" ht="12.75">
      <c r="A103" t="s">
        <v>421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428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428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428</v>
      </c>
      <c r="K107" s="67"/>
    </row>
    <row r="108" spans="1:11" ht="12.75">
      <c r="A108" s="110" t="s">
        <v>445</v>
      </c>
      <c r="B108" s="10">
        <v>12</v>
      </c>
      <c r="C108" s="67"/>
      <c r="E108" s="67"/>
      <c r="G108" s="67"/>
      <c r="I108" s="124">
        <f>I135</f>
        <v>0</v>
      </c>
      <c r="J108" s="120" t="s">
        <v>430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428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428</v>
      </c>
      <c r="K110" s="67"/>
    </row>
    <row r="111" spans="1:11" ht="12.75">
      <c r="A111" t="s">
        <v>420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428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429</v>
      </c>
      <c r="B114" s="10"/>
      <c r="C114" s="67"/>
      <c r="E114" s="67"/>
      <c r="G114" s="67"/>
      <c r="I114" s="149">
        <f>SUM(I98:I102)+SUM(I105:I110)+I112</f>
        <v>0</v>
      </c>
      <c r="J114" s="120" t="s">
        <v>428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426</v>
      </c>
      <c r="I119" s="125"/>
    </row>
    <row r="120" spans="1:9" ht="12.75">
      <c r="A120" s="17"/>
      <c r="I120" s="125"/>
    </row>
    <row r="121" spans="1:9" ht="12.75">
      <c r="A121" s="110" t="s">
        <v>446</v>
      </c>
      <c r="B121" s="10"/>
      <c r="C121" s="67"/>
      <c r="D121" s="67"/>
      <c r="E121" s="67"/>
      <c r="F121" s="67"/>
      <c r="G121" s="67"/>
      <c r="H121" s="67"/>
      <c r="I121" s="148">
        <f>REGINFO!D49*-1</f>
        <v>-95613.94249999999</v>
      </c>
    </row>
    <row r="122" spans="1:9" ht="12.75">
      <c r="A122" s="110" t="s">
        <v>447</v>
      </c>
      <c r="B122" s="10"/>
      <c r="C122" s="67"/>
      <c r="D122" s="67"/>
      <c r="E122" s="67"/>
      <c r="F122" s="67"/>
      <c r="G122" s="67"/>
      <c r="H122" s="67"/>
      <c r="I122" s="148">
        <f>G34*-1</f>
        <v>15148.817863397544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424</v>
      </c>
      <c r="B124" s="10"/>
      <c r="C124" s="67"/>
      <c r="D124" s="67"/>
      <c r="E124" s="67"/>
      <c r="F124" s="67"/>
      <c r="G124" s="67"/>
      <c r="H124" s="67"/>
      <c r="I124" s="150">
        <f>SUM(I121:I123)</f>
        <v>-80465.12463660244</v>
      </c>
    </row>
    <row r="125" spans="1:9" ht="12.75">
      <c r="A125" s="110" t="s">
        <v>425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431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432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448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449</v>
      </c>
      <c r="B131" s="10"/>
      <c r="C131" s="67"/>
      <c r="D131" s="67"/>
      <c r="E131" s="67"/>
      <c r="F131" s="67"/>
      <c r="G131" s="67"/>
      <c r="H131" s="67"/>
      <c r="I131" s="148">
        <f>REGINFO!D49</f>
        <v>95613.94249999999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427</v>
      </c>
      <c r="B133" s="10"/>
      <c r="C133" s="67"/>
      <c r="D133" s="67"/>
      <c r="E133" s="67"/>
      <c r="F133" s="67"/>
      <c r="G133" s="67"/>
      <c r="H133" s="67"/>
      <c r="I133" s="150">
        <f>SUM(I130:I132)</f>
        <v>95613.94249999999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450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433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451</v>
      </c>
      <c r="B137" s="10"/>
      <c r="C137" s="67"/>
      <c r="D137" s="67"/>
      <c r="E137" s="67"/>
      <c r="F137" s="67"/>
      <c r="G137" s="67"/>
      <c r="H137" s="67"/>
      <c r="I137" s="151">
        <f>+I124+I133</f>
        <v>15148.817863397548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300" verticalDpi="300" orientation="portrait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S148"/>
  <sheetViews>
    <sheetView tabSelected="1" zoomScalePageLayoutView="0" workbookViewId="0" topLeftCell="A53">
      <selection activeCell="O30" sqref="O30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443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435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441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436</v>
      </c>
      <c r="L9" s="35"/>
    </row>
    <row r="10" spans="1:12" ht="18">
      <c r="A10" s="165" t="s">
        <v>457</v>
      </c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437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438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+REGINFO!D34+REGINFO!D40</f>
        <v>198332</v>
      </c>
      <c r="D15" s="28" t="s">
        <v>143</v>
      </c>
      <c r="E15" s="174">
        <f>+G15-C15</f>
        <v>-198332</v>
      </c>
      <c r="F15" s="10"/>
      <c r="G15" s="70">
        <v>0</v>
      </c>
      <c r="H15" s="35" t="s">
        <v>144</v>
      </c>
      <c r="I15" s="174">
        <f>+K15-G15</f>
        <v>0</v>
      </c>
      <c r="K15" s="178">
        <f>TAXREC!E26</f>
        <v>0</v>
      </c>
      <c r="L15" s="35" t="s">
        <v>145</v>
      </c>
    </row>
    <row r="16" spans="1:12" ht="6" customHeight="1">
      <c r="A16" s="4"/>
      <c r="B16" s="51"/>
      <c r="C16" s="65"/>
      <c r="D16" s="23"/>
      <c r="E16" s="174"/>
      <c r="G16" s="70"/>
      <c r="H16" s="35"/>
      <c r="I16" s="174"/>
      <c r="K16" s="178"/>
      <c r="L16" s="35"/>
    </row>
    <row r="17" spans="1:12" ht="12.75">
      <c r="A17" s="4" t="s">
        <v>98</v>
      </c>
      <c r="B17" s="51"/>
      <c r="C17" s="65"/>
      <c r="D17" s="23"/>
      <c r="E17" s="174"/>
      <c r="G17" s="70"/>
      <c r="H17" s="35"/>
      <c r="I17" s="174"/>
      <c r="K17" s="178"/>
      <c r="L17" s="35"/>
    </row>
    <row r="18" spans="1:12" ht="6" customHeight="1">
      <c r="A18" s="4"/>
      <c r="B18" s="51"/>
      <c r="C18" s="64"/>
      <c r="D18" s="28"/>
      <c r="E18" s="174"/>
      <c r="G18" s="70"/>
      <c r="H18" s="35"/>
      <c r="I18" s="174"/>
      <c r="K18" s="178"/>
      <c r="L18" s="35"/>
    </row>
    <row r="19" spans="1:12" ht="12.75">
      <c r="A19" s="15" t="s">
        <v>217</v>
      </c>
      <c r="B19" s="52"/>
      <c r="C19" s="64"/>
      <c r="D19" s="29"/>
      <c r="E19" s="174"/>
      <c r="F19" s="5"/>
      <c r="G19" s="70"/>
      <c r="H19" s="39"/>
      <c r="I19" s="174"/>
      <c r="J19" s="5"/>
      <c r="K19" s="178"/>
      <c r="L19" s="35"/>
    </row>
    <row r="20" spans="1:97" s="157" customFormat="1" ht="12.75">
      <c r="A20" s="114" t="s">
        <v>17</v>
      </c>
      <c r="B20" s="172">
        <v>2</v>
      </c>
      <c r="C20" s="64">
        <v>145101</v>
      </c>
      <c r="D20" s="30" t="s">
        <v>146</v>
      </c>
      <c r="E20" s="175">
        <f aca="true" t="shared" si="0" ref="E20:E28">+G20-C20</f>
        <v>-144101</v>
      </c>
      <c r="F20" s="111"/>
      <c r="G20" s="74">
        <v>1000</v>
      </c>
      <c r="H20" s="30" t="s">
        <v>147</v>
      </c>
      <c r="I20" s="175">
        <f aca="true" t="shared" si="1" ref="I20:I28">+K20-G20</f>
        <v>-1000</v>
      </c>
      <c r="J20" s="111"/>
      <c r="K20" s="179">
        <f>TAXREC!E29</f>
        <v>0</v>
      </c>
      <c r="L20" s="23" t="s">
        <v>148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</row>
    <row r="21" spans="1:12" ht="12.75">
      <c r="A21" t="s">
        <v>86</v>
      </c>
      <c r="B21" s="10">
        <v>3</v>
      </c>
      <c r="C21" s="64"/>
      <c r="D21" s="30" t="s">
        <v>149</v>
      </c>
      <c r="E21" s="174">
        <f t="shared" si="0"/>
        <v>0</v>
      </c>
      <c r="F21" s="5"/>
      <c r="G21" s="70"/>
      <c r="H21" s="39" t="s">
        <v>150</v>
      </c>
      <c r="I21" s="174">
        <f t="shared" si="1"/>
        <v>0</v>
      </c>
      <c r="J21" s="5"/>
      <c r="K21" s="178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>
        <v>0</v>
      </c>
      <c r="D22" s="23" t="s">
        <v>152</v>
      </c>
      <c r="E22" s="174">
        <f t="shared" si="0"/>
        <v>0</v>
      </c>
      <c r="F22" s="5"/>
      <c r="G22" s="70"/>
      <c r="H22" s="39" t="s">
        <v>153</v>
      </c>
      <c r="I22" s="174">
        <f t="shared" si="1"/>
        <v>0</v>
      </c>
      <c r="J22" s="5"/>
      <c r="K22" s="178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174">
        <f t="shared" si="0"/>
        <v>0</v>
      </c>
      <c r="F23" s="5"/>
      <c r="G23" s="70"/>
      <c r="H23" s="39" t="s">
        <v>156</v>
      </c>
      <c r="I23" s="174">
        <f t="shared" si="1"/>
        <v>0</v>
      </c>
      <c r="J23" s="5"/>
      <c r="K23" s="178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>
        <v>0</v>
      </c>
      <c r="D24" s="30" t="s">
        <v>159</v>
      </c>
      <c r="E24" s="174">
        <f t="shared" si="0"/>
        <v>0</v>
      </c>
      <c r="F24" s="5"/>
      <c r="G24" s="70"/>
      <c r="H24" s="39" t="s">
        <v>160</v>
      </c>
      <c r="I24" s="174">
        <f t="shared" si="1"/>
        <v>0</v>
      </c>
      <c r="J24" s="5"/>
      <c r="K24" s="178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174"/>
      <c r="F25" s="5"/>
      <c r="G25" s="70"/>
      <c r="H25" s="39"/>
      <c r="I25" s="174"/>
      <c r="J25" s="5"/>
      <c r="K25" s="178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174">
        <f t="shared" si="0"/>
        <v>0</v>
      </c>
      <c r="F26" s="5"/>
      <c r="G26" s="70"/>
      <c r="H26" s="39" t="s">
        <v>163</v>
      </c>
      <c r="I26" s="174">
        <f t="shared" si="1"/>
        <v>0</v>
      </c>
      <c r="J26" s="5"/>
      <c r="K26" s="178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174">
        <f t="shared" si="0"/>
        <v>0</v>
      </c>
      <c r="F27" s="5"/>
      <c r="G27" s="70"/>
      <c r="H27" s="39" t="s">
        <v>163</v>
      </c>
      <c r="I27" s="174">
        <f t="shared" si="1"/>
        <v>0</v>
      </c>
      <c r="J27" s="5"/>
      <c r="K27" s="178">
        <f>TAXREC!E35</f>
        <v>0</v>
      </c>
      <c r="L27" s="35" t="s">
        <v>164</v>
      </c>
    </row>
    <row r="28" spans="1:12" ht="12.75">
      <c r="A28" t="s">
        <v>423</v>
      </c>
      <c r="B28" s="10">
        <v>7</v>
      </c>
      <c r="C28" s="64"/>
      <c r="D28" s="30" t="s">
        <v>162</v>
      </c>
      <c r="E28" s="174">
        <f t="shared" si="0"/>
        <v>0</v>
      </c>
      <c r="F28" s="5"/>
      <c r="G28" s="70"/>
      <c r="H28" s="39" t="s">
        <v>163</v>
      </c>
      <c r="I28" s="174">
        <f t="shared" si="1"/>
        <v>0</v>
      </c>
      <c r="J28" s="5"/>
      <c r="K28" s="178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174"/>
      <c r="F29" s="5"/>
      <c r="G29" s="70"/>
      <c r="H29" s="39"/>
      <c r="I29" s="174"/>
      <c r="J29" s="5"/>
      <c r="K29" s="178"/>
      <c r="L29" s="35"/>
    </row>
    <row r="30" spans="1:33" s="157" customFormat="1" ht="12.75">
      <c r="A30" s="114" t="s">
        <v>366</v>
      </c>
      <c r="B30" s="172">
        <v>8</v>
      </c>
      <c r="C30" s="64">
        <f>-'[1]Sheet1'!$M$38</f>
        <v>-87480.09509999999</v>
      </c>
      <c r="D30" s="30" t="s">
        <v>165</v>
      </c>
      <c r="E30" s="174">
        <f aca="true" t="shared" si="2" ref="E30:E38">+G30-C30</f>
        <v>87230.09509999999</v>
      </c>
      <c r="F30" s="111"/>
      <c r="G30" s="74">
        <v>-250</v>
      </c>
      <c r="H30" s="30" t="s">
        <v>166</v>
      </c>
      <c r="I30" s="174">
        <f aca="true" t="shared" si="3" ref="I30:I38">+K30-G30</f>
        <v>250</v>
      </c>
      <c r="J30" s="111"/>
      <c r="K30" s="178">
        <f>TAXREC!E89</f>
        <v>0</v>
      </c>
      <c r="L30" s="23" t="s">
        <v>167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</row>
    <row r="31" spans="1:33" ht="12.75">
      <c r="A31" s="114" t="s">
        <v>367</v>
      </c>
      <c r="B31" s="172">
        <v>9</v>
      </c>
      <c r="C31" s="64">
        <v>0</v>
      </c>
      <c r="D31" s="30" t="s">
        <v>168</v>
      </c>
      <c r="E31" s="174">
        <f t="shared" si="2"/>
        <v>0</v>
      </c>
      <c r="F31" s="111"/>
      <c r="G31" s="74"/>
      <c r="H31" s="30" t="s">
        <v>169</v>
      </c>
      <c r="I31" s="174">
        <f t="shared" si="3"/>
        <v>0</v>
      </c>
      <c r="J31" s="111"/>
      <c r="K31" s="178">
        <f>TAXREC!E90</f>
        <v>0</v>
      </c>
      <c r="L31" s="23" t="s">
        <v>170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</row>
    <row r="32" spans="1:33" ht="12.75">
      <c r="A32" s="114" t="s">
        <v>171</v>
      </c>
      <c r="B32" s="172">
        <v>10</v>
      </c>
      <c r="C32" s="64"/>
      <c r="D32" s="30" t="s">
        <v>172</v>
      </c>
      <c r="E32" s="174">
        <f t="shared" si="2"/>
        <v>0</v>
      </c>
      <c r="F32" s="111"/>
      <c r="G32" s="74"/>
      <c r="H32" s="30" t="s">
        <v>173</v>
      </c>
      <c r="I32" s="174">
        <f t="shared" si="3"/>
        <v>0</v>
      </c>
      <c r="J32" s="111"/>
      <c r="K32" s="178">
        <f>TAXREC!E91</f>
        <v>0</v>
      </c>
      <c r="L32" s="23" t="s">
        <v>174</v>
      </c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</row>
    <row r="33" spans="1:33" ht="12.75">
      <c r="A33" s="114" t="s">
        <v>158</v>
      </c>
      <c r="B33" s="172">
        <v>11</v>
      </c>
      <c r="C33" s="64"/>
      <c r="D33" s="30" t="s">
        <v>175</v>
      </c>
      <c r="E33" s="174">
        <f t="shared" si="2"/>
        <v>0</v>
      </c>
      <c r="F33" s="111"/>
      <c r="G33" s="74"/>
      <c r="H33" s="30" t="s">
        <v>176</v>
      </c>
      <c r="I33" s="174">
        <f t="shared" si="3"/>
        <v>0</v>
      </c>
      <c r="J33" s="111"/>
      <c r="K33" s="178">
        <f>TAXREC!E92</f>
        <v>0</v>
      </c>
      <c r="L33" s="23" t="s">
        <v>177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</row>
    <row r="34" spans="1:33" s="158" customFormat="1" ht="12.75">
      <c r="A34" s="110" t="s">
        <v>434</v>
      </c>
      <c r="B34" s="173">
        <v>12</v>
      </c>
      <c r="C34" s="64">
        <f>-REGINFO!D53</f>
        <v>-83940.86398131931</v>
      </c>
      <c r="D34" s="30" t="s">
        <v>178</v>
      </c>
      <c r="E34" s="174">
        <f t="shared" si="2"/>
        <v>83940.86398131931</v>
      </c>
      <c r="F34" s="111"/>
      <c r="G34" s="74"/>
      <c r="H34" s="30" t="s">
        <v>179</v>
      </c>
      <c r="I34" s="174">
        <f t="shared" si="3"/>
        <v>0</v>
      </c>
      <c r="J34" s="111"/>
      <c r="K34" s="178">
        <f>TAXREC!E93</f>
        <v>0</v>
      </c>
      <c r="L34" s="23" t="s">
        <v>180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</row>
    <row r="35" spans="1:33" ht="12.75">
      <c r="A35" s="114" t="s">
        <v>354</v>
      </c>
      <c r="B35" s="172"/>
      <c r="C35" s="64"/>
      <c r="D35" s="30"/>
      <c r="E35" s="174"/>
      <c r="F35" s="5"/>
      <c r="G35" s="70"/>
      <c r="H35" s="39"/>
      <c r="I35" s="174"/>
      <c r="J35" s="111"/>
      <c r="K35" s="178"/>
      <c r="L35" s="2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</row>
    <row r="36" spans="1:33" ht="12.75">
      <c r="A36" t="s">
        <v>352</v>
      </c>
      <c r="B36" s="10">
        <v>13</v>
      </c>
      <c r="C36" s="64"/>
      <c r="D36" s="30" t="s">
        <v>181</v>
      </c>
      <c r="E36" s="174">
        <f t="shared" si="2"/>
        <v>0</v>
      </c>
      <c r="F36" s="5"/>
      <c r="G36" s="70"/>
      <c r="H36" s="39" t="s">
        <v>182</v>
      </c>
      <c r="I36" s="174">
        <f t="shared" si="3"/>
        <v>0</v>
      </c>
      <c r="J36" s="5"/>
      <c r="K36" s="178">
        <f>TAXREC!E94</f>
        <v>0</v>
      </c>
      <c r="L36" s="23" t="s">
        <v>183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</row>
    <row r="37" spans="1:33" ht="12.75">
      <c r="A37" t="s">
        <v>359</v>
      </c>
      <c r="B37" s="10">
        <v>13</v>
      </c>
      <c r="C37" s="64"/>
      <c r="D37" s="30" t="s">
        <v>181</v>
      </c>
      <c r="E37" s="174">
        <f t="shared" si="2"/>
        <v>0</v>
      </c>
      <c r="F37" s="5"/>
      <c r="G37" s="70"/>
      <c r="H37" s="39" t="s">
        <v>182</v>
      </c>
      <c r="I37" s="174">
        <f t="shared" si="3"/>
        <v>0</v>
      </c>
      <c r="J37" s="5"/>
      <c r="K37" s="178">
        <f>TAXREC!E95</f>
        <v>0</v>
      </c>
      <c r="L37" s="23" t="s">
        <v>183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</row>
    <row r="38" spans="1:33" ht="12.75">
      <c r="A38" t="s">
        <v>422</v>
      </c>
      <c r="B38" s="10">
        <v>13</v>
      </c>
      <c r="C38" s="64"/>
      <c r="D38" s="30" t="s">
        <v>181</v>
      </c>
      <c r="E38" s="174">
        <f t="shared" si="2"/>
        <v>0</v>
      </c>
      <c r="F38" s="5"/>
      <c r="G38" s="70"/>
      <c r="H38" s="39" t="s">
        <v>182</v>
      </c>
      <c r="I38" s="174">
        <f t="shared" si="3"/>
        <v>0</v>
      </c>
      <c r="J38" s="5"/>
      <c r="K38" s="178">
        <f>TAXREC!E133</f>
        <v>0</v>
      </c>
      <c r="L38" s="23" t="s">
        <v>183</v>
      </c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</row>
    <row r="39" spans="2:33" ht="12.75">
      <c r="B39" s="10"/>
      <c r="C39" s="64"/>
      <c r="D39" s="30"/>
      <c r="E39" s="174"/>
      <c r="F39" s="5"/>
      <c r="G39" s="70"/>
      <c r="H39" s="39"/>
      <c r="I39" s="174"/>
      <c r="J39" s="5"/>
      <c r="K39" s="178"/>
      <c r="L39" s="2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</row>
    <row r="40" spans="1:33" ht="12.75">
      <c r="A40" s="16" t="s">
        <v>119</v>
      </c>
      <c r="B40" s="53"/>
      <c r="C40" s="96">
        <f>IF((C15=0),0,SUM(C15:C39))</f>
        <v>172012.04091868072</v>
      </c>
      <c r="D40" s="42"/>
      <c r="E40" s="93">
        <f>SUM(E15:E39)</f>
        <v>-171262.04091868072</v>
      </c>
      <c r="F40" s="7"/>
      <c r="G40" s="96">
        <f>IF((G15=0),0,SUM(G15:G39))</f>
        <v>0</v>
      </c>
      <c r="H40" s="43"/>
      <c r="I40" s="93">
        <f>SUM(I15:I39)</f>
        <v>-750</v>
      </c>
      <c r="J40" s="7"/>
      <c r="K40" s="180">
        <f>SUM(K15:K39)</f>
        <v>0</v>
      </c>
      <c r="L40" s="176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</row>
    <row r="41" spans="1:33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179"/>
      <c r="L41" s="2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</row>
    <row r="42" spans="2:33" ht="12.75">
      <c r="B42" s="10"/>
      <c r="C42" s="64"/>
      <c r="D42" s="29"/>
      <c r="E42" s="92"/>
      <c r="F42" s="5"/>
      <c r="G42" s="70"/>
      <c r="H42" s="39"/>
      <c r="I42" s="92"/>
      <c r="J42" s="5"/>
      <c r="K42" s="179"/>
      <c r="L42" s="23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</row>
    <row r="43" spans="1:33" ht="12.75">
      <c r="A43" t="s">
        <v>116</v>
      </c>
      <c r="B43" s="10"/>
      <c r="C43" s="72"/>
      <c r="D43" s="30"/>
      <c r="E43" s="92"/>
      <c r="F43" s="5"/>
      <c r="G43" s="70"/>
      <c r="H43" s="39"/>
      <c r="I43" s="92"/>
      <c r="J43" s="5"/>
      <c r="K43" s="179"/>
      <c r="L43" s="23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</row>
    <row r="44" spans="1:33" ht="12.75">
      <c r="A44" t="s">
        <v>117</v>
      </c>
      <c r="B44" s="10">
        <v>14</v>
      </c>
      <c r="C44" s="72">
        <f>+IF((C40&lt;200000),0.1912,IF((C40&gt;700000),0.3862,0.3412))</f>
        <v>0.1912</v>
      </c>
      <c r="D44" s="30" t="s">
        <v>184</v>
      </c>
      <c r="E44" s="95">
        <f>+G44-C44</f>
        <v>0.19499999999999998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81">
        <v>0.3862</v>
      </c>
      <c r="L44" s="23" t="s">
        <v>186</v>
      </c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</row>
    <row r="45" spans="2:33" ht="12.75">
      <c r="B45" s="10"/>
      <c r="C45" s="64"/>
      <c r="D45" s="30"/>
      <c r="E45" s="92"/>
      <c r="F45" s="5"/>
      <c r="G45" s="70"/>
      <c r="H45" s="39"/>
      <c r="I45" s="92"/>
      <c r="J45" s="5"/>
      <c r="K45" s="179"/>
      <c r="L45" s="23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</row>
    <row r="46" spans="1:33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179"/>
      <c r="L46" s="23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</row>
    <row r="47" spans="1:33" ht="12.75">
      <c r="A47" t="s">
        <v>118</v>
      </c>
      <c r="B47" s="10"/>
      <c r="C47" s="93">
        <f>C40*C44</f>
        <v>32888.70222365176</v>
      </c>
      <c r="D47" s="42"/>
      <c r="E47" s="96">
        <f>+G47-C47</f>
        <v>-32888.70222365176</v>
      </c>
      <c r="F47" s="7"/>
      <c r="G47" s="96">
        <f>G40*G44</f>
        <v>0</v>
      </c>
      <c r="H47" s="43"/>
      <c r="I47" s="98">
        <f>K47-G47</f>
        <v>0</v>
      </c>
      <c r="J47" s="7"/>
      <c r="K47" s="180">
        <f>K40*K44</f>
        <v>0</v>
      </c>
      <c r="L47" s="177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</row>
    <row r="48" spans="2:33" ht="12.75">
      <c r="B48" s="10"/>
      <c r="C48" s="64"/>
      <c r="D48" s="30"/>
      <c r="E48" s="94"/>
      <c r="F48" s="8"/>
      <c r="G48" s="70"/>
      <c r="H48" s="39"/>
      <c r="I48" s="94"/>
      <c r="J48" s="8"/>
      <c r="K48" s="179"/>
      <c r="L48" s="23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</row>
    <row r="49" spans="1:33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179"/>
      <c r="L49" s="23" t="s">
        <v>189</v>
      </c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179"/>
      <c r="L50" s="35"/>
    </row>
    <row r="51" spans="1:12" ht="14.25" thickBot="1" thickTop="1">
      <c r="A51" s="2" t="s">
        <v>134</v>
      </c>
      <c r="B51" s="51"/>
      <c r="C51" s="97">
        <f>+C47-C49</f>
        <v>32888.70222365176</v>
      </c>
      <c r="D51" s="32"/>
      <c r="E51" s="97">
        <f>+E47-E49</f>
        <v>-32888.70222365176</v>
      </c>
      <c r="F51" s="6"/>
      <c r="G51" s="97">
        <f>+G47-G49</f>
        <v>0</v>
      </c>
      <c r="H51" s="40"/>
      <c r="I51" s="97">
        <f>+I47-I49</f>
        <v>0</v>
      </c>
      <c r="J51" s="6"/>
      <c r="K51" s="182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3" customHeight="1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f>+REGINFO!D22</f>
        <v>2637626</v>
      </c>
      <c r="D59" s="30" t="s">
        <v>190</v>
      </c>
      <c r="E59" s="92">
        <f>+G59-C59</f>
        <v>-2637626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IF((C59+C60)&gt;0,+C59+C60,0)</f>
        <v>0</v>
      </c>
      <c r="D61" s="42"/>
      <c r="E61" s="98">
        <f>SUM(E59:E60)</f>
        <v>2362374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5.25" customHeight="1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6" customHeight="1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4.5" customHeight="1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" customHeight="1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f>+C59</f>
        <v>2637626</v>
      </c>
      <c r="D68" s="30" t="s">
        <v>199</v>
      </c>
      <c r="E68" s="92">
        <f>+G68-C68</f>
        <v>-2637626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202</v>
      </c>
      <c r="E69" s="92">
        <f>+G69-C69</f>
        <v>10000000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IF((C68+C69)&gt;0,+C68+C69,0)</f>
        <v>0</v>
      </c>
      <c r="D70" s="42"/>
      <c r="E70" s="98">
        <f>SUM(E68:E69)</f>
        <v>7362374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5.25" customHeight="1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6" customHeight="1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IF((C74=0),0,(0.0112*C40)*-1)</f>
        <v>0</v>
      </c>
      <c r="D75" s="30" t="s">
        <v>208</v>
      </c>
      <c r="E75" s="92">
        <f>+G75-C75</f>
        <v>0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 t="s">
        <v>455</v>
      </c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 t="s">
        <v>455</v>
      </c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0">
        <f>IF((C77&gt;0),C51/(1-C44+0.0112),C51/(1-C44))</f>
        <v>40663.57841697794</v>
      </c>
      <c r="D82" s="30" t="s">
        <v>211</v>
      </c>
      <c r="E82" s="92">
        <f>+G82-C82</f>
        <v>-40663.57841697794</v>
      </c>
      <c r="F82" s="5"/>
      <c r="G82" s="100">
        <f>IF((G77&gt;0),G51/(1-G44-0.0112),G51/(1-G44))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0">
        <f>IF((C77&gt;0),C77/(1-(C44+0.0112)),C77/(1-C44))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0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40663.57841697794</v>
      </c>
      <c r="D87" s="41"/>
      <c r="E87" s="99">
        <f>SUM(E82:E85)</f>
        <v>-40663.57841697794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113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66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67"/>
      <c r="E90" s="104"/>
      <c r="F90" s="8"/>
      <c r="G90" s="59"/>
      <c r="H90" s="8"/>
      <c r="I90" s="104"/>
      <c r="J90" s="8"/>
      <c r="K90" s="104"/>
    </row>
    <row r="91" spans="3:11" ht="12.75">
      <c r="C91" s="168"/>
      <c r="D91" s="114"/>
      <c r="E91" s="105"/>
      <c r="G91" s="58"/>
      <c r="I91" s="67"/>
      <c r="K91" s="58"/>
    </row>
    <row r="92" spans="1:11" ht="12.75">
      <c r="A92" s="20" t="s">
        <v>130</v>
      </c>
      <c r="C92" s="168"/>
      <c r="D92" s="114"/>
      <c r="E92" s="169"/>
      <c r="I92" s="155" t="s">
        <v>452</v>
      </c>
      <c r="K92" s="58"/>
    </row>
    <row r="93" spans="1:11" ht="12.75">
      <c r="A93" t="s">
        <v>350</v>
      </c>
      <c r="C93" s="168"/>
      <c r="D93" s="114"/>
      <c r="E93" s="169"/>
      <c r="I93" s="67"/>
      <c r="K93" s="58"/>
    </row>
    <row r="94" spans="1:11" ht="12.75">
      <c r="A94" t="s">
        <v>351</v>
      </c>
      <c r="C94" s="125"/>
      <c r="D94" s="114"/>
      <c r="E94" s="169"/>
      <c r="I94" s="67"/>
      <c r="J94" s="120"/>
      <c r="K94" s="58"/>
    </row>
    <row r="95" spans="1:11" ht="12.75">
      <c r="A95" t="s">
        <v>374</v>
      </c>
      <c r="B95" s="10">
        <v>1</v>
      </c>
      <c r="C95" s="125"/>
      <c r="D95" s="114"/>
      <c r="E95" s="105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125"/>
      <c r="D96" s="114"/>
      <c r="E96" s="105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428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428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428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428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428</v>
      </c>
      <c r="K102" s="67"/>
    </row>
    <row r="103" spans="1:11" ht="12.75">
      <c r="A103" t="s">
        <v>421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428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428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428</v>
      </c>
      <c r="K107" s="67"/>
    </row>
    <row r="108" spans="1:11" ht="12.75">
      <c r="A108" s="110" t="s">
        <v>445</v>
      </c>
      <c r="B108" s="10">
        <v>12</v>
      </c>
      <c r="C108" s="67"/>
      <c r="E108" s="67"/>
      <c r="G108" s="67"/>
      <c r="I108" s="124">
        <f>I135</f>
        <v>0</v>
      </c>
      <c r="J108" s="120" t="s">
        <v>430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428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428</v>
      </c>
      <c r="K110" s="67"/>
    </row>
    <row r="111" spans="1:11" ht="12.75">
      <c r="A111" t="s">
        <v>420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428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429</v>
      </c>
      <c r="B114" s="10"/>
      <c r="C114" s="67"/>
      <c r="E114" s="67"/>
      <c r="G114" s="67"/>
      <c r="I114" s="149">
        <f>SUM(I98:I102)+SUM(I105:I110)+I112</f>
        <v>0</v>
      </c>
      <c r="J114" s="120" t="s">
        <v>428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426</v>
      </c>
      <c r="I119" s="125"/>
    </row>
    <row r="120" spans="1:9" ht="12.75">
      <c r="A120" s="17"/>
      <c r="I120" s="125"/>
    </row>
    <row r="121" spans="1:9" ht="12.75">
      <c r="A121" s="110" t="s">
        <v>446</v>
      </c>
      <c r="B121" s="10"/>
      <c r="C121" s="67"/>
      <c r="D121" s="67"/>
      <c r="E121" s="67"/>
      <c r="F121" s="67"/>
      <c r="G121" s="67"/>
      <c r="H121" s="67"/>
      <c r="I121" s="148">
        <f>REGINFO!D49*-1</f>
        <v>-95613.94249999999</v>
      </c>
    </row>
    <row r="122" spans="1:9" ht="12.75">
      <c r="A122" s="110" t="s">
        <v>447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424</v>
      </c>
      <c r="B124" s="10"/>
      <c r="C124" s="67"/>
      <c r="D124" s="67"/>
      <c r="E124" s="67"/>
      <c r="F124" s="67"/>
      <c r="G124" s="67"/>
      <c r="H124" s="67"/>
      <c r="I124" s="150">
        <f>SUM(I121:I123)</f>
        <v>-95613.94249999999</v>
      </c>
    </row>
    <row r="125" spans="1:9" ht="12.75">
      <c r="A125" s="110" t="s">
        <v>425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431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432</v>
      </c>
      <c r="B128" s="10"/>
      <c r="C128" s="67"/>
      <c r="D128" s="67"/>
      <c r="E128" s="67"/>
      <c r="F128" s="67"/>
      <c r="G128" s="67"/>
      <c r="H128" s="67"/>
      <c r="I128" s="125"/>
    </row>
    <row r="129" spans="1:18" ht="12.75">
      <c r="A129" s="147"/>
      <c r="B129" s="10"/>
      <c r="C129" s="67"/>
      <c r="D129" s="67"/>
      <c r="E129" s="67"/>
      <c r="F129" s="67"/>
      <c r="G129" s="67"/>
      <c r="H129" s="67"/>
      <c r="I129" s="125"/>
      <c r="R129">
        <v>694106</v>
      </c>
    </row>
    <row r="130" spans="1:18" ht="12.75">
      <c r="A130" s="110" t="s">
        <v>448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  <c r="R130">
        <v>694106</v>
      </c>
    </row>
    <row r="131" spans="1:19" ht="12.75">
      <c r="A131" s="110" t="s">
        <v>449</v>
      </c>
      <c r="B131" s="10"/>
      <c r="C131" s="67"/>
      <c r="D131" s="67"/>
      <c r="E131" s="67"/>
      <c r="F131" s="67"/>
      <c r="G131" s="67"/>
      <c r="H131" s="67"/>
      <c r="I131" s="148">
        <f>REGINFO!D49</f>
        <v>95613.94249999999</v>
      </c>
      <c r="R131">
        <f>SUM(R129:R130)</f>
        <v>1388212</v>
      </c>
      <c r="S131">
        <v>355014</v>
      </c>
    </row>
    <row r="132" spans="1:19" ht="12.75">
      <c r="A132" s="110"/>
      <c r="B132" s="10"/>
      <c r="C132" s="67"/>
      <c r="D132" s="67"/>
      <c r="E132" s="67"/>
      <c r="F132" s="67"/>
      <c r="G132" s="67"/>
      <c r="H132" s="67"/>
      <c r="I132" s="148"/>
      <c r="S132">
        <f>+S131*0.67</f>
        <v>237859.38</v>
      </c>
    </row>
    <row r="133" spans="1:9" ht="12.75">
      <c r="A133" s="110" t="s">
        <v>427</v>
      </c>
      <c r="B133" s="10"/>
      <c r="C133" s="67"/>
      <c r="D133" s="67"/>
      <c r="E133" s="67"/>
      <c r="F133" s="67"/>
      <c r="G133" s="67"/>
      <c r="H133" s="67"/>
      <c r="I133" s="150">
        <f>SUM(I130:I132)</f>
        <v>95613.94249999999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450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433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451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439</v>
      </c>
      <c r="B10" s="45"/>
      <c r="C10" s="82"/>
      <c r="D10" s="82"/>
      <c r="E10" s="83"/>
      <c r="F10" s="10"/>
    </row>
    <row r="11" spans="1:6" ht="12.75">
      <c r="A11" s="3" t="s">
        <v>440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417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418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419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416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Duncan Skinner</cp:lastModifiedBy>
  <cp:lastPrinted>2002-03-25T17:28:28Z</cp:lastPrinted>
  <dcterms:created xsi:type="dcterms:W3CDTF">2001-11-07T16:15:53Z</dcterms:created>
  <dcterms:modified xsi:type="dcterms:W3CDTF">2013-01-29T17:03:37Z</dcterms:modified>
  <cp:category/>
  <cp:version/>
  <cp:contentType/>
  <cp:contentStatus/>
</cp:coreProperties>
</file>