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59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  <externalReference r:id="rId13"/>
    <externalReference r:id="rId14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<sst xmlns="http://schemas.openxmlformats.org/spreadsheetml/2006/main" count="1031" uniqueCount="607">
  <si>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</si>
  <si>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</si>
  <si>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</si>
  <si>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</si>
  <si>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</si>
  <si>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</si>
  <si>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</si>
  <si>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</si>
  <si>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</si>
  <si>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</si>
  <si>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</si>
  <si>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</si>
  <si>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</si>
  <si>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</si>
  <si>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</si>
  <si>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</si>
  <si>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</si>
  <si>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</si>
  <si>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</si>
  <si>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</si>
  <si>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</si>
  <si>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</si>
  <si>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</si>
  <si>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</si>
  <si>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</si>
  <si>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</si>
  <si>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</si>
  <si>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</si>
  <si>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</si>
  <si>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</si>
  <si>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</si>
  <si>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</si>
  <si>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</si>
  <si>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</si>
  <si>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</si>
  <si>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</si>
  <si>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</si>
  <si>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</si>
  <si>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</si>
  <si>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</si>
  <si>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</si>
  <si>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</si>
  <si>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</si>
  <si>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</si>
  <si>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</si>
  <si>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</si>
  <si>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</si>
  <si>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</si>
  <si>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</si>
  <si>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</si>
  <si>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</si>
  <si>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</si>
  <si>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</si>
  <si>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</si>
  <si>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</si>
  <si>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</si>
  <si>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</si>
  <si>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</si>
  <si>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</si>
  <si>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</si>
  <si>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</si>
  <si>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</si>
  <si>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</si>
  <si>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</si>
  <si>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</si>
  <si>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</si>
  <si>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</si>
  <si>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</si>
  <si>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</si>
  <si>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</si>
  <si>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</si>
  <si>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</si>
  <si>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</si>
  <si>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</si>
  <si>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</si>
  <si>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</si>
  <si>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</si>
  <si>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</si>
  <si>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</si>
  <si>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</si>
  <si>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</si>
  <si>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</si>
  <si>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</si>
  <si>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</si>
  <si>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</si>
  <si>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</si>
  <si>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</si>
  <si>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</si>
  <si>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</si>
  <si>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</si>
  <si>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</si>
  <si>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</si>
  <si>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</si>
  <si>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</si>
  <si>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</si>
  <si>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</si>
  <si>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</si>
  <si>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</si>
  <si>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</si>
  <si>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</si>
  <si>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</si>
  <si>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</si>
  <si>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</si>
  <si>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</si>
  <si>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</si>
  <si>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</si>
  <si>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</si>
  <si>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</si>
  <si>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</si>
  <si>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</si>
  <si>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</si>
  <si>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</si>
  <si>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</si>
  <si>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</si>
  <si>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</si>
  <si>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</si>
  <si>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</si>
  <si>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</si>
  <si>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</si>
  <si>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</si>
  <si>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</si>
  <si>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</si>
  <si>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</si>
  <si>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</si>
  <si>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</si>
  <si>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</si>
  <si>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</si>
  <si>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</si>
  <si>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</si>
  <si>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</si>
  <si>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</si>
  <si>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</si>
  <si>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</si>
  <si>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</si>
  <si>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</si>
  <si>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</si>
  <si>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</si>
  <si>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</si>
  <si>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</si>
  <si>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</si>
  <si>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</si>
  <si>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</si>
  <si>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</si>
  <si>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</si>
  <si>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</si>
  <si>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</si>
  <si>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</si>
  <si>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</si>
  <si>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</si>
  <si>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</si>
  <si>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</si>
  <si>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</si>
  <si>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</si>
  <si>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</si>
  <si>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</si>
  <si>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</si>
  <si>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</si>
  <si>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</si>
  <si>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</si>
  <si>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</si>
  <si>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</si>
  <si>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</si>
  <si>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</si>
  <si>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</si>
  <si>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</si>
  <si>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</si>
  <si>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</si>
  <si>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</si>
  <si>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</si>
  <si>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</si>
  <si>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</si>
  <si>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</si>
  <si>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</si>
  <si>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</si>
  <si>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</si>
  <si>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</si>
  <si>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</si>
  <si>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</si>
  <si>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</si>
  <si>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</si>
  <si>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</si>
  <si>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</si>
  <si>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</si>
  <si>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</si>
  <si>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</si>
  <si>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</si>
  <si>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</si>
  <si>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</si>
  <si>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</si>
  <si>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</si>
  <si>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</si>
  <si>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</si>
  <si>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</si>
  <si>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</si>
  <si>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</si>
  <si>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</si>
  <si>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</si>
  <si>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</si>
  <si>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</si>
  <si>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</si>
  <si>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</si>
  <si>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</si>
  <si>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</si>
  <si>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</si>
  <si>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</si>
  <si>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</si>
  <si>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</si>
  <si>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</si>
  <si>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</si>
  <si>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</si>
  <si>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</si>
  <si>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</si>
  <si>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</si>
  <si>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</si>
  <si>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</si>
  <si>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</si>
  <si>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</si>
  <si>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</si>
  <si>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</si>
  <si>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</si>
  <si>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</si>
  <si>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</si>
  <si>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</si>
  <si>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</si>
  <si>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</si>
  <si>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</si>
  <si>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</si>
  <si>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</si>
  <si>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</si>
  <si>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</si>
  <si>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</si>
  <si>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</si>
  <si>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</si>
  <si>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</si>
  <si>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</si>
  <si>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</si>
  <si>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</si>
  <si>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</si>
  <si>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</si>
  <si>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</si>
  <si>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</si>
  <si>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</si>
  <si>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</si>
  <si>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</si>
  <si>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</si>
  <si>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</si>
  <si>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</si>
  <si>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</si>
  <si>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</si>
  <si>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</si>
  <si>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</si>
  <si>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</si>
  <si>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</si>
  <si>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</si>
  <si>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</si>
  <si>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</si>
  <si>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</si>
  <si>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</si>
  <si>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</si>
  <si>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</si>
  <si>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</si>
  <si>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</si>
  <si>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</si>
  <si>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</si>
  <si>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</si>
  <si>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</si>
  <si>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</si>
  <si>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</si>
  <si>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</si>
  <si>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</si>
  <si>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</si>
  <si>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</si>
  <si>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</si>
  <si>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</si>
  <si>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</si>
  <si>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</si>
  <si>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</si>
  <si>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</si>
  <si>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</si>
  <si>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</si>
  <si>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</si>
  <si>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</si>
  <si>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</si>
  <si>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</si>
  <si>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</si>
  <si>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</si>
  <si>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</si>
  <si>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</si>
  <si>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</si>
  <si>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</si>
  <si>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</si>
  <si>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</si>
  <si>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</si>
  <si>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</si>
  <si>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</si>
  <si>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</si>
  <si>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</si>
  <si>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</si>
  <si>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</si>
  <si>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</si>
  <si>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</si>
  <si>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</si>
  <si>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</si>
  <si>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</si>
  <si>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</si>
  <si>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</si>
  <si>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</si>
  <si>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</si>
  <si>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</si>
  <si>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</si>
  <si>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</si>
  <si>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</si>
  <si>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</si>
  <si>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</si>
  <si>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</si>
  <si>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</si>
  <si>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</si>
  <si>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</si>
  <si>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</si>
  <si>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</si>
  <si>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</si>
  <si>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</si>
  <si>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</si>
  <si>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</si>
  <si>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</si>
  <si>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</si>
  <si>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</si>
  <si>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</si>
  <si>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</si>
  <si>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</si>
  <si>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</si>
  <si>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</si>
  <si>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</si>
  <si>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</si>
  <si>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</si>
  <si>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</si>
  <si>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</si>
  <si>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</si>
  <si>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</si>
  <si>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</si>
  <si>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</si>
  <si>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</si>
  <si>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</si>
  <si>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</si>
  <si>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</si>
  <si>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</si>
  <si>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</si>
  <si>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</si>
  <si>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</si>
  <si>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</si>
  <si>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</si>
  <si>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</si>
  <si>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</si>
  <si>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</si>
  <si>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</si>
  <si>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</si>
  <si>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</si>
  <si>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</si>
  <si>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</si>
  <si>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</si>
  <si>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</si>
  <si>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</si>
  <si>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</si>
  <si>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</si>
  <si>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</si>
  <si>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</si>
  <si>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</si>
  <si>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</si>
  <si>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</si>
  <si>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</si>
  <si>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</si>
  <si>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</si>
  <si>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</si>
  <si>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</si>
  <si>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</si>
  <si>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</si>
  <si>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</si>
  <si>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</si>
  <si>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</si>
  <si>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</si>
  <si>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</si>
  <si>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</si>
  <si>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</si>
  <si>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</si>
  <si>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</si>
  <si>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</si>
  <si>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</si>
  <si>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</si>
  <si>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</si>
  <si>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</si>
  <si>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</si>
  <si>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</si>
  <si>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</si>
  <si>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</si>
  <si>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</si>
  <si>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</si>
  <si>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</si>
  <si>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</si>
  <si>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</si>
  <si>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</si>
  <si>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</si>
  <si>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</si>
  <si>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</si>
  <si>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</si>
  <si>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</si>
  <si>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</si>
  <si>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</si>
  <si>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</si>
  <si>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</si>
  <si>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</si>
  <si>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</si>
  <si>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</si>
  <si>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</si>
  <si>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</si>
  <si>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</si>
  <si>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</si>
  <si>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</si>
  <si>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</si>
  <si>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</si>
  <si>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</si>
  <si>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</si>
  <si>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</si>
  <si>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</si>
  <si>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</si>
  <si>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</si>
  <si>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</si>
  <si>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</si>
  <si>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</si>
  <si>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</si>
  <si>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</si>
  <si>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</si>
  <si>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</si>
  <si>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</si>
  <si>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</si>
  <si>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</si>
  <si>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</si>
  <si>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</si>
  <si>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</si>
  <si>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</si>
  <si>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</si>
  <si>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</si>
  <si>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</si>
  <si>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</si>
  <si>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</si>
  <si>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</si>
  <si>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</si>
  <si>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</si>
  <si>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</si>
  <si>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</si>
  <si>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</si>
  <si>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</si>
  <si>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</si>
  <si>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</si>
  <si>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</si>
  <si>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</si>
  <si>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</si>
  <si>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</si>
  <si>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</si>
  <si>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</si>
  <si>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</si>
  <si>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</si>
  <si>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</si>
  <si>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</si>
  <si>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</si>
  <si>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</si>
  <si>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</si>
  <si>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</si>
  <si>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</si>
  <si>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</si>
  <si>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</si>
  <si>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</si>
  <si>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</si>
  <si>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</si>
  <si>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</si>
  <si>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</si>
  <si>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</si>
  <si>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</si>
  <si>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</si>
  <si>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</si>
  <si>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</si>
  <si>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</si>
  <si>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</si>
  <si>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</si>
  <si>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</si>
  <si>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</si>
  <si>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</si>
  <si>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</si>
  <si>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</si>
  <si>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</si>
  <si>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</si>
  <si>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</si>
  <si>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</si>
  <si>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</si>
  <si>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</si>
  <si>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</si>
  <si>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</si>
  <si>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</si>
  <si>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</si>
  <si>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</si>
  <si>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</si>
  <si>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</si>
  <si>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</si>
  <si>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</si>
  <si>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</si>
  <si>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</si>
  <si>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</si>
  <si>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</si>
  <si>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</si>
  <si>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</si>
  <si>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</si>
  <si>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</si>
  <si>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</si>
  <si>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</si>
  <si>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</si>
  <si>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</si>
  <si>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</si>
  <si>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</si>
  <si>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</si>
  <si>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</si>
  <si>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</si>
  <si>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</si>
  <si>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</si>
  <si>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</si>
  <si>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</si>
  <si>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</si>
  <si>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</si>
  <si>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</si>
  <si>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</si>
  <si>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</si>
  <si>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</si>
  <si>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</si>
  <si>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</si>
  <si>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</si>
  <si>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</si>
  <si>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</si>
  <si>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</si>
  <si>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</si>
  <si>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</si>
  <si>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</si>
  <si>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</si>
  <si>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</si>
  <si>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</si>
  <si>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</si>
  <si>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</si>
  <si>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</si>
  <si>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</si>
  <si>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</si>
  <si>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</si>
  <si>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</si>
  <si>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</si>
  <si>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</si>
  <si>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</si>
  <si>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</si>
  <si>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</si>
  <si>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</si>
  <si>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</si>
  <si>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</si>
  <si>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</si>
  <si>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</si>
  <si>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</si>
  <si>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</si>
  <si>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</si>
  <si>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</si>
  <si>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</si>
  <si>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</si>
  <si>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</si>
  <si>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</si>
  <si>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</si>
  <si>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</si>
  <si>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</si>
  <si>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</si>
  <si>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</si>
  <si>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</si>
  <si>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</si>
  <si>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</si>
  <si>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</si>
  <si>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</si>
  <si>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</si>
  <si>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</si>
  <si>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</si>
  <si>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</si>
  <si>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</si>
  <si>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</si>
  <si>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</si>
  <si>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</si>
  <si>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</si>
  <si>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</si>
  <si>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</si>
  <si>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</si>
  <si>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</si>
  <si>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</si>
  <si>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</si>
  <si>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</si>
  <si>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</t>
  </si>
  <si>
    <t>N</t>
  </si>
  <si>
    <t>Taxation Year's start date: January 1st, 2004</t>
  </si>
  <si>
    <t>Taxation Year's end date: December 31st, 2004</t>
  </si>
  <si>
    <t>X</t>
  </si>
  <si>
    <t>Community Relations</t>
  </si>
  <si>
    <t>Regulatory and Professional</t>
  </si>
  <si>
    <t>NO</t>
  </si>
  <si>
    <t>No</t>
  </si>
  <si>
    <t>Answer:  Method number 1</t>
  </si>
  <si>
    <t>Colour Code</t>
  </si>
  <si>
    <t>Input Cell</t>
  </si>
  <si>
    <t>Formula in Cell</t>
  </si>
  <si>
    <t>Utility Name: West Perth Power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</si>
</sst>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%"/>
    <numFmt numFmtId="181" formatCode="#,##0.0000_);\(#,##0.0000\)"/>
    <numFmt numFmtId="182" formatCode="#,##0.0_);\(#,##0.0\)"/>
    <numFmt numFmtId="183" formatCode="0.00000%"/>
    <numFmt numFmtId="184" formatCode="&quot;$&quot;#,##0"/>
    <numFmt numFmtId="185" formatCode="&quot;$&quot;#,##0.00"/>
    <numFmt numFmtId="186" formatCode="0.000%"/>
    <numFmt numFmtId="187" formatCode="0_);[Red]\(0\)"/>
    <numFmt numFmtId="188" formatCode="0.0%"/>
    <numFmt numFmtId="189" formatCode="0.00000"/>
    <numFmt numFmtId="190" formatCode="mm/dd/yyyy"/>
    <numFmt numFmtId="191" formatCode="&quot;$&quot;#,##0.000"/>
    <numFmt numFmtId="192" formatCode="&quot;$&quot;#,##0.00000"/>
    <numFmt numFmtId="193" formatCode="&quot;$&quot;#,##0.0000"/>
    <numFmt numFmtId="194" formatCode="_-* #,##0.0_-;\-* #,##0.0_-;_-* &quot;-&quot;??_-;_-@_-"/>
    <numFmt numFmtId="195" formatCode="_-* #,##0_-;\-* #,##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(&quot;$&quot;* #,##0.0_);_(&quot;$&quot;* \(#,##0.0\);_(&quot;$&quot;* &quot;-&quot;_);_(@_)"/>
    <numFmt numFmtId="200" formatCode="0.000000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[$€-2]\ #,##0.00_);[Red]\([$€-2]\ #,##0.00\)"/>
    <numFmt numFmtId="204" formatCode="#,##0_ ;[Red]\-#,##0\ "/>
    <numFmt numFmtId="205" formatCode="0.0000000"/>
    <numFmt numFmtId="206" formatCode="0.0000"/>
    <numFmt numFmtId="207" formatCode="0.000"/>
    <numFmt numFmtId="208" formatCode="0.0"/>
    <numFmt numFmtId="209" formatCode="0.0000\ ;\ \(0.0000\)"/>
    <numFmt numFmtId="210" formatCode="#,##0.00_ ;[Red]\-#,##0.00\ "/>
    <numFmt numFmtId="211" formatCode="#,##0.0000_ ;[Red]\-#,##0.0000\ "/>
    <numFmt numFmtId="212" formatCode="0.0000000000000"/>
    <numFmt numFmtId="213" formatCode="_(&quot;$&quot;* #,##0.0000_);_(&quot;$&quot;* \(#,##0.0000\);_(&quot;$&quot;* &quot;-&quot;????_);_(@_)"/>
    <numFmt numFmtId="214" formatCode="&quot;$&quot;#,##0.0_);[Red]\(&quot;$&quot;#,##0.0\)"/>
    <numFmt numFmtId="215" formatCode="mmmm\ d\,\ yyyy"/>
    <numFmt numFmtId="216" formatCode="[$-1009]mmmm\ d\,\ yyyy"/>
    <numFmt numFmtId="217" formatCode="[$-F800]dddd\,\ mmmm\ dd\,\ yyyy"/>
    <numFmt numFmtId="218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4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8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80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80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83" fontId="0" fillId="36" borderId="14" xfId="0" applyNumberFormat="1" applyFill="1" applyBorder="1" applyAlignment="1" applyProtection="1">
      <alignment vertical="top"/>
      <protection/>
    </xf>
    <xf numFmtId="183" fontId="0" fillId="36" borderId="14" xfId="0" applyNumberFormat="1" applyFill="1" applyBorder="1" applyAlignment="1" applyProtection="1">
      <alignment horizontal="right" vertical="top"/>
      <protection/>
    </xf>
    <xf numFmtId="181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80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80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86" fontId="0" fillId="36" borderId="25" xfId="0" applyNumberFormat="1" applyFill="1" applyBorder="1" applyAlignment="1" applyProtection="1">
      <alignment horizontal="center" vertical="top"/>
      <protection locked="0"/>
    </xf>
    <xf numFmtId="18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86" fontId="0" fillId="40" borderId="25" xfId="0" applyNumberFormat="1" applyFill="1" applyBorder="1" applyAlignment="1" applyProtection="1">
      <alignment horizontal="center" vertical="top"/>
      <protection locked="0"/>
    </xf>
    <xf numFmtId="186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0" fillId="0" borderId="44" xfId="0" applyFont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9" fontId="0" fillId="42" borderId="0" xfId="0" applyNumberFormat="1" applyFill="1" applyAlignment="1">
      <alignment horizontal="center" vertical="top"/>
    </xf>
    <xf numFmtId="15" fontId="0" fillId="40" borderId="0" xfId="0" applyNumberFormat="1" applyFill="1" applyAlignment="1">
      <alignment horizontal="center" vertical="top"/>
    </xf>
    <xf numFmtId="37" fontId="0" fillId="42" borderId="0" xfId="0" applyNumberFormat="1" applyFill="1" applyAlignment="1">
      <alignment vertical="top"/>
    </xf>
    <xf numFmtId="10" fontId="0" fillId="42" borderId="0" xfId="0" applyNumberFormat="1" applyFill="1" applyAlignment="1">
      <alignment vertical="top"/>
    </xf>
    <xf numFmtId="3" fontId="0" fillId="43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3" fontId="0" fillId="42" borderId="0" xfId="42" applyNumberFormat="1" applyFont="1" applyFill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gulatory%20Info\Variance%20Accounting%202005%20July%2018th%20NEW%20OEB%20Rates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PPI%20-%20Effective%20Tax%20Rate%20calcs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Summary"/>
      <sheetName val="Int&amp;Acc Glob Adj Fix"/>
      <sheetName val="Accrual Summary"/>
      <sheetName val="Sheet1"/>
      <sheetName val="Sheet2"/>
      <sheetName val="Summary"/>
      <sheetName val="1580"/>
      <sheetName val="1582"/>
      <sheetName val="1584"/>
      <sheetName val="1586"/>
      <sheetName val="1588"/>
      <sheetName val="1562"/>
      <sheetName val="PILS 2005"/>
      <sheetName val="1570"/>
      <sheetName val="1571"/>
      <sheetName val="1590"/>
    </sheetNames>
    <sheetDataSet>
      <sheetData sheetId="11">
        <row r="10">
          <cell r="D10">
            <v>186732</v>
          </cell>
          <cell r="H10">
            <v>1128.1725000000001</v>
          </cell>
        </row>
        <row r="24">
          <cell r="D24">
            <v>659320</v>
          </cell>
          <cell r="E24">
            <v>698766.2347286249</v>
          </cell>
          <cell r="H24">
            <v>16683.36463306636</v>
          </cell>
        </row>
        <row r="38">
          <cell r="E38">
            <v>882139.5902842762</v>
          </cell>
          <cell r="H38">
            <v>8517.537597564187</v>
          </cell>
        </row>
        <row r="52">
          <cell r="E52">
            <v>708449.0547832497</v>
          </cell>
          <cell r="H52">
            <v>6687.895364526711</v>
          </cell>
        </row>
        <row r="66">
          <cell r="D66">
            <v>378942.66872844833</v>
          </cell>
          <cell r="E66">
            <v>413837.85000000003</v>
          </cell>
          <cell r="H66">
            <v>6353.75542565147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0">
          <cell r="F50">
            <v>0.1862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582</v>
      </c>
      <c r="H1" s="8"/>
    </row>
    <row r="2" spans="1:8" ht="12.75">
      <c r="A2" s="2" t="s">
        <v>131</v>
      </c>
      <c r="B2" s="8"/>
      <c r="C2" s="8"/>
      <c r="E2" s="27" t="s">
        <v>516</v>
      </c>
      <c r="H2" s="8"/>
    </row>
    <row r="3" spans="1:8" ht="12.75">
      <c r="A3" s="2" t="s">
        <v>606</v>
      </c>
      <c r="C3" s="8"/>
      <c r="D3" s="516" t="s">
        <v>603</v>
      </c>
      <c r="E3" s="8"/>
      <c r="F3" s="8"/>
      <c r="G3" s="8"/>
      <c r="H3" s="8"/>
    </row>
    <row r="4" spans="1:8" ht="12.75">
      <c r="A4" s="2" t="s">
        <v>395</v>
      </c>
      <c r="C4" s="8"/>
      <c r="D4" s="517" t="s">
        <v>604</v>
      </c>
      <c r="H4" s="8"/>
    </row>
    <row r="5" spans="1:8" ht="12.75">
      <c r="A5" s="58"/>
      <c r="C5" s="8"/>
      <c r="D5" s="518" t="s">
        <v>605</v>
      </c>
      <c r="H5" s="8"/>
    </row>
    <row r="6" spans="1:8" ht="12.75">
      <c r="A6" s="2" t="s">
        <v>209</v>
      </c>
      <c r="B6" s="456">
        <v>366</v>
      </c>
      <c r="C6" s="8" t="s">
        <v>210</v>
      </c>
      <c r="D6" s="27"/>
      <c r="H6" s="8"/>
    </row>
    <row r="7" spans="1:8" ht="13.5" thickBot="1">
      <c r="A7" s="58" t="s">
        <v>381</v>
      </c>
      <c r="B7" s="289">
        <v>366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593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594</v>
      </c>
    </row>
    <row r="16" spans="1:4" ht="7.5" customHeight="1">
      <c r="A16" s="51"/>
      <c r="C16" s="8"/>
      <c r="D16" s="8"/>
    </row>
    <row r="17" spans="1:4" ht="13.5" thickBot="1">
      <c r="A17" s="51" t="s">
        <v>271</v>
      </c>
      <c r="C17" s="8" t="s">
        <v>136</v>
      </c>
      <c r="D17" s="298" t="s">
        <v>594</v>
      </c>
    </row>
    <row r="18" spans="1:4" ht="15" customHeight="1">
      <c r="A18" s="457" t="s">
        <v>462</v>
      </c>
      <c r="C18" s="8"/>
      <c r="D18" s="8"/>
    </row>
    <row r="19" spans="1:4" ht="15" customHeight="1">
      <c r="A19" s="526" t="s">
        <v>463</v>
      </c>
      <c r="B19" s="8" t="s">
        <v>460</v>
      </c>
      <c r="C19" s="8" t="s">
        <v>136</v>
      </c>
      <c r="D19" s="456" t="s">
        <v>593</v>
      </c>
    </row>
    <row r="20" spans="1:4" ht="13.5" thickBot="1">
      <c r="A20" s="527"/>
      <c r="B20" s="8" t="s">
        <v>461</v>
      </c>
      <c r="C20" s="8" t="s">
        <v>136</v>
      </c>
      <c r="D20" s="298" t="s">
        <v>593</v>
      </c>
    </row>
    <row r="21" spans="1:4" ht="12.75">
      <c r="A21" s="526" t="s">
        <v>459</v>
      </c>
      <c r="B21" s="8" t="s">
        <v>460</v>
      </c>
      <c r="C21" s="8"/>
      <c r="D21" s="519">
        <v>1</v>
      </c>
    </row>
    <row r="22" spans="1:4" ht="12.75">
      <c r="A22" s="526"/>
      <c r="B22" s="8" t="s">
        <v>461</v>
      </c>
      <c r="C22" s="8"/>
      <c r="D22" s="519">
        <v>1</v>
      </c>
    </row>
    <row r="23" spans="1:4" ht="7.5" customHeight="1">
      <c r="A23" s="51"/>
      <c r="C23" s="8"/>
      <c r="D23" s="456"/>
    </row>
    <row r="24" spans="1:4" ht="12.75">
      <c r="A24" s="51" t="s">
        <v>329</v>
      </c>
      <c r="C24" s="8" t="s">
        <v>330</v>
      </c>
      <c r="D24" s="520">
        <v>37986</v>
      </c>
    </row>
    <row r="25" ht="6.75" customHeight="1" thickBot="1">
      <c r="A25" s="12"/>
    </row>
    <row r="26" spans="1:5" ht="12.75">
      <c r="A26" s="295" t="s">
        <v>139</v>
      </c>
      <c r="C26" s="8"/>
      <c r="E26" s="512" t="s">
        <v>428</v>
      </c>
    </row>
    <row r="27" spans="1:5" ht="12.75">
      <c r="A27" s="296" t="s">
        <v>140</v>
      </c>
      <c r="C27" s="8"/>
      <c r="E27" s="513" t="s">
        <v>429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418</v>
      </c>
      <c r="D31" s="521">
        <v>2637626</v>
      </c>
      <c r="H31" s="5"/>
    </row>
    <row r="32" ht="6" customHeight="1"/>
    <row r="33" spans="1:8" ht="12.75">
      <c r="A33" t="s">
        <v>143</v>
      </c>
      <c r="D33" s="522">
        <v>0.5</v>
      </c>
      <c r="F33" t="s">
        <v>177</v>
      </c>
      <c r="H33" s="45"/>
    </row>
    <row r="34" spans="4:8" ht="6" customHeight="1">
      <c r="D34">
        <v>50</v>
      </c>
      <c r="F34" t="s">
        <v>177</v>
      </c>
      <c r="H34" s="40"/>
    </row>
    <row r="35" spans="1:10" ht="12.75">
      <c r="A35" t="s">
        <v>144</v>
      </c>
      <c r="D35" s="29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522">
        <v>0.0988</v>
      </c>
      <c r="H37" s="47"/>
    </row>
    <row r="38" ht="4.5" customHeight="1">
      <c r="H38" s="40"/>
    </row>
    <row r="39" spans="1:8" ht="12.75">
      <c r="A39" t="s">
        <v>146</v>
      </c>
      <c r="D39" s="522">
        <v>0.0725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225912.6669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4">
        <v>143172</v>
      </c>
      <c r="E43" s="455">
        <f>D43</f>
        <v>143172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82740.66690000001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523">
        <v>0</v>
      </c>
      <c r="E47" s="455">
        <f aca="true" t="shared" si="0" ref="E47:E52">D47</f>
        <v>0</v>
      </c>
      <c r="H47" s="46"/>
      <c r="J47" s="5"/>
      <c r="K47" s="5"/>
    </row>
    <row r="48" spans="1:11" ht="12.75">
      <c r="A48" t="s">
        <v>421</v>
      </c>
      <c r="D48" s="523">
        <v>55160</v>
      </c>
      <c r="E48" s="455">
        <f t="shared" si="0"/>
        <v>55160</v>
      </c>
      <c r="F48" s="28"/>
      <c r="H48" s="46"/>
      <c r="J48" s="5"/>
      <c r="K48" s="5"/>
    </row>
    <row r="49" spans="1:11" ht="12.75">
      <c r="A49" t="s">
        <v>422</v>
      </c>
      <c r="D49" s="524"/>
      <c r="E49" s="455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95"/>
      <c r="E50" s="455">
        <f t="shared" si="0"/>
        <v>0</v>
      </c>
      <c r="H50" s="46"/>
      <c r="J50" s="5"/>
      <c r="K50" s="5"/>
    </row>
    <row r="51" spans="4:11" ht="12.75">
      <c r="D51" s="525">
        <f>27580+8991</f>
        <v>36571</v>
      </c>
      <c r="E51" s="455">
        <f t="shared" si="0"/>
        <v>36571</v>
      </c>
      <c r="H51" s="46"/>
      <c r="J51" s="5"/>
      <c r="K51" s="5"/>
    </row>
    <row r="52" spans="4:11" ht="12.75">
      <c r="D52" s="495">
        <v>0</v>
      </c>
      <c r="E52" s="455">
        <f t="shared" si="0"/>
        <v>0</v>
      </c>
      <c r="H52" s="46"/>
      <c r="J52" s="5"/>
      <c r="K52" s="5"/>
    </row>
    <row r="53" spans="1:11" ht="12.75">
      <c r="A53" s="2" t="s">
        <v>424</v>
      </c>
      <c r="D53" s="495"/>
      <c r="E53" s="294">
        <f>SUM(E43:E52)</f>
        <v>234903</v>
      </c>
      <c r="H53" s="46"/>
      <c r="J53" s="5"/>
      <c r="K53" s="5"/>
    </row>
    <row r="54" spans="8:11" ht="12.75">
      <c r="H54" s="46"/>
      <c r="J54" s="5"/>
      <c r="K54" s="5"/>
    </row>
    <row r="55" spans="1:11" ht="12.75">
      <c r="A55" t="s">
        <v>150</v>
      </c>
      <c r="B55" s="5"/>
      <c r="C55" s="5"/>
      <c r="D55" s="36"/>
      <c r="H55" s="38"/>
      <c r="J55" s="5"/>
      <c r="K55" s="5"/>
    </row>
    <row r="56" spans="1:11" ht="12.75">
      <c r="A56" s="14"/>
      <c r="B56" s="5"/>
      <c r="C56" s="5"/>
      <c r="D56" s="292">
        <f>D31*D33</f>
        <v>1318813</v>
      </c>
      <c r="F56" s="5"/>
      <c r="H56" s="38"/>
      <c r="J56" s="5"/>
      <c r="K56" s="5"/>
    </row>
    <row r="57" spans="1:11" ht="12.75">
      <c r="A57" t="s">
        <v>151</v>
      </c>
      <c r="B57" s="5"/>
      <c r="C57" s="5"/>
      <c r="D57" s="5"/>
      <c r="F57" s="5"/>
      <c r="H57" s="38"/>
      <c r="J57" s="5"/>
      <c r="K57" s="5"/>
    </row>
    <row r="58" spans="2:11" ht="12.75">
      <c r="B58" s="5"/>
      <c r="C58" s="5"/>
      <c r="D58" s="292">
        <f>D56*D37</f>
        <v>130298.72439999999</v>
      </c>
      <c r="F58" s="5"/>
      <c r="H58" s="38"/>
      <c r="J58" s="5"/>
      <c r="K58" s="5"/>
    </row>
    <row r="59" spans="1:11" ht="12.75">
      <c r="A59" t="s">
        <v>152</v>
      </c>
      <c r="B59" s="5"/>
      <c r="C59" s="5"/>
      <c r="D59" s="5"/>
      <c r="F59" s="5"/>
      <c r="H59" s="38"/>
      <c r="J59" s="5"/>
      <c r="K59" s="5"/>
    </row>
    <row r="60" spans="2:11" ht="12.75">
      <c r="B60" s="5"/>
      <c r="C60" s="5"/>
      <c r="D60" s="292">
        <f>D31*D35</f>
        <v>1318813</v>
      </c>
      <c r="F60" s="5"/>
      <c r="H60" s="38"/>
      <c r="J60" s="5"/>
      <c r="K60" s="5"/>
    </row>
    <row r="61" spans="1:11" ht="12.75">
      <c r="A61" t="s">
        <v>458</v>
      </c>
      <c r="B61" s="5"/>
      <c r="C61" s="5"/>
      <c r="D61" s="5"/>
      <c r="F61" s="5"/>
      <c r="H61" s="38"/>
      <c r="J61" s="5"/>
      <c r="K61" s="5"/>
    </row>
    <row r="62" spans="2:11" ht="12.75">
      <c r="B62" s="5"/>
      <c r="C62" s="5"/>
      <c r="D62" s="292">
        <f>D60*D39</f>
        <v>95613.94249999999</v>
      </c>
      <c r="F62" s="5"/>
      <c r="H62" s="38"/>
      <c r="J62" s="5"/>
      <c r="K62" s="5"/>
    </row>
    <row r="63" spans="1:11" ht="12.75">
      <c r="A63" t="s">
        <v>425</v>
      </c>
      <c r="B63" s="5"/>
      <c r="C63" s="5"/>
      <c r="D63" s="5"/>
      <c r="F63" s="5"/>
      <c r="H63" s="38"/>
      <c r="J63" s="5"/>
      <c r="K63" s="5"/>
    </row>
    <row r="64" spans="1:11" ht="12.75">
      <c r="A64" s="39" t="s">
        <v>578</v>
      </c>
      <c r="B64" s="5"/>
      <c r="C64" s="5"/>
      <c r="D64" s="293">
        <f>IF(D41&gt;0,(((D43+D47)/D41)*D62),0)</f>
        <v>60595.271453590176</v>
      </c>
      <c r="F64" s="5"/>
      <c r="H64" s="38"/>
      <c r="J64" s="5"/>
      <c r="K64" s="5"/>
    </row>
    <row r="65" spans="1:11" ht="12.75">
      <c r="A65" t="s">
        <v>426</v>
      </c>
      <c r="B65" s="5"/>
      <c r="C65" s="5"/>
      <c r="D65" s="38"/>
      <c r="F65" s="5"/>
      <c r="H65" s="38"/>
      <c r="J65" s="5"/>
      <c r="K65" s="5"/>
    </row>
    <row r="66" spans="1:11" ht="12.75">
      <c r="A66" s="39" t="s">
        <v>579</v>
      </c>
      <c r="B66" s="5"/>
      <c r="C66" s="5"/>
      <c r="D66" s="293">
        <f>IF(D41&gt;0,(((D43+D47+D48)/D41)*D62),0)</f>
        <v>83940.86398131931</v>
      </c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38"/>
      <c r="F67" s="5"/>
      <c r="H67" s="38"/>
      <c r="J67" s="5"/>
    </row>
    <row r="68" spans="1:10" ht="12.75">
      <c r="A68" s="39" t="s">
        <v>580</v>
      </c>
      <c r="B68" s="5"/>
      <c r="C68" s="5"/>
      <c r="D68" s="293">
        <f>IF(D41&gt;0,(((D43+D47+D48)/D41)*D62),0)</f>
        <v>83940.86398131931</v>
      </c>
      <c r="F68" s="5"/>
      <c r="H68" s="38"/>
      <c r="J68" s="5"/>
    </row>
    <row r="69" spans="2:10" ht="12.75">
      <c r="B69" s="5"/>
      <c r="C69" s="5"/>
      <c r="D69" s="5"/>
      <c r="F69" s="5"/>
      <c r="H69" s="40"/>
      <c r="J69" s="5"/>
    </row>
    <row r="70" spans="1:8" ht="12.75">
      <c r="A70" s="100"/>
      <c r="B70" s="5"/>
      <c r="C70" s="5"/>
      <c r="D70" s="293">
        <f>D62</f>
        <v>95613.94249999999</v>
      </c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4:8" ht="12.75">
      <c r="D75" s="5"/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zoomScale="90" zoomScaleNormal="90" zoomScalePageLayoutView="0" workbookViewId="0" topLeftCell="A116">
      <selection activeCell="I121" sqref="I12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211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373</v>
      </c>
      <c r="J4" s="245" t="s">
        <v>32</v>
      </c>
      <c r="K4" s="158" t="s">
        <v>48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2004.2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West Perth Power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2004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212</v>
      </c>
      <c r="O8" s="53"/>
      <c r="P8" s="53"/>
    </row>
    <row r="9" spans="1:12" ht="12.75">
      <c r="A9" s="235" t="s">
        <v>209</v>
      </c>
      <c r="B9" s="496">
        <f>REGINFO!B6</f>
        <v>366</v>
      </c>
      <c r="C9" s="257" t="s">
        <v>210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381</v>
      </c>
      <c r="B10" s="496">
        <f>REGINFO!B7</f>
        <v>366</v>
      </c>
      <c r="C10" s="257" t="s">
        <v>210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501</v>
      </c>
      <c r="B15" s="143">
        <v>1</v>
      </c>
      <c r="C15" s="300">
        <f>REGINFO!E53</f>
        <v>234903</v>
      </c>
      <c r="D15" s="18"/>
      <c r="E15" s="18"/>
      <c r="F15" s="18"/>
      <c r="G15" s="22"/>
      <c r="H15" s="22"/>
      <c r="I15" s="308">
        <f>K15-C15</f>
        <v>-234903</v>
      </c>
      <c r="J15" s="3"/>
      <c r="K15" s="308">
        <f>TAXREC!E50</f>
        <v>0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325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v>145101</v>
      </c>
      <c r="D20" s="20"/>
      <c r="E20" s="20"/>
      <c r="F20" s="20"/>
      <c r="G20" s="23"/>
      <c r="H20" s="23"/>
      <c r="I20" s="308">
        <f>K20-C20</f>
        <v>-145101</v>
      </c>
      <c r="J20" s="6"/>
      <c r="K20" s="308">
        <f>TAXREC!E61</f>
        <v>0</v>
      </c>
      <c r="L20" s="172"/>
    </row>
    <row r="21" spans="1:12" ht="12.75">
      <c r="A21" s="179" t="s">
        <v>128</v>
      </c>
      <c r="B21" s="145">
        <v>3</v>
      </c>
      <c r="C21" s="302"/>
      <c r="D21" s="17"/>
      <c r="E21" s="17"/>
      <c r="F21" s="17"/>
      <c r="G21" s="23"/>
      <c r="H21" s="23"/>
      <c r="I21" s="308">
        <f>K21-C21</f>
        <v>0</v>
      </c>
      <c r="J21" s="6"/>
      <c r="K21" s="308">
        <f>TAXREC!E62</f>
        <v>0</v>
      </c>
      <c r="L21" s="172"/>
    </row>
    <row r="22" spans="1:12" ht="12.75">
      <c r="A22" s="179" t="s">
        <v>392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391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0</v>
      </c>
      <c r="J23" s="6"/>
      <c r="K23" s="308">
        <f>TAXREC!E64</f>
        <v>0</v>
      </c>
      <c r="L23" s="172"/>
    </row>
    <row r="24" spans="1:12" ht="12.75">
      <c r="A24" s="179" t="s">
        <v>393</v>
      </c>
      <c r="B24" s="145">
        <v>5</v>
      </c>
      <c r="C24" s="302">
        <v>0</v>
      </c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242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0</v>
      </c>
      <c r="J26" s="6"/>
      <c r="K26" s="308">
        <f>TAXREC!E91</f>
        <v>0</v>
      </c>
      <c r="L26" s="172"/>
    </row>
    <row r="27" spans="1:12" ht="12.75">
      <c r="A27" s="179" t="s">
        <v>245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0</v>
      </c>
      <c r="J27" s="6"/>
      <c r="K27" s="308">
        <f>TAXREC!E92</f>
        <v>0</v>
      </c>
      <c r="L27" s="172"/>
    </row>
    <row r="28" spans="1:12" ht="12.75">
      <c r="A28" s="179" t="s">
        <v>244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0</v>
      </c>
      <c r="J28" s="6"/>
      <c r="K28" s="308">
        <f>TAXREC!E66</f>
        <v>0</v>
      </c>
      <c r="L28" s="172"/>
    </row>
    <row r="29" spans="1:12" ht="12.75">
      <c r="A29" s="179" t="s">
        <v>243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0</v>
      </c>
      <c r="J29" s="6"/>
      <c r="K29" s="308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502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v>87480</v>
      </c>
      <c r="D32" s="20"/>
      <c r="E32" s="20"/>
      <c r="F32" s="20"/>
      <c r="G32" s="150"/>
      <c r="H32" s="150"/>
      <c r="I32" s="308">
        <f aca="true" t="shared" si="0" ref="I32:I41">K32-C32</f>
        <v>-87480</v>
      </c>
      <c r="J32" s="6"/>
      <c r="K32" s="308">
        <f>TAXREC!E96+TAXREC!E97</f>
        <v>0</v>
      </c>
      <c r="L32" s="172"/>
    </row>
    <row r="33" spans="1:12" ht="12.75">
      <c r="A33" s="179" t="s">
        <v>129</v>
      </c>
      <c r="B33" s="145">
        <v>8</v>
      </c>
      <c r="C33" s="302"/>
      <c r="D33" s="20"/>
      <c r="E33" s="20"/>
      <c r="F33" s="20"/>
      <c r="G33" s="150"/>
      <c r="H33" s="150"/>
      <c r="I33" s="308">
        <f t="shared" si="0"/>
        <v>0</v>
      </c>
      <c r="J33" s="6"/>
      <c r="K33" s="308">
        <f>TAXREC!E98</f>
        <v>0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394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v>95614</v>
      </c>
      <c r="D36" s="20"/>
      <c r="E36" s="20"/>
      <c r="F36" s="20"/>
      <c r="G36" s="150"/>
      <c r="H36" s="150"/>
      <c r="I36" s="308">
        <f t="shared" si="0"/>
        <v>-95614</v>
      </c>
      <c r="J36" s="6"/>
      <c r="K36" s="308">
        <f>TAXREC!E51</f>
        <v>0</v>
      </c>
      <c r="L36" s="172"/>
    </row>
    <row r="37" spans="1:12" ht="12.75">
      <c r="A37" s="176" t="s">
        <v>390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389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0</v>
      </c>
      <c r="J38" s="6"/>
      <c r="K38" s="308">
        <f>TAXREC!E104</f>
        <v>0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270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242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239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241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14955</v>
      </c>
      <c r="J45" s="6"/>
      <c r="K45" s="291">
        <f>TAXREC!E108</f>
        <v>14955</v>
      </c>
      <c r="L45" s="172"/>
    </row>
    <row r="46" spans="1:12" ht="12.75">
      <c r="A46" s="179" t="s">
        <v>240</v>
      </c>
      <c r="B46" s="145">
        <v>12</v>
      </c>
      <c r="C46" s="302">
        <v>27580</v>
      </c>
      <c r="D46" s="20"/>
      <c r="E46" s="20"/>
      <c r="F46" s="20"/>
      <c r="G46" s="150"/>
      <c r="H46" s="150"/>
      <c r="I46" s="308">
        <f>K46-C46</f>
        <v>-27580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481</v>
      </c>
      <c r="B48" s="143"/>
      <c r="C48" s="304">
        <f>C15+SUM(C20:C29)-SUM(C32:C46)</f>
        <v>169330</v>
      </c>
      <c r="D48" s="24"/>
      <c r="E48" s="24"/>
      <c r="F48" s="24"/>
      <c r="G48" s="117"/>
      <c r="H48" s="117"/>
      <c r="I48" s="304">
        <f>SUM(I15:I47)</f>
        <v>-575723</v>
      </c>
      <c r="J48" s="498" t="s">
        <v>553</v>
      </c>
      <c r="K48" s="304">
        <f>K15+SUM(K20:K29)-SUM(K32:K46)</f>
        <v>-14955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496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500</v>
      </c>
      <c r="B51" s="145">
        <v>13</v>
      </c>
      <c r="C51" s="303">
        <v>0.1862</v>
      </c>
      <c r="D51" s="116"/>
      <c r="E51" s="116"/>
      <c r="F51" s="116"/>
      <c r="G51" s="117"/>
      <c r="H51" s="117"/>
      <c r="I51" s="309" t="e">
        <f>+K51-C51</f>
        <v>#DIV/0!</v>
      </c>
      <c r="J51" s="130"/>
      <c r="K51" s="303" t="e">
        <f>TAXREC!E149</f>
        <v>#DIV/0!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IF(C48&gt;0,C48*C51,0)</f>
        <v>31529.246</v>
      </c>
      <c r="D53" s="24"/>
      <c r="E53" s="24"/>
      <c r="F53" s="24"/>
      <c r="G53" s="117"/>
      <c r="H53" s="117"/>
      <c r="I53" s="308">
        <f>K53-C53</f>
        <v>-31529.246</v>
      </c>
      <c r="J53" s="498" t="s">
        <v>554</v>
      </c>
      <c r="K53" s="305">
        <f>TAXREC!E142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498" t="s">
        <v>554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31529.246</v>
      </c>
      <c r="D58" s="151"/>
      <c r="E58" s="151"/>
      <c r="F58" s="151"/>
      <c r="G58" s="152"/>
      <c r="H58" s="152"/>
      <c r="I58" s="310">
        <f>+I53-I56</f>
        <v>-31529.246</v>
      </c>
      <c r="J58" s="498" t="s">
        <v>554</v>
      </c>
      <c r="K58" s="310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2637626</v>
      </c>
      <c r="D64" s="116"/>
      <c r="E64" s="116"/>
      <c r="F64" s="116"/>
      <c r="G64" s="117"/>
      <c r="H64" s="117"/>
      <c r="I64" s="308">
        <f>K64-C64</f>
        <v>-2637626</v>
      </c>
      <c r="J64" s="6"/>
      <c r="K64" s="308">
        <f>TAXREC!E217</f>
        <v>0</v>
      </c>
      <c r="L64" s="172"/>
    </row>
    <row r="65" spans="1:12" ht="12.75">
      <c r="A65" s="173" t="s">
        <v>545</v>
      </c>
      <c r="B65" s="143">
        <v>16</v>
      </c>
      <c r="C65" s="301">
        <f>IF(C64&gt;0,'Tax Rates'!C21,0)</f>
        <v>5000000</v>
      </c>
      <c r="D65" s="116"/>
      <c r="E65" s="116"/>
      <c r="F65" s="116"/>
      <c r="G65" s="117"/>
      <c r="H65" s="117"/>
      <c r="I65" s="308">
        <f>K65-C65</f>
        <v>-5000000</v>
      </c>
      <c r="J65" s="6"/>
      <c r="K65" s="308">
        <f>TAXREC!E220</f>
        <v>0</v>
      </c>
      <c r="L65" s="172"/>
    </row>
    <row r="66" spans="1:12" ht="12.75">
      <c r="A66" s="173" t="s">
        <v>53</v>
      </c>
      <c r="B66" s="143"/>
      <c r="C66" s="305">
        <f>IF((C64-C65)&gt;0,C64-C65,0)</f>
        <v>0</v>
      </c>
      <c r="D66" s="116"/>
      <c r="E66" s="116"/>
      <c r="F66" s="116"/>
      <c r="G66" s="117"/>
      <c r="H66" s="117"/>
      <c r="I66" s="308">
        <f>SUM(I64:I65)</f>
        <v>-7637626</v>
      </c>
      <c r="J66" s="130"/>
      <c r="K66" s="305">
        <f>IF((K64-K65)&gt;0,K64-K65,0)</f>
        <v>0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546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464</v>
      </c>
      <c r="B70" s="143"/>
      <c r="C70" s="305">
        <f>IF(C66&gt;0,C66*C68,0)*REGINFO!$B$6/REGINFO!$B$7</f>
        <v>0</v>
      </c>
      <c r="D70" s="114"/>
      <c r="E70" s="114"/>
      <c r="F70" s="114"/>
      <c r="G70" s="115"/>
      <c r="H70" s="115"/>
      <c r="I70" s="308">
        <f>+K70-C70</f>
        <v>0</v>
      </c>
      <c r="J70" s="130"/>
      <c r="K70" s="305">
        <f>TAXREC!E229</f>
        <v>0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2637626</v>
      </c>
      <c r="D73" s="116"/>
      <c r="E73" s="116"/>
      <c r="F73" s="116"/>
      <c r="G73" s="117"/>
      <c r="H73" s="117"/>
      <c r="I73" s="308">
        <f>+K73-C73</f>
        <v>-2637626</v>
      </c>
      <c r="J73" s="6"/>
      <c r="K73" s="308">
        <f>TAXREC!E280</f>
        <v>0</v>
      </c>
      <c r="L73" s="172"/>
    </row>
    <row r="74" spans="1:12" ht="12.75">
      <c r="A74" s="173" t="s">
        <v>545</v>
      </c>
      <c r="B74" s="143">
        <v>19</v>
      </c>
      <c r="C74" s="301">
        <f>IF(C73&gt;0,'Tax Rates'!C22,0)</f>
        <v>10000000</v>
      </c>
      <c r="D74" s="20"/>
      <c r="E74" s="20"/>
      <c r="F74" s="20"/>
      <c r="G74" s="23"/>
      <c r="H74" s="23"/>
      <c r="I74" s="308">
        <f>+K74-C74</f>
        <v>-10000000</v>
      </c>
      <c r="J74" s="6"/>
      <c r="K74" s="308">
        <f>TAXREC!E282</f>
        <v>0</v>
      </c>
      <c r="L74" s="172"/>
    </row>
    <row r="75" spans="1:12" ht="12.75">
      <c r="A75" s="173" t="s">
        <v>53</v>
      </c>
      <c r="B75" s="143"/>
      <c r="C75" s="305">
        <f>IF((C73-C74)&gt;0,C73-C74,0)</f>
        <v>0</v>
      </c>
      <c r="D75" s="24"/>
      <c r="E75" s="24"/>
      <c r="F75" s="24"/>
      <c r="G75" s="25"/>
      <c r="H75" s="25"/>
      <c r="I75" s="308">
        <f>SUM(I73:I74)</f>
        <v>-12637626</v>
      </c>
      <c r="J75" s="130"/>
      <c r="K75" s="305">
        <f>IF((K73-K74)&gt;0,K73-K74,0)</f>
        <v>0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546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-0.0002499999999999998</v>
      </c>
      <c r="J77" s="6"/>
      <c r="K77" s="309">
        <f>TAXREC!E286</f>
        <v>0.002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465</v>
      </c>
      <c r="B79" s="143"/>
      <c r="C79" s="305">
        <f>IF(C75&gt;0,C75*C77,0)*REGINFO!$B$6/REGINFO!$B$7</f>
        <v>0</v>
      </c>
      <c r="D79" s="116"/>
      <c r="E79" s="116"/>
      <c r="F79" s="116"/>
      <c r="G79" s="117"/>
      <c r="H79" s="117"/>
      <c r="I79" s="308">
        <f>+K79-C79</f>
        <v>0</v>
      </c>
      <c r="J79" s="6"/>
      <c r="K79" s="305">
        <f>TAXREC!E291</f>
        <v>0</v>
      </c>
      <c r="L79" s="172"/>
    </row>
    <row r="80" spans="1:12" ht="12.75">
      <c r="A80" s="173" t="s">
        <v>466</v>
      </c>
      <c r="B80" s="143">
        <v>21</v>
      </c>
      <c r="C80" s="355">
        <f>IF(C75&gt;0,IF(C58&gt;0,C48*'Tax Rates'!C20,0),0)</f>
        <v>0</v>
      </c>
      <c r="D80" s="116"/>
      <c r="E80" s="116"/>
      <c r="F80" s="116"/>
      <c r="G80" s="117"/>
      <c r="H80" s="117"/>
      <c r="I80" s="308">
        <f>+K80-C80</f>
        <v>0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f>C79-C80</f>
        <v>0</v>
      </c>
      <c r="D82" s="21"/>
      <c r="E82" s="114"/>
      <c r="F82" s="21"/>
      <c r="G82" s="16"/>
      <c r="H82" s="16"/>
      <c r="I82" s="308">
        <f>SUM(I79:I81)</f>
        <v>0</v>
      </c>
      <c r="J82" s="118"/>
      <c r="K82" s="305">
        <f>K79-K80</f>
        <v>0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198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349</v>
      </c>
      <c r="B86" s="143"/>
      <c r="C86" s="303">
        <v>0.1862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555</v>
      </c>
      <c r="B88" s="145">
        <v>22</v>
      </c>
      <c r="C88" s="305">
        <f>C58/(1-C86)</f>
        <v>38743.23666748587</v>
      </c>
      <c r="D88" s="113"/>
      <c r="E88" s="113"/>
      <c r="F88" s="113"/>
      <c r="G88" s="26"/>
      <c r="H88" s="26"/>
      <c r="I88" s="160"/>
      <c r="J88" s="497" t="s">
        <v>547</v>
      </c>
      <c r="K88" s="311">
        <f>TAXREC!E303</f>
        <v>0</v>
      </c>
      <c r="L88" s="172"/>
    </row>
    <row r="89" spans="1:12" ht="12.75">
      <c r="A89" s="179" t="s">
        <v>556</v>
      </c>
      <c r="B89" s="145">
        <v>23</v>
      </c>
      <c r="C89" s="305">
        <f>C82/(1-C86)</f>
        <v>0</v>
      </c>
      <c r="D89" s="113"/>
      <c r="E89" s="113"/>
      <c r="F89" s="113"/>
      <c r="G89" s="26"/>
      <c r="H89" s="26"/>
      <c r="I89" s="160"/>
      <c r="J89" s="497" t="s">
        <v>547</v>
      </c>
      <c r="K89" s="311">
        <f>TAXREC!E305</f>
        <v>0</v>
      </c>
      <c r="L89" s="172"/>
    </row>
    <row r="90" spans="1:12" ht="12.75">
      <c r="A90" s="179" t="s">
        <v>511</v>
      </c>
      <c r="B90" s="145">
        <v>24</v>
      </c>
      <c r="C90" s="305">
        <f>C70</f>
        <v>0</v>
      </c>
      <c r="D90" s="113"/>
      <c r="E90" s="113"/>
      <c r="F90" s="113"/>
      <c r="G90" s="26"/>
      <c r="H90" s="26"/>
      <c r="I90" s="160"/>
      <c r="J90" s="497" t="s">
        <v>547</v>
      </c>
      <c r="K90" s="311">
        <f>TAXREC!E304</f>
        <v>0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480</v>
      </c>
      <c r="B93" s="143">
        <v>25</v>
      </c>
      <c r="C93" s="310">
        <f>SUM(C88:C91)</f>
        <v>38743.23666748587</v>
      </c>
      <c r="D93" s="99"/>
      <c r="E93" s="99"/>
      <c r="F93" s="99"/>
      <c r="G93" s="6"/>
      <c r="H93" s="6"/>
      <c r="I93" s="160"/>
      <c r="J93" s="497" t="s">
        <v>547</v>
      </c>
      <c r="K93" s="484">
        <f>SUM(K88:K92)</f>
        <v>0</v>
      </c>
      <c r="L93" s="185"/>
    </row>
    <row r="94" spans="1:12" ht="12.75">
      <c r="A94" s="473" t="s">
        <v>450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3.5">
      <c r="A98" s="187" t="s">
        <v>370</v>
      </c>
      <c r="B98" s="140"/>
      <c r="C98" s="128"/>
      <c r="D98" s="3"/>
      <c r="E98" s="3"/>
      <c r="F98" s="3"/>
      <c r="G98" s="3"/>
      <c r="H98" s="3"/>
      <c r="I98" s="164" t="s">
        <v>372</v>
      </c>
      <c r="J98" s="43"/>
      <c r="K98" s="223"/>
      <c r="L98" s="185"/>
    </row>
    <row r="99" spans="1:12" ht="12.75">
      <c r="A99" s="177" t="s">
        <v>509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0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0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549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0</v>
      </c>
      <c r="J104" s="43"/>
      <c r="K104" s="224"/>
      <c r="L104" s="185"/>
    </row>
    <row r="105" spans="1:12" ht="12.75">
      <c r="A105" s="179" t="s">
        <v>550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0</v>
      </c>
      <c r="J105" s="43"/>
      <c r="K105" s="224"/>
      <c r="L105" s="185"/>
    </row>
    <row r="106" spans="1:12" ht="12.75">
      <c r="A106" s="177" t="s">
        <v>548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0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469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0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551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552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14955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280</v>
      </c>
      <c r="I118" s="305">
        <f>SUM(I100:I105)-SUM(I107:I116)</f>
        <v>-14955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451</v>
      </c>
      <c r="B120" s="145"/>
      <c r="C120" s="128"/>
      <c r="D120" s="3"/>
      <c r="E120" s="3"/>
      <c r="F120" s="3"/>
      <c r="G120" s="3"/>
      <c r="H120" s="3" t="s">
        <v>354</v>
      </c>
      <c r="I120" s="367">
        <f>'[3]Sheet1'!$F$50</f>
        <v>0.1862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369</v>
      </c>
      <c r="B122" s="145"/>
      <c r="C122" s="128"/>
      <c r="D122" s="3"/>
      <c r="E122" s="3"/>
      <c r="F122" s="3"/>
      <c r="G122" s="3"/>
      <c r="H122" s="3" t="s">
        <v>280</v>
      </c>
      <c r="I122" s="305">
        <f>I118*I120</f>
        <v>-2784.621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192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197</v>
      </c>
      <c r="B126" s="145"/>
      <c r="C126" s="128"/>
      <c r="D126" s="3"/>
      <c r="E126" s="3"/>
      <c r="F126" s="3"/>
      <c r="G126" s="3"/>
      <c r="H126" s="3"/>
      <c r="I126" s="305">
        <f>I122-I124</f>
        <v>-2784.621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301</v>
      </c>
      <c r="B128" s="145"/>
      <c r="C128" s="128"/>
      <c r="D128" s="3"/>
      <c r="E128" s="3"/>
      <c r="F128" s="3"/>
      <c r="G128" s="3"/>
      <c r="H128" s="3"/>
      <c r="I128" s="367">
        <f>I120</f>
        <v>0.1862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534</v>
      </c>
      <c r="B130" s="148"/>
      <c r="C130" s="128"/>
      <c r="D130" s="3"/>
      <c r="E130" s="3"/>
      <c r="F130" s="3"/>
      <c r="G130" s="3"/>
      <c r="H130" s="3"/>
      <c r="I130" s="304">
        <f>I126/(1-I128)</f>
        <v>-3421.751044482674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27">
      <c r="A132" s="190" t="s">
        <v>537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6.25">
      <c r="A134" s="192" t="s">
        <v>358</v>
      </c>
      <c r="B134" s="148"/>
      <c r="C134" s="128"/>
      <c r="D134" s="3"/>
      <c r="E134" s="3"/>
      <c r="F134" s="3"/>
      <c r="G134" s="135"/>
      <c r="H134" s="135" t="s">
        <v>280</v>
      </c>
      <c r="I134" s="357">
        <f>C48</f>
        <v>169330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360</v>
      </c>
      <c r="B136" s="148"/>
      <c r="C136" s="128"/>
      <c r="D136" s="3"/>
      <c r="E136" s="3"/>
      <c r="F136" s="3"/>
      <c r="G136" s="136"/>
      <c r="H136" s="136" t="s">
        <v>354</v>
      </c>
      <c r="I136" s="367">
        <f>'[3]Sheet1'!$F$50</f>
        <v>0.1862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352</v>
      </c>
      <c r="B138" s="148"/>
      <c r="C138" s="128"/>
      <c r="D138" s="3"/>
      <c r="E138" s="3"/>
      <c r="F138" s="3"/>
      <c r="G138" s="135"/>
      <c r="H138" s="135" t="s">
        <v>280</v>
      </c>
      <c r="I138" s="358">
        <f>IF(I134&gt;0,I134*I136,0)</f>
        <v>31529.246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361</v>
      </c>
      <c r="B140" s="148"/>
      <c r="C140" s="128"/>
      <c r="D140" s="3"/>
      <c r="E140" s="3"/>
      <c r="F140" s="3"/>
      <c r="G140" s="135"/>
      <c r="H140" s="135" t="s">
        <v>278</v>
      </c>
      <c r="I140" s="359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353</v>
      </c>
      <c r="B142" s="148"/>
      <c r="C142" s="128"/>
      <c r="D142" s="3"/>
      <c r="E142" s="3"/>
      <c r="F142" s="3"/>
      <c r="G142" s="136"/>
      <c r="H142" s="136" t="s">
        <v>280</v>
      </c>
      <c r="I142" s="357">
        <f>I138-I140</f>
        <v>31529.246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6.25">
      <c r="A144" s="192" t="s">
        <v>362</v>
      </c>
      <c r="B144" s="148"/>
      <c r="C144" s="128"/>
      <c r="D144" s="3"/>
      <c r="E144" s="3"/>
      <c r="F144" s="3"/>
      <c r="G144" s="135"/>
      <c r="H144" s="135" t="s">
        <v>278</v>
      </c>
      <c r="I144" s="357">
        <f>C58</f>
        <v>31529.246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355</v>
      </c>
      <c r="B146" s="148"/>
      <c r="C146" s="128"/>
      <c r="D146" s="3"/>
      <c r="E146" s="3"/>
      <c r="F146" s="3"/>
      <c r="G146" s="135"/>
      <c r="H146" s="135" t="s">
        <v>280</v>
      </c>
      <c r="I146" s="357">
        <f>I142-I144</f>
        <v>0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280</v>
      </c>
      <c r="I149" s="357">
        <f>C64</f>
        <v>2637626</v>
      </c>
      <c r="J149" s="43"/>
      <c r="K149" s="224"/>
      <c r="L149" s="185"/>
    </row>
    <row r="150" spans="1:12" ht="12.75">
      <c r="A150" s="192" t="s">
        <v>543</v>
      </c>
      <c r="B150" s="148"/>
      <c r="C150" s="128"/>
      <c r="D150" s="3"/>
      <c r="E150" s="3"/>
      <c r="F150" s="3"/>
      <c r="G150" s="135"/>
      <c r="H150" s="135" t="s">
        <v>278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356</v>
      </c>
      <c r="B151" s="148"/>
      <c r="C151" s="128"/>
      <c r="D151" s="3"/>
      <c r="E151" s="3"/>
      <c r="F151" s="3"/>
      <c r="G151" s="135"/>
      <c r="H151" s="135" t="s">
        <v>280</v>
      </c>
      <c r="I151" s="357">
        <f>I149-I150</f>
        <v>-2362374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544</v>
      </c>
      <c r="B153" s="148"/>
      <c r="C153" s="128"/>
      <c r="D153" s="3"/>
      <c r="E153" s="3"/>
      <c r="F153" s="3"/>
      <c r="G153" s="136"/>
      <c r="H153" s="136" t="s">
        <v>354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357</v>
      </c>
      <c r="B155" s="148"/>
      <c r="C155" s="128"/>
      <c r="D155" s="3"/>
      <c r="E155" s="3"/>
      <c r="F155" s="3"/>
      <c r="G155" s="136"/>
      <c r="H155" s="136" t="s">
        <v>280</v>
      </c>
      <c r="I155" s="357">
        <f>IF(I151&gt;0,I151*I153,0)</f>
        <v>0</v>
      </c>
      <c r="J155" s="43"/>
      <c r="K155" s="224"/>
      <c r="L155" s="185"/>
    </row>
    <row r="156" spans="1:12" ht="26.25">
      <c r="A156" s="192" t="s">
        <v>452</v>
      </c>
      <c r="B156" s="148"/>
      <c r="C156" s="128"/>
      <c r="D156" s="3"/>
      <c r="E156" s="3"/>
      <c r="F156" s="3"/>
      <c r="G156" s="135"/>
      <c r="H156" s="135" t="s">
        <v>278</v>
      </c>
      <c r="I156" s="360">
        <f>C70</f>
        <v>0</v>
      </c>
      <c r="J156" s="43"/>
      <c r="K156" s="224"/>
      <c r="L156" s="185"/>
    </row>
    <row r="157" spans="1:12" ht="12.75" customHeight="1">
      <c r="A157" s="193" t="s">
        <v>367</v>
      </c>
      <c r="B157" s="148"/>
      <c r="C157" s="128"/>
      <c r="D157" s="3"/>
      <c r="E157" s="3"/>
      <c r="F157" s="3"/>
      <c r="G157" s="135"/>
      <c r="H157" s="135" t="s">
        <v>280</v>
      </c>
      <c r="I157" s="357">
        <f>I155-I156</f>
        <v>0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359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2637626</v>
      </c>
      <c r="J160" s="43"/>
      <c r="K160" s="224"/>
      <c r="L160" s="185"/>
    </row>
    <row r="161" spans="1:12" ht="12.75">
      <c r="A161" s="192" t="s">
        <v>542</v>
      </c>
      <c r="B161" s="148"/>
      <c r="C161" s="128"/>
      <c r="D161" s="3"/>
      <c r="E161" s="3"/>
      <c r="F161" s="3"/>
      <c r="G161" s="135"/>
      <c r="H161" s="135" t="s">
        <v>278</v>
      </c>
      <c r="I161" s="360">
        <f>IF(I160&gt;0,'Tax Rates'!C40,0)</f>
        <v>50000000</v>
      </c>
      <c r="J161" s="43"/>
      <c r="K161" s="224"/>
      <c r="L161" s="185"/>
    </row>
    <row r="162" spans="1:12" ht="12.75">
      <c r="A162" s="192" t="s">
        <v>363</v>
      </c>
      <c r="B162" s="148"/>
      <c r="C162" s="128"/>
      <c r="D162" s="3"/>
      <c r="E162" s="3"/>
      <c r="F162" s="3"/>
      <c r="G162" s="136"/>
      <c r="H162" s="136" t="s">
        <v>280</v>
      </c>
      <c r="I162" s="357">
        <f>I160-I161</f>
        <v>-47362374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453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364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0</v>
      </c>
      <c r="J166" s="43"/>
      <c r="K166" s="224"/>
      <c r="L166" s="185"/>
    </row>
    <row r="167" spans="1:12" ht="12.75">
      <c r="A167" s="192" t="s">
        <v>467</v>
      </c>
      <c r="B167" s="148"/>
      <c r="C167" s="128"/>
      <c r="D167" s="3"/>
      <c r="E167" s="3"/>
      <c r="F167" s="3"/>
      <c r="G167" s="135"/>
      <c r="H167" s="135" t="s">
        <v>278</v>
      </c>
      <c r="I167" s="362">
        <f>IF(I162&gt;0,IF(I142&gt;0,I134*'Tax Rates'!C56,0),0)</f>
        <v>0</v>
      </c>
      <c r="J167" s="43"/>
      <c r="K167" s="224"/>
      <c r="L167" s="185"/>
    </row>
    <row r="168" spans="1:12" ht="12.75">
      <c r="A168" s="192" t="s">
        <v>365</v>
      </c>
      <c r="B168" s="148"/>
      <c r="C168" s="128"/>
      <c r="D168" s="3"/>
      <c r="E168" s="3"/>
      <c r="F168" s="3"/>
      <c r="G168" s="136"/>
      <c r="H168" s="136" t="s">
        <v>280</v>
      </c>
      <c r="I168" s="357">
        <f>I166-I167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510</v>
      </c>
      <c r="B170" s="148"/>
      <c r="C170" s="128"/>
      <c r="D170" s="3"/>
      <c r="E170" s="3"/>
      <c r="F170" s="3"/>
      <c r="G170" s="135"/>
      <c r="H170" s="135" t="s">
        <v>278</v>
      </c>
      <c r="I170" s="360">
        <f>C82</f>
        <v>0</v>
      </c>
      <c r="J170" s="43"/>
      <c r="K170" s="224"/>
      <c r="L170" s="185"/>
    </row>
    <row r="171" spans="1:12" ht="12.75">
      <c r="A171" s="176" t="s">
        <v>368</v>
      </c>
      <c r="B171" s="148"/>
      <c r="C171" s="128"/>
      <c r="D171" s="3"/>
      <c r="E171" s="3"/>
      <c r="F171" s="3"/>
      <c r="G171" s="136"/>
      <c r="H171" s="136" t="s">
        <v>280</v>
      </c>
      <c r="I171" s="357">
        <f>I168-I170</f>
        <v>0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507</v>
      </c>
      <c r="B173" s="148"/>
      <c r="C173" s="128"/>
      <c r="D173" s="3"/>
      <c r="E173" s="3"/>
      <c r="F173" s="3"/>
      <c r="G173" s="136"/>
      <c r="H173" s="136"/>
      <c r="I173" s="367">
        <f>I120</f>
        <v>0.1862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366</v>
      </c>
      <c r="B175" s="148"/>
      <c r="C175" s="128"/>
      <c r="D175" s="3"/>
      <c r="E175" s="3"/>
      <c r="F175" s="3"/>
      <c r="G175" s="136"/>
      <c r="H175" s="136" t="s">
        <v>277</v>
      </c>
      <c r="I175" s="357">
        <f>I146/(1-I173)</f>
        <v>0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277</v>
      </c>
      <c r="I176" s="357">
        <f>I171/(1-I173)</f>
        <v>0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277</v>
      </c>
      <c r="I177" s="357">
        <f>I157</f>
        <v>0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535</v>
      </c>
      <c r="B179" s="148"/>
      <c r="C179" s="128"/>
      <c r="D179" s="3"/>
      <c r="E179" s="3"/>
      <c r="F179" s="3"/>
      <c r="G179" s="136"/>
      <c r="H179" s="136" t="s">
        <v>280</v>
      </c>
      <c r="I179" s="357">
        <f>SUM(I175:I177)</f>
        <v>0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508</v>
      </c>
      <c r="B181" s="148"/>
      <c r="C181" s="128"/>
      <c r="D181" s="3"/>
      <c r="E181" s="3"/>
      <c r="F181" s="3"/>
      <c r="G181" s="136"/>
      <c r="H181" s="136" t="s">
        <v>277</v>
      </c>
      <c r="I181" s="357">
        <f>I130</f>
        <v>-3421.751044482674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3.5">
      <c r="A183" s="194" t="s">
        <v>536</v>
      </c>
      <c r="B183" s="148"/>
      <c r="C183" s="128"/>
      <c r="D183" s="3"/>
      <c r="E183" s="3"/>
      <c r="F183" s="3"/>
      <c r="G183" s="136"/>
      <c r="H183" s="136" t="s">
        <v>280</v>
      </c>
      <c r="I183" s="357">
        <f>I179+I181</f>
        <v>-3421.751044482674</v>
      </c>
      <c r="J183" s="43"/>
      <c r="K183" s="224"/>
      <c r="L183" s="185"/>
    </row>
    <row r="184" spans="1:12" ht="12.75">
      <c r="A184" s="183" t="s">
        <v>371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343</v>
      </c>
      <c r="B191" s="145"/>
      <c r="C191" s="128"/>
      <c r="D191" s="118"/>
      <c r="E191" s="118"/>
      <c r="F191" s="118"/>
      <c r="G191" s="137"/>
      <c r="H191" s="137"/>
      <c r="I191" s="363">
        <f>REGINFO!D61</f>
        <v>0</v>
      </c>
      <c r="J191" s="3"/>
      <c r="K191" s="140"/>
      <c r="L191" s="185"/>
    </row>
    <row r="192" spans="1:12" ht="12.75">
      <c r="A192" s="176" t="s">
        <v>374</v>
      </c>
      <c r="B192" s="145"/>
      <c r="C192" s="128"/>
      <c r="D192" s="118"/>
      <c r="E192" s="118"/>
      <c r="F192" s="118"/>
      <c r="G192" s="137"/>
      <c r="H192" s="137"/>
      <c r="I192" s="363">
        <f>C36</f>
        <v>95614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504</v>
      </c>
      <c r="B194" s="145"/>
      <c r="C194" s="128"/>
      <c r="D194" s="118"/>
      <c r="E194" s="118"/>
      <c r="F194" s="118"/>
      <c r="G194" s="137"/>
      <c r="H194" s="137"/>
      <c r="I194" s="363">
        <f>I191-I192</f>
        <v>-95614</v>
      </c>
      <c r="J194" s="3"/>
      <c r="K194" s="140"/>
      <c r="L194" s="185"/>
    </row>
    <row r="195" spans="1:12" ht="12.75">
      <c r="A195" s="176" t="s">
        <v>505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382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375</v>
      </c>
      <c r="B199" s="145"/>
      <c r="C199" s="128"/>
      <c r="D199" s="118"/>
      <c r="E199" s="118"/>
      <c r="F199" s="118"/>
      <c r="G199" s="137"/>
      <c r="H199" s="137"/>
      <c r="I199" s="363">
        <f>K36+K41</f>
        <v>0</v>
      </c>
      <c r="J199" s="3"/>
      <c r="K199" s="140"/>
      <c r="L199" s="185"/>
    </row>
    <row r="200" spans="1:12" ht="12.75">
      <c r="A200" s="176" t="s">
        <v>506</v>
      </c>
      <c r="B200" s="145"/>
      <c r="C200" s="128"/>
      <c r="D200" s="118"/>
      <c r="E200" s="118"/>
      <c r="F200" s="118"/>
      <c r="G200" s="137"/>
      <c r="H200" s="137"/>
      <c r="I200" s="363">
        <f>REGINFO!D61</f>
        <v>0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468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344</v>
      </c>
      <c r="B206" s="199"/>
      <c r="C206" s="200"/>
      <c r="D206" s="201"/>
      <c r="E206" s="201"/>
      <c r="F206" s="201"/>
      <c r="G206" s="202"/>
      <c r="H206" s="202"/>
      <c r="I206" s="364">
        <f>+I194-I202</f>
        <v>-95614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West Perth Power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595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596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14">
        <f>REGINFO!B6</f>
        <v>366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9">
        <f>Ratebase*REGINFO!D33*0.25%</f>
        <v>3297.0325000000003</v>
      </c>
      <c r="D13" s="94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593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594</v>
      </c>
      <c r="D15" s="31"/>
      <c r="E15" s="31"/>
      <c r="F15" s="26"/>
      <c r="G15" s="3"/>
      <c r="H15" s="3"/>
      <c r="I15" s="3"/>
    </row>
    <row r="16" spans="1:9" ht="12.75">
      <c r="A16" s="354" t="s">
        <v>351</v>
      </c>
      <c r="B16" s="26" t="s">
        <v>136</v>
      </c>
      <c r="C16" s="8" t="s">
        <v>594</v>
      </c>
      <c r="D16" s="31"/>
      <c r="E16" s="31"/>
      <c r="F16" s="26"/>
      <c r="G16" s="3"/>
      <c r="H16" s="3"/>
      <c r="I16" s="3"/>
    </row>
    <row r="17" spans="1:6" ht="12.75">
      <c r="A17" s="2" t="s">
        <v>415</v>
      </c>
      <c r="B17" s="26" t="s">
        <v>136</v>
      </c>
      <c r="C17" s="8" t="s">
        <v>594</v>
      </c>
      <c r="E17" s="32"/>
      <c r="F17" s="8"/>
    </row>
    <row r="18" spans="1:6" ht="12.75">
      <c r="A18" s="61" t="s">
        <v>383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478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384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342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476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477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404</v>
      </c>
      <c r="B31" s="29" t="s">
        <v>277</v>
      </c>
      <c r="C31" s="327"/>
      <c r="D31" s="328"/>
      <c r="E31" s="326">
        <f>C31-D31</f>
        <v>0</v>
      </c>
      <c r="F31" s="11"/>
      <c r="G31" s="11"/>
      <c r="H31" s="6"/>
      <c r="I31" s="6"/>
    </row>
    <row r="32" spans="1:9" ht="12.75">
      <c r="A32" s="4" t="s">
        <v>341</v>
      </c>
      <c r="B32" s="29" t="s">
        <v>277</v>
      </c>
      <c r="C32" s="327"/>
      <c r="D32" s="328"/>
      <c r="E32" s="326">
        <f>C32-D32</f>
        <v>0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7"/>
      <c r="D33" s="328"/>
      <c r="E33" s="326">
        <f>C33-D33</f>
        <v>0</v>
      </c>
      <c r="F33" s="11"/>
      <c r="G33" s="11"/>
      <c r="H33" s="6"/>
      <c r="I33" s="6"/>
    </row>
    <row r="34" spans="1:9" ht="12.75">
      <c r="A34" s="4" t="s">
        <v>345</v>
      </c>
      <c r="B34" s="29" t="s">
        <v>277</v>
      </c>
      <c r="C34" s="327"/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267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416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7"/>
      <c r="D39" s="328"/>
      <c r="E39" s="326">
        <f>C39-D39</f>
        <v>0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7"/>
      <c r="D40" s="328"/>
      <c r="E40" s="326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405</v>
      </c>
      <c r="B41" s="29" t="s">
        <v>278</v>
      </c>
      <c r="C41" s="327"/>
      <c r="D41" s="328"/>
      <c r="E41" s="326">
        <f t="shared" si="0"/>
        <v>0</v>
      </c>
      <c r="F41" s="11"/>
      <c r="G41" s="11"/>
      <c r="H41" s="6"/>
      <c r="I41" s="6"/>
    </row>
    <row r="42" spans="1:9" ht="12.75">
      <c r="A42" s="4" t="s">
        <v>406</v>
      </c>
      <c r="B42" s="29" t="s">
        <v>278</v>
      </c>
      <c r="C42" s="327"/>
      <c r="D42" s="328"/>
      <c r="E42" s="326">
        <f t="shared" si="0"/>
        <v>0</v>
      </c>
      <c r="F42" s="11"/>
      <c r="G42" s="11"/>
      <c r="H42" s="6"/>
      <c r="I42" s="6"/>
    </row>
    <row r="43" spans="1:9" ht="12.75">
      <c r="A43" s="4" t="s">
        <v>407</v>
      </c>
      <c r="B43" s="29" t="s">
        <v>278</v>
      </c>
      <c r="C43" s="327"/>
      <c r="D43" s="328"/>
      <c r="E43" s="326">
        <f t="shared" si="0"/>
        <v>0</v>
      </c>
      <c r="F43" s="11"/>
      <c r="G43" s="11"/>
      <c r="H43" s="6"/>
      <c r="I43" s="6"/>
    </row>
    <row r="44" spans="1:9" ht="12.75">
      <c r="A44" s="4" t="s">
        <v>408</v>
      </c>
      <c r="B44" s="29" t="s">
        <v>278</v>
      </c>
      <c r="C44" s="327"/>
      <c r="D44" s="328"/>
      <c r="E44" s="326">
        <f t="shared" si="0"/>
        <v>0</v>
      </c>
      <c r="F44" s="11"/>
      <c r="G44" s="11"/>
      <c r="H44" s="6"/>
      <c r="I44" s="6"/>
    </row>
    <row r="45" spans="1:11" ht="12.75">
      <c r="A45" s="4" t="s">
        <v>598</v>
      </c>
      <c r="B45" s="29" t="s">
        <v>278</v>
      </c>
      <c r="C45" s="327"/>
      <c r="D45" s="328"/>
      <c r="E45" s="326">
        <f t="shared" si="0"/>
        <v>0</v>
      </c>
      <c r="F45" s="11"/>
      <c r="G45" s="11"/>
      <c r="H45" s="39"/>
      <c r="I45" s="39"/>
      <c r="J45" s="38"/>
      <c r="K45" s="38"/>
    </row>
    <row r="46" spans="1:11" ht="12.75">
      <c r="A46" s="4" t="s">
        <v>599</v>
      </c>
      <c r="B46" s="29" t="s">
        <v>278</v>
      </c>
      <c r="C46" s="327"/>
      <c r="D46" s="328"/>
      <c r="E46" s="326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278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3">
        <f>SUM(C31:C36)-SUM(C39:C49)</f>
        <v>0</v>
      </c>
      <c r="D50" s="323">
        <f>SUM(D31:D36)-SUM(D39:D49)</f>
        <v>0</v>
      </c>
      <c r="E50" s="323">
        <f>SUM(E31:E35)-SUM(E39:E48)</f>
        <v>0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7"/>
      <c r="D51" s="327"/>
      <c r="E51" s="324">
        <f>+C51-D51</f>
        <v>0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7"/>
      <c r="D52" s="327"/>
      <c r="E52" s="325">
        <f>+C52-D52</f>
        <v>0</v>
      </c>
      <c r="F52" s="8"/>
    </row>
    <row r="53" spans="1:6" ht="12.75">
      <c r="A53" s="2" t="s">
        <v>214</v>
      </c>
      <c r="B53" s="8" t="s">
        <v>280</v>
      </c>
      <c r="C53" s="323">
        <f>C50-C51-C52</f>
        <v>0</v>
      </c>
      <c r="D53" s="323">
        <f>D50-D51-D52</f>
        <v>0</v>
      </c>
      <c r="E53" s="323">
        <f>E50-E51-E52</f>
        <v>0</v>
      </c>
      <c r="F53" s="8"/>
    </row>
    <row r="54" spans="1:6" ht="22.5">
      <c r="A54" s="98" t="s">
        <v>331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29">
        <f>C52</f>
        <v>0</v>
      </c>
      <c r="D59" s="329">
        <f>D52</f>
        <v>0</v>
      </c>
      <c r="E59" s="313">
        <f>+C59-D59</f>
        <v>0</v>
      </c>
      <c r="F59" s="8"/>
    </row>
    <row r="60" spans="1:6" ht="12.75">
      <c r="A60" s="4" t="s">
        <v>479</v>
      </c>
      <c r="B60" s="8" t="s">
        <v>277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277</v>
      </c>
      <c r="C61" s="329">
        <f>C43</f>
        <v>0</v>
      </c>
      <c r="D61" s="329">
        <f>D43</f>
        <v>0</v>
      </c>
      <c r="E61" s="313">
        <f>+C61-D61</f>
        <v>0</v>
      </c>
      <c r="F61" s="8"/>
    </row>
    <row r="62" spans="1:6" ht="12.75">
      <c r="A62" t="s">
        <v>16</v>
      </c>
      <c r="B62" s="8" t="s">
        <v>277</v>
      </c>
      <c r="C62" s="373"/>
      <c r="D62" s="329">
        <v>0</v>
      </c>
      <c r="E62" s="313">
        <f>+C62-D62</f>
        <v>0</v>
      </c>
      <c r="F62" s="8"/>
    </row>
    <row r="63" spans="1:6" ht="12.75">
      <c r="A63" s="37" t="s">
        <v>409</v>
      </c>
      <c r="B63" s="8" t="s">
        <v>277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277</v>
      </c>
      <c r="C64" s="371">
        <f>'Tax Reserves'!C63</f>
        <v>0</v>
      </c>
      <c r="D64" s="372">
        <f>'Tax Reserves'!D63</f>
        <v>0</v>
      </c>
      <c r="E64" s="313">
        <f>+C64-D64</f>
        <v>0</v>
      </c>
      <c r="F64" s="8"/>
    </row>
    <row r="65" spans="1:6" ht="12.75">
      <c r="A65" t="s">
        <v>386</v>
      </c>
      <c r="B65" s="8" t="s">
        <v>277</v>
      </c>
      <c r="C65" s="328"/>
      <c r="D65" s="328"/>
      <c r="E65" s="313">
        <f>+C65-D65</f>
        <v>0</v>
      </c>
      <c r="F65" s="8"/>
    </row>
    <row r="66" spans="1:6" ht="12.75">
      <c r="A66" t="s">
        <v>246</v>
      </c>
      <c r="B66" s="8" t="s">
        <v>277</v>
      </c>
      <c r="C66" s="291">
        <f>'TAXREC 2'!C95</f>
        <v>0</v>
      </c>
      <c r="D66" s="291">
        <f>'TAXREC 2'!D95</f>
        <v>0</v>
      </c>
      <c r="E66" s="313">
        <f>+C66-D66</f>
        <v>0</v>
      </c>
      <c r="F66" s="8"/>
    </row>
    <row r="67" spans="1:11" ht="12.75">
      <c r="A67" t="s">
        <v>247</v>
      </c>
      <c r="B67" s="8" t="s">
        <v>277</v>
      </c>
      <c r="C67" s="291">
        <f>'TAXREC 2'!C96</f>
        <v>0</v>
      </c>
      <c r="D67" s="291">
        <f>'TAXREC 2'!D96</f>
        <v>0</v>
      </c>
      <c r="E67" s="313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0</v>
      </c>
      <c r="D69" s="313">
        <f>SUM(D59:D67)</f>
        <v>0</v>
      </c>
      <c r="E69" s="313">
        <f>SUM(E59:E67)</f>
        <v>0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234</v>
      </c>
      <c r="B73" s="8" t="s">
        <v>277</v>
      </c>
      <c r="C73" s="338"/>
      <c r="D73" s="338"/>
      <c r="E73" s="313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277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277</v>
      </c>
      <c r="C75" s="338"/>
      <c r="D75" s="338"/>
      <c r="E75" s="31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277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277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277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280</v>
      </c>
      <c r="C79" s="291">
        <f>SUM(C72:C78)</f>
        <v>0</v>
      </c>
      <c r="D79" s="291">
        <f>SUM(D72:D78)</f>
        <v>0</v>
      </c>
      <c r="E79" s="291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280</v>
      </c>
      <c r="C81" s="291">
        <f>C69+C79</f>
        <v>0</v>
      </c>
      <c r="D81" s="291">
        <f>D69+D79</f>
        <v>0</v>
      </c>
      <c r="E81" s="291">
        <f>E69+E79</f>
        <v>0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 </v>
      </c>
      <c r="B87" s="314"/>
      <c r="C87" s="332">
        <f t="shared" si="3"/>
        <v>0</v>
      </c>
      <c r="D87" s="332">
        <f t="shared" si="3"/>
        <v>0</v>
      </c>
      <c r="E87" s="33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237</v>
      </c>
      <c r="B91" s="314"/>
      <c r="C91" s="321">
        <f>SUM(C84:C90)</f>
        <v>0</v>
      </c>
      <c r="D91" s="321">
        <f>SUM(D84:D90)</f>
        <v>0</v>
      </c>
      <c r="E91" s="321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4" t="s">
        <v>302</v>
      </c>
      <c r="B92" s="314"/>
      <c r="C92" s="291">
        <f>C79-C91</f>
        <v>0</v>
      </c>
      <c r="D92" s="291">
        <f>D79-D91</f>
        <v>0</v>
      </c>
      <c r="E92" s="291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4" t="s">
        <v>303</v>
      </c>
      <c r="B93" s="314"/>
      <c r="C93" s="291">
        <f>C91+C92</f>
        <v>0</v>
      </c>
      <c r="D93" s="291">
        <f>D91+D92</f>
        <v>0</v>
      </c>
      <c r="E93" s="291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8"/>
      <c r="D96" s="338"/>
      <c r="E96" s="313">
        <f>+C96-D96</f>
        <v>0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8"/>
      <c r="D97" s="338"/>
      <c r="E97" s="313">
        <f>+C97-D97</f>
        <v>0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390</v>
      </c>
      <c r="B103" s="8" t="s">
        <v>278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410</v>
      </c>
      <c r="B104" s="8" t="s">
        <v>278</v>
      </c>
      <c r="C104" s="374">
        <f>'Tax Reserves'!C50</f>
        <v>0</v>
      </c>
      <c r="D104" s="374">
        <f>'Tax Reserves'!D50</f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1"/>
      <c r="D108" s="291">
        <f>'TAXREC 2'!D146</f>
        <v>0</v>
      </c>
      <c r="E108" s="291">
        <f>'TAXREC 2'!E146</f>
        <v>14955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250</v>
      </c>
      <c r="B111" s="8" t="s">
        <v>280</v>
      </c>
      <c r="C111" s="291">
        <f>SUM(C96:C109)</f>
        <v>0</v>
      </c>
      <c r="D111" s="291">
        <f>SUM(D96:D109)</f>
        <v>0</v>
      </c>
      <c r="E111" s="291">
        <f>SUM(E96:E109)</f>
        <v>14955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/>
      <c r="B114" s="8" t="s">
        <v>278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/>
      <c r="B115" s="8" t="s">
        <v>278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/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278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280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280</v>
      </c>
      <c r="C120" s="291">
        <f>C111+C118</f>
        <v>0</v>
      </c>
      <c r="D120" s="291">
        <f>D111+D118</f>
        <v>0</v>
      </c>
      <c r="E120" s="291">
        <f>+E111+E118</f>
        <v>14955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305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306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304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1">
        <f>+C53+C81-C120</f>
        <v>0</v>
      </c>
      <c r="D132" s="291">
        <f>D53+D81-D120</f>
        <v>0</v>
      </c>
      <c r="E132" s="291">
        <f>E53+E81-E120</f>
        <v>-14955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575</v>
      </c>
      <c r="B134" s="8" t="s">
        <v>278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576</v>
      </c>
      <c r="B135" s="8" t="s">
        <v>278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2">
        <f>C132-C134-C135-C136</f>
        <v>0</v>
      </c>
      <c r="D137" s="292">
        <f>D132-D134-D135-D136</f>
        <v>0</v>
      </c>
      <c r="E137" s="292">
        <f>E132-E134-E135-E136</f>
        <v>-14955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442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475</v>
      </c>
      <c r="B140" s="8" t="s">
        <v>277</v>
      </c>
      <c r="C140" s="349"/>
      <c r="D140" s="349"/>
      <c r="E140" s="292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474</v>
      </c>
      <c r="B141" s="8" t="s">
        <v>277</v>
      </c>
      <c r="C141" s="349"/>
      <c r="D141" s="349"/>
      <c r="E141" s="334">
        <f>C141-D141</f>
        <v>0</v>
      </c>
      <c r="F141" s="8"/>
      <c r="G141" s="39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2">
        <f>C140+C141</f>
        <v>0</v>
      </c>
      <c r="D142" s="292">
        <f>D140+D141</f>
        <v>0</v>
      </c>
      <c r="E142" s="292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491</v>
      </c>
      <c r="B143" s="8" t="s">
        <v>278</v>
      </c>
      <c r="C143" s="349">
        <v>0</v>
      </c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280</v>
      </c>
      <c r="C144" s="292">
        <f>C142-C143</f>
        <v>0</v>
      </c>
      <c r="D144" s="292">
        <f>D142-D143</f>
        <v>0</v>
      </c>
      <c r="E144" s="292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442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482</v>
      </c>
      <c r="B147" s="8"/>
      <c r="C147" s="474" t="e">
        <f>+C140/C137</f>
        <v>#DIV/0!</v>
      </c>
      <c r="D147" s="5"/>
      <c r="E147" s="475" t="e">
        <f>C147</f>
        <v>#DIV/0!</v>
      </c>
      <c r="F147" s="8"/>
      <c r="G147" s="51"/>
      <c r="H147" s="51"/>
      <c r="I147" s="51"/>
      <c r="J147" s="51"/>
      <c r="K147" s="51"/>
    </row>
    <row r="148" spans="1:11" ht="12.75">
      <c r="A148" s="52" t="s">
        <v>483</v>
      </c>
      <c r="B148" s="8"/>
      <c r="C148" s="474" t="e">
        <f>+C141/C137</f>
        <v>#DIV/0!</v>
      </c>
      <c r="D148" s="5"/>
      <c r="E148" s="475" t="e">
        <f>C148</f>
        <v>#DIV/0!</v>
      </c>
      <c r="F148" s="8"/>
      <c r="G148" s="51"/>
      <c r="H148" s="51"/>
      <c r="I148" s="51"/>
      <c r="J148" s="51"/>
      <c r="K148" s="51"/>
    </row>
    <row r="149" spans="1:11" ht="12.75">
      <c r="A149" t="s">
        <v>484</v>
      </c>
      <c r="B149" s="8"/>
      <c r="C149" s="475" t="e">
        <f>SUM(C147:C148)</f>
        <v>#DIV/0!</v>
      </c>
      <c r="D149" s="5"/>
      <c r="E149" s="475" t="e">
        <f>SUM(E147:E148)</f>
        <v>#DIV/0!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540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339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340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277</v>
      </c>
      <c r="C157" s="338"/>
      <c r="D157" s="338"/>
      <c r="E157" s="313">
        <f>C157-D157</f>
        <v>0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283</v>
      </c>
      <c r="C158" s="338"/>
      <c r="D158" s="338"/>
      <c r="E158" s="313">
        <f aca="true" t="shared" si="7" ref="E158:E170">C158-D158</f>
        <v>0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277</v>
      </c>
      <c r="C159" s="338"/>
      <c r="D159" s="338"/>
      <c r="E159" s="313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277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277</v>
      </c>
      <c r="C161" s="338"/>
      <c r="D161" s="338"/>
      <c r="E161" s="313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277</v>
      </c>
      <c r="C162" s="338"/>
      <c r="D162" s="338"/>
      <c r="E162" s="31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277</v>
      </c>
      <c r="C163" s="338"/>
      <c r="D163" s="338"/>
      <c r="E163" s="313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277</v>
      </c>
      <c r="C164" s="338"/>
      <c r="D164" s="338"/>
      <c r="E164" s="31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385</v>
      </c>
      <c r="B165" s="75" t="s">
        <v>277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277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277</v>
      </c>
      <c r="C167" s="338"/>
      <c r="D167" s="338"/>
      <c r="E167" s="313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5" t="s">
        <v>277</v>
      </c>
      <c r="C168" s="338"/>
      <c r="D168" s="338"/>
      <c r="E168" s="31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277</v>
      </c>
      <c r="C169" s="338"/>
      <c r="D169" s="338"/>
      <c r="E169" s="313">
        <f t="shared" si="7"/>
        <v>0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5" t="s">
        <v>277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280</v>
      </c>
      <c r="C171" s="291">
        <f>SUM(C157:C170)</f>
        <v>0</v>
      </c>
      <c r="D171" s="291">
        <f>SUM(D157:D170)</f>
        <v>0</v>
      </c>
      <c r="E171" s="291">
        <f>SUM(E157:E170)</f>
        <v>0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6.25">
      <c r="A173" s="74" t="s">
        <v>285</v>
      </c>
      <c r="B173" s="75" t="s">
        <v>278</v>
      </c>
      <c r="C173" s="339"/>
      <c r="D173" s="339"/>
      <c r="E173" s="336">
        <f>C173-D173</f>
        <v>0</v>
      </c>
      <c r="F173" s="8"/>
    </row>
    <row r="174" spans="1:6" ht="26.25">
      <c r="A174" s="91" t="s">
        <v>273</v>
      </c>
      <c r="B174" s="75" t="s">
        <v>278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280</v>
      </c>
      <c r="C175" s="337">
        <f>C171-C173-C174</f>
        <v>0</v>
      </c>
      <c r="D175" s="337">
        <f>D171-D173-D174</f>
        <v>0</v>
      </c>
      <c r="E175" s="291">
        <f>E171-E173-E174</f>
        <v>0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277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277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277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277</v>
      </c>
      <c r="C182" s="338"/>
      <c r="D182" s="338"/>
      <c r="E182" s="313">
        <f t="shared" si="8"/>
        <v>0</v>
      </c>
      <c r="F182" s="8"/>
    </row>
    <row r="183" spans="1:6" ht="12.75">
      <c r="A183" t="s">
        <v>281</v>
      </c>
      <c r="B183" s="75" t="s">
        <v>277</v>
      </c>
      <c r="C183" s="338"/>
      <c r="D183" s="338"/>
      <c r="E183" s="313">
        <f t="shared" si="8"/>
        <v>0</v>
      </c>
      <c r="F183" s="8"/>
    </row>
    <row r="184" spans="1:6" ht="12.75">
      <c r="A184" t="s">
        <v>287</v>
      </c>
      <c r="B184" s="75" t="s">
        <v>277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280</v>
      </c>
      <c r="C186" s="291">
        <f>SUM(C179:C184)</f>
        <v>0</v>
      </c>
      <c r="D186" s="291">
        <f>SUM(D179:D185)</f>
        <v>0</v>
      </c>
      <c r="E186" s="291">
        <f>SUM(E179:E184)</f>
        <v>0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277</v>
      </c>
      <c r="C191" s="338"/>
      <c r="D191" s="338"/>
      <c r="E191" s="313">
        <f>C191-D191</f>
        <v>0</v>
      </c>
      <c r="F191" s="8"/>
    </row>
    <row r="192" spans="1:6" ht="12.75">
      <c r="A192" t="s">
        <v>274</v>
      </c>
      <c r="B192" s="75" t="s">
        <v>277</v>
      </c>
      <c r="C192" s="338"/>
      <c r="D192" s="338"/>
      <c r="E192" s="313">
        <f>C192-D192</f>
        <v>0</v>
      </c>
      <c r="F192" s="8"/>
    </row>
    <row r="193" spans="1:7" ht="12.75">
      <c r="A193" t="s">
        <v>275</v>
      </c>
      <c r="B193" s="75" t="s">
        <v>277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276</v>
      </c>
      <c r="B194" s="75" t="s">
        <v>278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280</v>
      </c>
      <c r="C196" s="291">
        <f>C191+C192+C193-C194</f>
        <v>0</v>
      </c>
      <c r="D196" s="291">
        <f>D191+D192+D193-D194</f>
        <v>0</v>
      </c>
      <c r="E196" s="291">
        <f>E191+E192+E193-E194</f>
        <v>0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5" t="s">
        <v>277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277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6.25">
      <c r="A202" s="74" t="s">
        <v>285</v>
      </c>
      <c r="B202" s="77" t="s">
        <v>278</v>
      </c>
      <c r="C202" s="339"/>
      <c r="D202" s="339"/>
      <c r="E202" s="336">
        <f t="shared" si="9"/>
        <v>0</v>
      </c>
      <c r="F202" s="8"/>
    </row>
    <row r="203" spans="1:6" ht="26.25">
      <c r="A203" s="74" t="s">
        <v>284</v>
      </c>
      <c r="B203" s="75" t="s">
        <v>278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278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283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280</v>
      </c>
      <c r="C207" s="337">
        <f>C196+C199+C200-C202-C203-C204+C205</f>
        <v>0</v>
      </c>
      <c r="D207" s="337">
        <f>D196+D199+D200-D202-D203-D204+D205</f>
        <v>0</v>
      </c>
      <c r="E207" s="291">
        <f>E196+E199+E200-E202-E203-E204+E205</f>
        <v>0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0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0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277</v>
      </c>
      <c r="C214" s="321">
        <f>+C175</f>
        <v>0</v>
      </c>
      <c r="D214" s="321">
        <f>+D175</f>
        <v>0</v>
      </c>
      <c r="E214" s="325">
        <f>+C214-D214</f>
        <v>0</v>
      </c>
      <c r="F214" s="8"/>
    </row>
    <row r="215" spans="1:6" ht="12.75">
      <c r="A215" s="4" t="s">
        <v>88</v>
      </c>
      <c r="B215" s="75" t="s">
        <v>278</v>
      </c>
      <c r="C215" s="291">
        <f>C210</f>
        <v>0</v>
      </c>
      <c r="D215" s="291">
        <f>D210</f>
        <v>0</v>
      </c>
      <c r="E215" s="291">
        <f>C215-D215</f>
        <v>0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280</v>
      </c>
      <c r="C217" s="291">
        <f>IF(C214&gt;C215,C214-C215,0)</f>
        <v>0</v>
      </c>
      <c r="D217" s="291">
        <f>IF(D214&gt;D215,D214-D215,0)</f>
        <v>0</v>
      </c>
      <c r="E217" s="291">
        <f>IF(E214&gt;E215,E214-E215,0)</f>
        <v>0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447</v>
      </c>
      <c r="B220" s="8"/>
      <c r="C220" s="294">
        <v>0</v>
      </c>
      <c r="D220" s="294">
        <v>0</v>
      </c>
      <c r="E220" s="313">
        <f>+C220-D220</f>
        <v>0</v>
      </c>
      <c r="F220" s="8"/>
    </row>
    <row r="221" spans="1:6" ht="12.75">
      <c r="A221" s="2" t="s">
        <v>486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f>C217-C220</f>
        <v>0</v>
      </c>
      <c r="D222" s="291">
        <f>D217-D220</f>
        <v>0</v>
      </c>
      <c r="E222" s="291">
        <f>E217-E220</f>
        <v>0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471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366</v>
      </c>
      <c r="D226" s="292">
        <f>C226</f>
        <v>366</v>
      </c>
      <c r="E226" s="292">
        <f>C226</f>
        <v>366</v>
      </c>
      <c r="F226" s="8"/>
    </row>
    <row r="227" spans="1:6" ht="12.75">
      <c r="A227" s="4" t="s">
        <v>539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485</v>
      </c>
      <c r="B229" s="8"/>
      <c r="C229" s="291">
        <f>+C222*C224*C227</f>
        <v>0</v>
      </c>
      <c r="D229" s="291">
        <f>+D222*D224*D227</f>
        <v>0</v>
      </c>
      <c r="E229" s="291">
        <f>+E222*E224*E227</f>
        <v>0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538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337</v>
      </c>
      <c r="B233" s="8"/>
      <c r="C233" s="5"/>
      <c r="D233" s="5"/>
      <c r="E233" s="5"/>
      <c r="F233" s="8"/>
    </row>
    <row r="234" spans="1:6" ht="12.75">
      <c r="A234" s="101" t="s">
        <v>338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6.25">
      <c r="A237" s="74" t="s">
        <v>288</v>
      </c>
      <c r="B237" s="77" t="s">
        <v>277</v>
      </c>
      <c r="C237" s="342"/>
      <c r="D237" s="342"/>
      <c r="E237" s="336">
        <f>+C237-D237</f>
        <v>0</v>
      </c>
      <c r="F237" s="8"/>
    </row>
    <row r="238" spans="1:6" ht="12.75">
      <c r="A238" s="74" t="s">
        <v>94</v>
      </c>
      <c r="B238" s="77" t="s">
        <v>277</v>
      </c>
      <c r="C238" s="346"/>
      <c r="D238" s="346"/>
      <c r="E238" s="313">
        <f aca="true" t="shared" si="10" ref="E238:E246">+C238-D238</f>
        <v>0</v>
      </c>
      <c r="F238" s="8"/>
    </row>
    <row r="239" spans="1:6" ht="12.75">
      <c r="A239" s="74" t="s">
        <v>95</v>
      </c>
      <c r="B239" s="77" t="s">
        <v>277</v>
      </c>
      <c r="C239" s="343"/>
      <c r="D239" s="343"/>
      <c r="E239" s="313">
        <f t="shared" si="10"/>
        <v>0</v>
      </c>
      <c r="F239" s="8"/>
    </row>
    <row r="240" spans="1:6" ht="12.75">
      <c r="A240" s="74" t="s">
        <v>96</v>
      </c>
      <c r="B240" s="77" t="s">
        <v>277</v>
      </c>
      <c r="C240" s="344"/>
      <c r="D240" s="344"/>
      <c r="E240" s="313">
        <f t="shared" si="10"/>
        <v>0</v>
      </c>
      <c r="F240" s="8"/>
    </row>
    <row r="241" spans="1:6" ht="12.75">
      <c r="A241" s="74" t="s">
        <v>97</v>
      </c>
      <c r="B241" s="77" t="s">
        <v>277</v>
      </c>
      <c r="C241" s="344"/>
      <c r="D241" s="344"/>
      <c r="E241" s="313">
        <f t="shared" si="10"/>
        <v>0</v>
      </c>
      <c r="F241" s="8"/>
    </row>
    <row r="242" spans="1:6" ht="12.75">
      <c r="A242" s="74" t="s">
        <v>98</v>
      </c>
      <c r="B242" s="77" t="s">
        <v>277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277</v>
      </c>
      <c r="C243" s="344"/>
      <c r="D243" s="344"/>
      <c r="E243" s="313">
        <f t="shared" si="10"/>
        <v>0</v>
      </c>
      <c r="F243" s="8"/>
    </row>
    <row r="244" spans="1:6" ht="26.25">
      <c r="A244" s="74" t="s">
        <v>291</v>
      </c>
      <c r="B244" s="77" t="s">
        <v>277</v>
      </c>
      <c r="C244" s="342"/>
      <c r="D244" s="342"/>
      <c r="E244" s="336">
        <f t="shared" si="10"/>
        <v>0</v>
      </c>
      <c r="F244" s="8"/>
    </row>
    <row r="245" spans="1:6" ht="12.75">
      <c r="A245" s="74" t="s">
        <v>100</v>
      </c>
      <c r="B245" s="77" t="s">
        <v>277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292</v>
      </c>
      <c r="B246" s="77" t="s">
        <v>277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1">
        <f>SUM(C237:C247)</f>
        <v>0</v>
      </c>
      <c r="D248" s="291">
        <f>SUM(D237:D247)</f>
        <v>0</v>
      </c>
      <c r="E248" s="291">
        <f>SUM(E237:E247)</f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278</v>
      </c>
      <c r="C251" s="338"/>
      <c r="D251" s="338"/>
      <c r="E251" s="313">
        <f>+C251-D251</f>
        <v>0</v>
      </c>
      <c r="F251" s="8"/>
    </row>
    <row r="252" spans="1:6" ht="12.75">
      <c r="A252" t="s">
        <v>289</v>
      </c>
      <c r="B252" s="75" t="s">
        <v>278</v>
      </c>
      <c r="C252" s="338"/>
      <c r="D252" s="338"/>
      <c r="E252" s="313">
        <f>+C252-D252</f>
        <v>0</v>
      </c>
      <c r="F252" s="8"/>
    </row>
    <row r="253" spans="1:6" ht="26.25">
      <c r="A253" s="76" t="s">
        <v>290</v>
      </c>
      <c r="B253" s="75" t="s">
        <v>278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278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280</v>
      </c>
      <c r="C256" s="291">
        <f>SUM(C251:C255)</f>
        <v>0</v>
      </c>
      <c r="D256" s="291">
        <f>SUM(D251:D255)</f>
        <v>0</v>
      </c>
      <c r="E256" s="291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0</v>
      </c>
      <c r="D258" s="291">
        <f>+D248-D256</f>
        <v>0</v>
      </c>
      <c r="E258" s="291">
        <f>+E248-E256</f>
        <v>0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277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277</v>
      </c>
      <c r="C263" s="338"/>
      <c r="D263" s="338"/>
      <c r="E263" s="313">
        <f aca="true" t="shared" si="11" ref="E263:E269">C263-D263</f>
        <v>0</v>
      </c>
      <c r="F263" s="8"/>
    </row>
    <row r="264" spans="1:6" ht="12.75">
      <c r="A264" s="4" t="s">
        <v>107</v>
      </c>
      <c r="B264" s="75" t="s">
        <v>277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277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277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277</v>
      </c>
      <c r="C267" s="338"/>
      <c r="D267" s="338"/>
      <c r="E267" s="313">
        <f t="shared" si="11"/>
        <v>0</v>
      </c>
      <c r="F267" s="8"/>
    </row>
    <row r="268" spans="1:6" ht="26.25">
      <c r="A268" s="78" t="s">
        <v>293</v>
      </c>
      <c r="B268" s="77" t="s">
        <v>277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277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280</v>
      </c>
      <c r="C271" s="337">
        <f>SUM(C262:C270)</f>
        <v>0</v>
      </c>
      <c r="D271" s="345">
        <f>SUM(D262:D270)</f>
        <v>0</v>
      </c>
      <c r="E271" s="291">
        <f>SUM(E262:E270)</f>
        <v>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1">
        <f>+C258</f>
        <v>0</v>
      </c>
      <c r="D276" s="291">
        <f>+D258</f>
        <v>0</v>
      </c>
      <c r="E276" s="313">
        <f>+E258</f>
        <v>0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278</v>
      </c>
      <c r="C278" s="291">
        <f>+C271</f>
        <v>0</v>
      </c>
      <c r="D278" s="291">
        <f>+D271</f>
        <v>0</v>
      </c>
      <c r="E278" s="313">
        <f>+C278-D278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280</v>
      </c>
      <c r="C280" s="291">
        <f>IF(C276&gt;C278,C276-C278,0)</f>
        <v>0</v>
      </c>
      <c r="D280" s="291">
        <f>IF(D276&gt;D278,D276-D278,0)</f>
        <v>0</v>
      </c>
      <c r="E280" s="291">
        <f>IF(E276&gt;E278,E276-E278,0)</f>
        <v>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448</v>
      </c>
      <c r="B282" s="75" t="s">
        <v>278</v>
      </c>
      <c r="C282" s="445"/>
      <c r="D282" s="291">
        <v>0</v>
      </c>
      <c r="E282" s="313">
        <f>+C282-D282</f>
        <v>0</v>
      </c>
      <c r="F282" s="8"/>
    </row>
    <row r="283" spans="1:6" ht="12.75">
      <c r="A283" s="4" t="s">
        <v>449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280</v>
      </c>
      <c r="C284" s="291">
        <f>IF(C280&gt;C282,C280-C282,0)</f>
        <v>0</v>
      </c>
      <c r="D284" s="291">
        <f>IF(D280&gt;D282,D280-D282,0)</f>
        <v>0</v>
      </c>
      <c r="E284" s="291">
        <f>IF(E280&gt;E282,E280-E282,0)</f>
        <v>0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443</v>
      </c>
      <c r="B286" s="8"/>
      <c r="C286" s="351">
        <f>'Tax Rates'!C55</f>
        <v>0.002</v>
      </c>
      <c r="D286" s="351">
        <f>C286</f>
        <v>0.002</v>
      </c>
      <c r="E286" s="352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366</v>
      </c>
      <c r="D288" s="292">
        <f>C11</f>
        <v>366</v>
      </c>
      <c r="E288" s="292">
        <f>C11</f>
        <v>366</v>
      </c>
      <c r="F288" s="8"/>
    </row>
    <row r="289" spans="1:6" ht="12.75">
      <c r="A289" s="4" t="s">
        <v>539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472</v>
      </c>
      <c r="B291" s="8" t="s">
        <v>280</v>
      </c>
      <c r="C291" s="291">
        <f>C284*C286*C289</f>
        <v>0</v>
      </c>
      <c r="D291" s="291">
        <f>D284*D286*D289</f>
        <v>0</v>
      </c>
      <c r="E291" s="291">
        <f>E284*E286*E289</f>
        <v>0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503</v>
      </c>
      <c r="B295" s="75" t="s">
        <v>278</v>
      </c>
      <c r="C295" s="346"/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473</v>
      </c>
      <c r="B297" s="8" t="s">
        <v>280</v>
      </c>
      <c r="C297" s="291">
        <f>IF(C291&gt;C295,C291-C295,0)</f>
        <v>0</v>
      </c>
      <c r="D297" s="291">
        <f>IF(D291&gt;D295,D291-D295,0)</f>
        <v>0</v>
      </c>
      <c r="E297" s="291">
        <f>IF(E291&gt;E295,E291-E295,0)</f>
        <v>0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541</v>
      </c>
      <c r="B300" s="8"/>
    </row>
    <row r="301" spans="1:2" ht="12.75">
      <c r="A301" s="14"/>
      <c r="B301" s="8"/>
    </row>
    <row r="302" spans="1:2" ht="12.75">
      <c r="A302" s="2" t="s">
        <v>492</v>
      </c>
      <c r="B302" s="8"/>
    </row>
    <row r="303" spans="1:5" ht="12.75">
      <c r="A303" t="s">
        <v>334</v>
      </c>
      <c r="B303" s="97" t="s">
        <v>277</v>
      </c>
      <c r="C303" s="291">
        <f>C144</f>
        <v>0</v>
      </c>
      <c r="D303" s="291">
        <f>D144</f>
        <v>0</v>
      </c>
      <c r="E303" s="291">
        <f>E144</f>
        <v>0</v>
      </c>
    </row>
    <row r="304" spans="1:5" ht="12.75">
      <c r="A304" t="s">
        <v>30</v>
      </c>
      <c r="B304" s="97" t="s">
        <v>277</v>
      </c>
      <c r="C304" s="291">
        <f>C229</f>
        <v>0</v>
      </c>
      <c r="D304" s="291">
        <f>D229</f>
        <v>0</v>
      </c>
      <c r="E304" s="291">
        <f>E229</f>
        <v>0</v>
      </c>
    </row>
    <row r="305" spans="1:5" ht="12.75">
      <c r="A305" t="s">
        <v>333</v>
      </c>
      <c r="B305" s="97" t="s">
        <v>277</v>
      </c>
      <c r="C305" s="291">
        <f>C297</f>
        <v>0</v>
      </c>
      <c r="D305" s="291">
        <f>D297</f>
        <v>0</v>
      </c>
      <c r="E305" s="291">
        <f>E297</f>
        <v>0</v>
      </c>
    </row>
    <row r="306" ht="12.75">
      <c r="B306" s="8"/>
    </row>
    <row r="307" spans="1:5" ht="12.75">
      <c r="A307" s="2" t="s">
        <v>435</v>
      </c>
      <c r="B307" s="75" t="s">
        <v>280</v>
      </c>
      <c r="C307" s="291">
        <f>C303+C304+C305</f>
        <v>0</v>
      </c>
      <c r="D307" s="291">
        <f>D303+D304+D305</f>
        <v>0</v>
      </c>
      <c r="E307" s="291">
        <f>E303+E304+E305</f>
        <v>0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49">
      <selection activeCell="B7" sqref="B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West Perth Power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7" t="s">
        <v>403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411</v>
      </c>
      <c r="B14" s="67"/>
      <c r="C14" s="338"/>
      <c r="D14" s="338"/>
      <c r="E14" s="291">
        <f aca="true" t="shared" si="0" ref="E14:E21">C14-D14</f>
        <v>0</v>
      </c>
    </row>
    <row r="15" spans="1:5" ht="12.75">
      <c r="A15" s="67" t="s">
        <v>412</v>
      </c>
      <c r="B15" s="67"/>
      <c r="C15" s="338"/>
      <c r="D15" s="338"/>
      <c r="E15" s="291">
        <f t="shared" si="0"/>
        <v>0</v>
      </c>
    </row>
    <row r="16" spans="1:5" ht="12.75">
      <c r="A16" s="67" t="s">
        <v>413</v>
      </c>
      <c r="B16" s="67"/>
      <c r="C16" s="338"/>
      <c r="D16" s="338"/>
      <c r="E16" s="291">
        <f t="shared" si="0"/>
        <v>0</v>
      </c>
    </row>
    <row r="17" spans="1:5" ht="12.75">
      <c r="A17" s="67" t="s">
        <v>414</v>
      </c>
      <c r="B17" s="67"/>
      <c r="C17" s="338"/>
      <c r="D17" s="338"/>
      <c r="E17" s="291">
        <f t="shared" si="0"/>
        <v>0</v>
      </c>
    </row>
    <row r="18" spans="1:5" ht="12.75">
      <c r="A18" s="67" t="s">
        <v>400</v>
      </c>
      <c r="B18" s="67"/>
      <c r="C18" s="338"/>
      <c r="D18" s="338"/>
      <c r="E18" s="291">
        <f t="shared" si="0"/>
        <v>0</v>
      </c>
    </row>
    <row r="19" spans="1:5" ht="12.75">
      <c r="A19" s="67" t="s">
        <v>400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266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402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411</v>
      </c>
      <c r="B26" s="67"/>
      <c r="C26" s="338"/>
      <c r="D26" s="338"/>
      <c r="E26" s="291">
        <f aca="true" t="shared" si="1" ref="E26:E33">C26-D26</f>
        <v>0</v>
      </c>
    </row>
    <row r="27" spans="1:5" ht="12.75">
      <c r="A27" s="67" t="s">
        <v>412</v>
      </c>
      <c r="B27" s="67"/>
      <c r="C27" s="338"/>
      <c r="D27" s="338"/>
      <c r="E27" s="291">
        <f t="shared" si="1"/>
        <v>0</v>
      </c>
    </row>
    <row r="28" spans="1:5" ht="12.75">
      <c r="A28" s="67" t="s">
        <v>413</v>
      </c>
      <c r="B28" s="67"/>
      <c r="C28" s="338"/>
      <c r="D28" s="338"/>
      <c r="E28" s="291">
        <f t="shared" si="1"/>
        <v>0</v>
      </c>
    </row>
    <row r="29" spans="1:5" ht="12.75">
      <c r="A29" s="67" t="s">
        <v>414</v>
      </c>
      <c r="B29" s="67"/>
      <c r="C29" s="338"/>
      <c r="D29" s="338"/>
      <c r="E29" s="291">
        <f t="shared" si="1"/>
        <v>0</v>
      </c>
    </row>
    <row r="30" spans="1:5" ht="12.75">
      <c r="A30" s="67" t="s">
        <v>400</v>
      </c>
      <c r="B30" s="67"/>
      <c r="C30" s="338"/>
      <c r="D30" s="338"/>
      <c r="E30" s="291">
        <f t="shared" si="1"/>
        <v>0</v>
      </c>
    </row>
    <row r="31" spans="1:5" ht="12.75">
      <c r="A31" s="67" t="s">
        <v>400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215</v>
      </c>
      <c r="C34" s="28"/>
      <c r="D34" s="28"/>
      <c r="E34" s="321"/>
    </row>
    <row r="35" spans="1:5" ht="12.75">
      <c r="A35" s="2" t="s">
        <v>266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401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403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396</v>
      </c>
      <c r="B43" s="67"/>
      <c r="C43" s="338"/>
      <c r="D43" s="338"/>
      <c r="E43" s="291">
        <f t="shared" si="2"/>
        <v>0</v>
      </c>
    </row>
    <row r="44" spans="1:5" ht="12.75">
      <c r="A44" s="67" t="s">
        <v>397</v>
      </c>
      <c r="B44" s="67"/>
      <c r="C44" s="338"/>
      <c r="D44" s="338"/>
      <c r="E44" s="291">
        <f t="shared" si="2"/>
        <v>0</v>
      </c>
    </row>
    <row r="45" spans="1:5" ht="12.75">
      <c r="A45" s="67" t="s">
        <v>398</v>
      </c>
      <c r="B45" s="67"/>
      <c r="C45" s="338"/>
      <c r="D45" s="338"/>
      <c r="E45" s="291">
        <f t="shared" si="2"/>
        <v>0</v>
      </c>
    </row>
    <row r="46" spans="1:5" ht="12.75">
      <c r="A46" s="67" t="s">
        <v>399</v>
      </c>
      <c r="B46" s="67"/>
      <c r="C46" s="338"/>
      <c r="D46" s="338"/>
      <c r="E46" s="291">
        <f t="shared" si="2"/>
        <v>0</v>
      </c>
    </row>
    <row r="47" spans="1:5" ht="12.75">
      <c r="A47" s="67" t="s">
        <v>400</v>
      </c>
      <c r="B47" s="67"/>
      <c r="C47" s="338"/>
      <c r="D47" s="338"/>
      <c r="E47" s="291">
        <f t="shared" si="2"/>
        <v>0</v>
      </c>
    </row>
    <row r="48" spans="1:5" ht="12.75">
      <c r="A48" s="67" t="s">
        <v>400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266</v>
      </c>
      <c r="C50" s="291">
        <f>SUM(C41:C49)</f>
        <v>0</v>
      </c>
      <c r="D50" s="291">
        <f>SUM(D41:D49)</f>
        <v>0</v>
      </c>
      <c r="E50" s="291">
        <f>SUM(E41:E49)</f>
        <v>0</v>
      </c>
    </row>
    <row r="51" spans="3:5" ht="12.75">
      <c r="C51" s="28"/>
      <c r="D51" s="28"/>
      <c r="E51" s="28"/>
    </row>
    <row r="52" spans="1:5" ht="12.75">
      <c r="A52" s="287" t="s">
        <v>402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396</v>
      </c>
      <c r="B55" s="67"/>
      <c r="C55" s="338"/>
      <c r="D55" s="338"/>
      <c r="E55" s="291">
        <f t="shared" si="3"/>
        <v>0</v>
      </c>
    </row>
    <row r="56" spans="1:5" ht="12.75">
      <c r="A56" s="286" t="s">
        <v>397</v>
      </c>
      <c r="B56" s="67"/>
      <c r="C56" s="338"/>
      <c r="D56" s="338"/>
      <c r="E56" s="291">
        <f t="shared" si="3"/>
        <v>0</v>
      </c>
    </row>
    <row r="57" spans="1:5" ht="12.75">
      <c r="A57" s="286" t="s">
        <v>398</v>
      </c>
      <c r="B57" s="67"/>
      <c r="C57" s="338"/>
      <c r="D57" s="338"/>
      <c r="E57" s="291">
        <f t="shared" si="3"/>
        <v>0</v>
      </c>
    </row>
    <row r="58" spans="1:5" ht="12.75">
      <c r="A58" s="286" t="s">
        <v>399</v>
      </c>
      <c r="B58" s="67"/>
      <c r="C58" s="338"/>
      <c r="D58" s="338"/>
      <c r="E58" s="291">
        <f t="shared" si="3"/>
        <v>0</v>
      </c>
    </row>
    <row r="59" spans="1:5" ht="12.75">
      <c r="A59" s="67" t="s">
        <v>400</v>
      </c>
      <c r="B59" s="67"/>
      <c r="C59" s="338"/>
      <c r="D59" s="338"/>
      <c r="E59" s="291">
        <f t="shared" si="3"/>
        <v>0</v>
      </c>
    </row>
    <row r="60" spans="1:5" ht="12.75">
      <c r="A60" s="67" t="s">
        <v>400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215</v>
      </c>
      <c r="C62" s="28"/>
      <c r="D62" s="28"/>
      <c r="E62" s="321"/>
    </row>
    <row r="63" spans="1:5" ht="12.75">
      <c r="A63" s="2" t="s">
        <v>266</v>
      </c>
      <c r="C63" s="291">
        <f>SUM(C53:C61)</f>
        <v>0</v>
      </c>
      <c r="D63" s="291">
        <f>SUM(D53:D61)</f>
        <v>0</v>
      </c>
      <c r="E63" s="291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1" sqref="C10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376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West Perth Power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2">
        <f>TAXREC!C11</f>
        <v>366</v>
      </c>
      <c r="D10" s="66"/>
      <c r="E10" s="31"/>
      <c r="F10" s="26"/>
    </row>
    <row r="11" spans="1:6" ht="12.75">
      <c r="A11" s="2" t="s">
        <v>199</v>
      </c>
      <c r="B11" s="26"/>
      <c r="C11" s="313">
        <f>TAXREC!C13</f>
        <v>3297.0325000000003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8" t="s">
        <v>216</v>
      </c>
      <c r="B15" t="s">
        <v>277</v>
      </c>
      <c r="C15" s="339"/>
      <c r="D15" s="339"/>
      <c r="E15" s="368">
        <f>C15-D15</f>
        <v>0</v>
      </c>
    </row>
    <row r="16" spans="1:5" ht="12.75">
      <c r="A16" s="78" t="s">
        <v>377</v>
      </c>
      <c r="B16" t="s">
        <v>277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294</v>
      </c>
      <c r="B17" t="s">
        <v>277</v>
      </c>
      <c r="C17" s="339"/>
      <c r="D17" s="339"/>
      <c r="E17" s="368">
        <f t="shared" si="0"/>
        <v>0</v>
      </c>
    </row>
    <row r="18" spans="1:5" ht="12.75">
      <c r="A18" s="78" t="s">
        <v>217</v>
      </c>
      <c r="B18" t="s">
        <v>277</v>
      </c>
      <c r="C18" s="339"/>
      <c r="D18" s="369"/>
      <c r="E18" s="368">
        <f t="shared" si="0"/>
        <v>0</v>
      </c>
    </row>
    <row r="19" spans="1:5" ht="12.75">
      <c r="A19" s="78" t="s">
        <v>218</v>
      </c>
      <c r="B19" t="s">
        <v>277</v>
      </c>
      <c r="C19" s="339"/>
      <c r="D19" s="339"/>
      <c r="E19" s="368">
        <f t="shared" si="0"/>
        <v>0</v>
      </c>
    </row>
    <row r="20" spans="1:5" ht="12.75">
      <c r="A20" s="78" t="s">
        <v>219</v>
      </c>
      <c r="B20" t="s">
        <v>277</v>
      </c>
      <c r="C20" s="339"/>
      <c r="D20" s="339"/>
      <c r="E20" s="368">
        <f t="shared" si="0"/>
        <v>0</v>
      </c>
    </row>
    <row r="21" spans="1:5" ht="12.75">
      <c r="A21" s="78" t="s">
        <v>18</v>
      </c>
      <c r="B21" t="s">
        <v>277</v>
      </c>
      <c r="C21" s="339"/>
      <c r="D21" s="339"/>
      <c r="E21" s="368">
        <f t="shared" si="0"/>
        <v>0</v>
      </c>
    </row>
    <row r="22" spans="1:5" ht="12.75">
      <c r="A22" s="78" t="s">
        <v>220</v>
      </c>
      <c r="B22" t="s">
        <v>277</v>
      </c>
      <c r="C22" s="339"/>
      <c r="D22" s="339"/>
      <c r="E22" s="368">
        <f t="shared" si="0"/>
        <v>0</v>
      </c>
    </row>
    <row r="23" spans="1:5" ht="12.75">
      <c r="A23" s="78" t="s">
        <v>221</v>
      </c>
      <c r="B23" t="s">
        <v>277</v>
      </c>
      <c r="C23" s="339"/>
      <c r="D23" s="339"/>
      <c r="E23" s="368">
        <f t="shared" si="0"/>
        <v>0</v>
      </c>
    </row>
    <row r="24" spans="1:5" ht="12.75">
      <c r="A24" s="78" t="s">
        <v>222</v>
      </c>
      <c r="B24" t="s">
        <v>277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277</v>
      </c>
      <c r="C25" s="339"/>
      <c r="D25" s="339"/>
      <c r="E25" s="368">
        <f t="shared" si="0"/>
        <v>0</v>
      </c>
    </row>
    <row r="26" spans="1:5" ht="12.75">
      <c r="A26" s="78" t="s">
        <v>223</v>
      </c>
      <c r="B26" t="s">
        <v>277</v>
      </c>
      <c r="C26" s="339"/>
      <c r="D26" s="339"/>
      <c r="E26" s="368">
        <f t="shared" si="0"/>
        <v>0</v>
      </c>
    </row>
    <row r="27" spans="1:5" ht="12.75">
      <c r="A27" s="78" t="s">
        <v>224</v>
      </c>
      <c r="B27" t="s">
        <v>277</v>
      </c>
      <c r="C27" s="339"/>
      <c r="D27" s="339"/>
      <c r="E27" s="368">
        <f t="shared" si="0"/>
        <v>0</v>
      </c>
    </row>
    <row r="28" spans="1:5" ht="12.75">
      <c r="A28" s="78" t="s">
        <v>378</v>
      </c>
      <c r="B28" t="s">
        <v>277</v>
      </c>
      <c r="C28" s="339"/>
      <c r="D28" s="339"/>
      <c r="E28" s="368">
        <f t="shared" si="0"/>
        <v>0</v>
      </c>
    </row>
    <row r="29" spans="1:5" ht="12.75">
      <c r="A29" s="78" t="s">
        <v>295</v>
      </c>
      <c r="B29" t="s">
        <v>277</v>
      </c>
      <c r="C29" s="339"/>
      <c r="D29" s="339"/>
      <c r="E29" s="368">
        <f t="shared" si="0"/>
        <v>0</v>
      </c>
    </row>
    <row r="30" spans="1:5" ht="12.75">
      <c r="A30" s="78" t="s">
        <v>439</v>
      </c>
      <c r="B30" t="s">
        <v>277</v>
      </c>
      <c r="C30" s="339"/>
      <c r="D30" s="339"/>
      <c r="E30" s="368">
        <f t="shared" si="0"/>
        <v>0</v>
      </c>
    </row>
    <row r="31" spans="1:5" ht="12.75">
      <c r="A31" s="78" t="s">
        <v>296</v>
      </c>
      <c r="B31" t="s">
        <v>277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277</v>
      </c>
      <c r="C32" s="339"/>
      <c r="D32" s="339"/>
      <c r="E32" s="368">
        <f t="shared" si="0"/>
        <v>0</v>
      </c>
    </row>
    <row r="33" spans="1:5" ht="12.75">
      <c r="A33" s="78" t="s">
        <v>207</v>
      </c>
      <c r="B33" t="s">
        <v>277</v>
      </c>
      <c r="C33" s="339"/>
      <c r="D33" s="339"/>
      <c r="E33" s="368">
        <f t="shared" si="0"/>
        <v>0</v>
      </c>
    </row>
    <row r="34" spans="1:5" ht="12.75">
      <c r="A34" s="78" t="s">
        <v>208</v>
      </c>
      <c r="B34" t="s">
        <v>277</v>
      </c>
      <c r="C34" s="339"/>
      <c r="D34" s="339"/>
      <c r="E34" s="368">
        <f t="shared" si="0"/>
        <v>0</v>
      </c>
    </row>
    <row r="35" spans="1:5" ht="12.75">
      <c r="A35" s="78" t="s">
        <v>297</v>
      </c>
      <c r="B35" t="s">
        <v>277</v>
      </c>
      <c r="C35" s="339"/>
      <c r="D35" s="339"/>
      <c r="E35" s="368">
        <f t="shared" si="0"/>
        <v>0</v>
      </c>
    </row>
    <row r="36" spans="1:5" ht="12.75">
      <c r="A36" s="78" t="s">
        <v>225</v>
      </c>
      <c r="B36" t="s">
        <v>277</v>
      </c>
      <c r="C36" s="339"/>
      <c r="D36" s="339"/>
      <c r="E36" s="291">
        <f t="shared" si="0"/>
        <v>0</v>
      </c>
    </row>
    <row r="37" spans="1:5" ht="12.75">
      <c r="A37" s="78" t="s">
        <v>226</v>
      </c>
      <c r="B37" t="s">
        <v>277</v>
      </c>
      <c r="C37" s="339"/>
      <c r="D37" s="339"/>
      <c r="E37" s="291">
        <f t="shared" si="0"/>
        <v>0</v>
      </c>
    </row>
    <row r="38" spans="1:5" ht="12.75">
      <c r="A38" s="78" t="s">
        <v>379</v>
      </c>
      <c r="B38" t="s">
        <v>277</v>
      </c>
      <c r="C38" s="339"/>
      <c r="D38" s="339"/>
      <c r="E38" s="291">
        <f t="shared" si="0"/>
        <v>0</v>
      </c>
    </row>
    <row r="39" spans="1:5" ht="12.75">
      <c r="A39" s="78" t="s">
        <v>227</v>
      </c>
      <c r="B39" t="s">
        <v>277</v>
      </c>
      <c r="C39" s="339"/>
      <c r="D39" s="339"/>
      <c r="E39" s="291">
        <f t="shared" si="0"/>
        <v>0</v>
      </c>
    </row>
    <row r="40" spans="1:5" ht="12.75">
      <c r="A40" s="78" t="s">
        <v>228</v>
      </c>
      <c r="B40" t="s">
        <v>277</v>
      </c>
      <c r="C40" s="339"/>
      <c r="D40" s="339"/>
      <c r="E40" s="291">
        <f t="shared" si="0"/>
        <v>0</v>
      </c>
    </row>
    <row r="41" spans="1:5" ht="12.75">
      <c r="A41" s="78" t="s">
        <v>229</v>
      </c>
      <c r="B41" t="s">
        <v>277</v>
      </c>
      <c r="C41" s="338"/>
      <c r="D41" s="339"/>
      <c r="E41" s="291">
        <f t="shared" si="0"/>
        <v>0</v>
      </c>
    </row>
    <row r="42" spans="1:5" ht="12.75">
      <c r="A42" s="78" t="s">
        <v>298</v>
      </c>
      <c r="B42" t="s">
        <v>277</v>
      </c>
      <c r="C42" s="338"/>
      <c r="D42" s="339"/>
      <c r="E42" s="291">
        <f t="shared" si="0"/>
        <v>0</v>
      </c>
    </row>
    <row r="43" spans="1:5" ht="12.75">
      <c r="A43" s="79" t="s">
        <v>310</v>
      </c>
      <c r="B43" t="s">
        <v>277</v>
      </c>
      <c r="C43" s="338"/>
      <c r="D43" s="338"/>
      <c r="E43" s="291">
        <f t="shared" si="0"/>
        <v>0</v>
      </c>
    </row>
    <row r="44" spans="1:5" ht="12.75">
      <c r="A44" s="78" t="s">
        <v>440</v>
      </c>
      <c r="B44" t="s">
        <v>277</v>
      </c>
      <c r="C44" s="338"/>
      <c r="D44" s="338"/>
      <c r="E44" s="291">
        <f t="shared" si="0"/>
        <v>0</v>
      </c>
    </row>
    <row r="45" spans="1:5" ht="12.75">
      <c r="A45" s="78"/>
      <c r="B45" t="s">
        <v>277</v>
      </c>
      <c r="C45" s="338"/>
      <c r="D45" s="338"/>
      <c r="E45" s="291">
        <f t="shared" si="0"/>
        <v>0</v>
      </c>
    </row>
    <row r="46" spans="1:5" ht="12.75">
      <c r="A46" s="78"/>
      <c r="B46" t="s">
        <v>277</v>
      </c>
      <c r="C46" s="338"/>
      <c r="D46" s="338"/>
      <c r="E46" s="291">
        <f t="shared" si="0"/>
        <v>0</v>
      </c>
    </row>
    <row r="47" spans="1:5" ht="12.75">
      <c r="A47" s="78"/>
      <c r="B47" t="s">
        <v>277</v>
      </c>
      <c r="C47" s="338"/>
      <c r="D47" s="338"/>
      <c r="E47" s="291">
        <f t="shared" si="0"/>
        <v>0</v>
      </c>
    </row>
    <row r="48" spans="1:5" ht="12.75">
      <c r="A48" s="78"/>
      <c r="B48" t="s">
        <v>277</v>
      </c>
      <c r="C48" s="338"/>
      <c r="D48" s="338"/>
      <c r="E48" s="291">
        <f t="shared" si="0"/>
        <v>0</v>
      </c>
    </row>
    <row r="49" spans="1:5" ht="12.75">
      <c r="A49" s="78"/>
      <c r="B49" t="s">
        <v>277</v>
      </c>
      <c r="C49" s="338"/>
      <c r="D49" s="338"/>
      <c r="E49" s="291">
        <f t="shared" si="0"/>
        <v>0</v>
      </c>
    </row>
    <row r="50" spans="1:5" ht="12.75">
      <c r="A50" s="78"/>
      <c r="B50" t="s">
        <v>277</v>
      </c>
      <c r="C50" s="338"/>
      <c r="D50" s="338"/>
      <c r="E50" s="291">
        <f t="shared" si="0"/>
        <v>0</v>
      </c>
    </row>
    <row r="51" spans="1:5" ht="12.75">
      <c r="A51" s="78"/>
      <c r="B51" t="s">
        <v>277</v>
      </c>
      <c r="C51" s="338"/>
      <c r="D51" s="338"/>
      <c r="E51" s="291">
        <f t="shared" si="0"/>
        <v>0</v>
      </c>
    </row>
    <row r="52" spans="1:5" ht="12.75">
      <c r="A52" s="78"/>
      <c r="B52" t="s">
        <v>277</v>
      </c>
      <c r="C52" s="338"/>
      <c r="D52" s="338"/>
      <c r="E52" s="291">
        <f t="shared" si="0"/>
        <v>0</v>
      </c>
    </row>
    <row r="53" spans="1:5" ht="12.75">
      <c r="A53" s="78"/>
      <c r="B53" t="s">
        <v>277</v>
      </c>
      <c r="C53" s="338"/>
      <c r="D53" s="338"/>
      <c r="E53" s="321"/>
    </row>
    <row r="54" spans="1:5" ht="12.75">
      <c r="A54" s="81" t="s">
        <v>256</v>
      </c>
      <c r="B54" t="s">
        <v>280</v>
      </c>
      <c r="C54" s="291">
        <f>SUM(C15:C53)</f>
        <v>0</v>
      </c>
      <c r="D54" s="291">
        <f>SUM(D15:D53)</f>
        <v>0</v>
      </c>
      <c r="E54" s="291">
        <f>SUM(E15:E53)</f>
        <v>0</v>
      </c>
    </row>
    <row r="55" ht="12.75">
      <c r="A55" s="78"/>
    </row>
    <row r="56" ht="12.75">
      <c r="A56" s="78" t="s">
        <v>258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230</v>
      </c>
      <c r="B95" s="314"/>
      <c r="C95" s="291">
        <f>SUM(C57:C93)</f>
        <v>0</v>
      </c>
      <c r="D95" s="291">
        <f>SUM(D57:D93)</f>
        <v>0</v>
      </c>
      <c r="E95" s="291">
        <f>SUM(E57:E93)</f>
        <v>0</v>
      </c>
    </row>
    <row r="96" spans="1:5" ht="12.75">
      <c r="A96" s="318" t="s">
        <v>309</v>
      </c>
      <c r="B96" s="319"/>
      <c r="C96" s="370">
        <f>C54-C95</f>
        <v>0</v>
      </c>
      <c r="D96" s="370">
        <f>D54-D95</f>
        <v>0</v>
      </c>
      <c r="E96" s="370">
        <f>E54-E95</f>
        <v>0</v>
      </c>
    </row>
    <row r="97" spans="1:5" ht="12.75">
      <c r="A97" s="318" t="s">
        <v>256</v>
      </c>
      <c r="B97" s="319"/>
      <c r="C97" s="370">
        <f>C95+C96</f>
        <v>0</v>
      </c>
      <c r="D97" s="370">
        <f>D95+D96</f>
        <v>0</v>
      </c>
      <c r="E97" s="370">
        <f>E95+E96</f>
        <v>0</v>
      </c>
    </row>
    <row r="98" ht="12.75">
      <c r="A98" s="78"/>
    </row>
    <row r="99" ht="12.75">
      <c r="A99" s="78" t="s">
        <v>231</v>
      </c>
    </row>
    <row r="100" spans="1:5" ht="12.75">
      <c r="A100" s="78" t="s">
        <v>232</v>
      </c>
      <c r="B100" s="8" t="s">
        <v>278</v>
      </c>
      <c r="C100" s="338">
        <v>14955</v>
      </c>
      <c r="D100" s="338"/>
      <c r="E100" s="291">
        <f>C100-D100</f>
        <v>14955</v>
      </c>
    </row>
    <row r="101" spans="1:5" ht="12.75">
      <c r="A101" s="82" t="s">
        <v>238</v>
      </c>
      <c r="B101" s="8" t="s">
        <v>278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233</v>
      </c>
      <c r="B102" s="8" t="s">
        <v>278</v>
      </c>
      <c r="C102" s="338"/>
      <c r="D102" s="338"/>
      <c r="E102" s="291">
        <f t="shared" si="7"/>
        <v>0</v>
      </c>
    </row>
    <row r="103" spans="1:5" ht="12.75">
      <c r="A103" s="82" t="s">
        <v>380</v>
      </c>
      <c r="B103" s="8" t="s">
        <v>278</v>
      </c>
      <c r="C103" s="338"/>
      <c r="D103" s="338"/>
      <c r="E103" s="291">
        <f t="shared" si="7"/>
        <v>0</v>
      </c>
    </row>
    <row r="104" spans="1:5" ht="12.75">
      <c r="A104" s="78" t="s">
        <v>299</v>
      </c>
      <c r="B104" s="8" t="s">
        <v>278</v>
      </c>
      <c r="C104" s="338"/>
      <c r="D104" s="338"/>
      <c r="E104" s="291">
        <f t="shared" si="7"/>
        <v>0</v>
      </c>
    </row>
    <row r="105" spans="1:5" ht="12.75">
      <c r="A105" s="78" t="s">
        <v>577</v>
      </c>
      <c r="B105" s="8" t="s">
        <v>278</v>
      </c>
      <c r="C105" s="338"/>
      <c r="D105" s="338"/>
      <c r="E105" s="291">
        <f t="shared" si="7"/>
        <v>0</v>
      </c>
    </row>
    <row r="106" spans="1:5" ht="12.75">
      <c r="A106" s="78" t="s">
        <v>300</v>
      </c>
      <c r="B106" s="8" t="s">
        <v>278</v>
      </c>
      <c r="C106" s="338"/>
      <c r="D106" s="338"/>
      <c r="E106" s="291">
        <f t="shared" si="7"/>
        <v>0</v>
      </c>
    </row>
    <row r="107" spans="1:5" ht="12.75">
      <c r="A107" s="78" t="s">
        <v>253</v>
      </c>
      <c r="B107" s="8" t="s">
        <v>278</v>
      </c>
      <c r="C107" s="338"/>
      <c r="D107" s="338"/>
      <c r="E107" s="291">
        <f t="shared" si="7"/>
        <v>0</v>
      </c>
    </row>
    <row r="108" spans="1:5" ht="12.75">
      <c r="A108" s="78" t="s">
        <v>254</v>
      </c>
      <c r="B108" s="8" t="s">
        <v>278</v>
      </c>
      <c r="C108" s="338"/>
      <c r="D108" s="338"/>
      <c r="E108" s="291">
        <f t="shared" si="7"/>
        <v>0</v>
      </c>
    </row>
    <row r="109" spans="1:5" ht="12.75">
      <c r="A109" s="78" t="s">
        <v>255</v>
      </c>
      <c r="B109" s="8" t="s">
        <v>278</v>
      </c>
      <c r="C109" s="338"/>
      <c r="D109" s="338"/>
      <c r="E109" s="291">
        <f t="shared" si="7"/>
        <v>0</v>
      </c>
    </row>
    <row r="110" spans="1:5" ht="12.75">
      <c r="A110" s="79" t="s">
        <v>311</v>
      </c>
      <c r="B110" s="8" t="s">
        <v>278</v>
      </c>
      <c r="C110" s="338"/>
      <c r="D110" s="338"/>
      <c r="E110" s="291"/>
    </row>
    <row r="111" spans="1:5" ht="12.75">
      <c r="A111" s="78" t="s">
        <v>441</v>
      </c>
      <c r="B111" s="8" t="s">
        <v>278</v>
      </c>
      <c r="C111" s="338"/>
      <c r="D111" s="338"/>
      <c r="E111" s="291">
        <f t="shared" si="7"/>
        <v>0</v>
      </c>
    </row>
    <row r="112" spans="1:5" ht="12.75">
      <c r="A112" s="78"/>
      <c r="B112" s="8" t="s">
        <v>278</v>
      </c>
      <c r="C112" s="338"/>
      <c r="D112" s="338"/>
      <c r="E112" s="291">
        <f t="shared" si="7"/>
        <v>0</v>
      </c>
    </row>
    <row r="113" spans="2:5" ht="12.75">
      <c r="B113" s="8" t="s">
        <v>278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278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278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278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278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278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278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278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278</v>
      </c>
      <c r="C121" s="338"/>
      <c r="D121" s="338"/>
      <c r="E121" s="321">
        <f t="shared" si="7"/>
        <v>0</v>
      </c>
    </row>
    <row r="122" spans="1:5" ht="12.75">
      <c r="A122" s="78" t="s">
        <v>257</v>
      </c>
      <c r="B122" s="8" t="s">
        <v>280</v>
      </c>
      <c r="C122" s="291">
        <f>SUM(C100:C121)</f>
        <v>14955</v>
      </c>
      <c r="D122" s="291">
        <f>SUM(D100:D121)</f>
        <v>0</v>
      </c>
      <c r="E122" s="291">
        <f>SUM(E100:E121)</f>
        <v>14955</v>
      </c>
    </row>
    <row r="123" ht="12.75">
      <c r="A123" s="78"/>
    </row>
    <row r="124" ht="12.75">
      <c r="A124" s="78" t="s">
        <v>260</v>
      </c>
    </row>
    <row r="125" spans="1:5" ht="12.75">
      <c r="A125" s="316" t="str">
        <f>IF($E100&gt;$C$11,A100," ")</f>
        <v>Gain on disposal of assets per f/s</v>
      </c>
      <c r="B125" s="314"/>
      <c r="C125" s="291">
        <f aca="true" t="shared" si="8" ref="C125:E143">IF($E100&gt;$C$11,C100,)</f>
        <v>14955</v>
      </c>
      <c r="D125" s="291">
        <f t="shared" si="8"/>
        <v>0</v>
      </c>
      <c r="E125" s="291">
        <f t="shared" si="8"/>
        <v>14955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308</v>
      </c>
      <c r="B146" s="314"/>
      <c r="C146" s="291">
        <f>SUM(C125:C145)</f>
        <v>14955</v>
      </c>
      <c r="D146" s="291">
        <f>SUM(D125:D145)</f>
        <v>0</v>
      </c>
      <c r="E146" s="291">
        <f>SUM(E125:E145)</f>
        <v>14955</v>
      </c>
    </row>
    <row r="147" spans="1:5" ht="12.75">
      <c r="A147" s="320" t="s">
        <v>307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257</v>
      </c>
      <c r="B148" s="314"/>
      <c r="C148" s="291">
        <f>C146+C147</f>
        <v>14955</v>
      </c>
      <c r="D148" s="291">
        <f>D146+D147</f>
        <v>0</v>
      </c>
      <c r="E148" s="291">
        <f>E146+E147</f>
        <v>14955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8">
      <selection activeCell="C58" sqref="C5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2" t="s">
        <v>164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 t="str">
        <f>REGINFO!E1</f>
        <v>Version 2004.2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446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West Perth Power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2004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497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445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432</v>
      </c>
      <c r="B10" s="383"/>
      <c r="C10" s="383" t="s">
        <v>188</v>
      </c>
      <c r="D10" s="383"/>
      <c r="E10" s="383" t="s">
        <v>188</v>
      </c>
      <c r="F10" s="384" t="s">
        <v>436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196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431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430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437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388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7" thickBot="1">
      <c r="A21" s="379" t="s">
        <v>489</v>
      </c>
      <c r="B21" s="476" t="s">
        <v>454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.75" thickBot="1">
      <c r="A22" s="379" t="s">
        <v>490</v>
      </c>
      <c r="B22" s="477" t="s">
        <v>455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8" t="s">
        <v>487</v>
      </c>
      <c r="B23" s="529"/>
      <c r="C23" s="529"/>
      <c r="D23" s="529"/>
      <c r="E23" s="529"/>
      <c r="F23" s="529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498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514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444</v>
      </c>
      <c r="B28" s="383"/>
      <c r="C28" s="441" t="s">
        <v>188</v>
      </c>
      <c r="D28" s="441" t="s">
        <v>188</v>
      </c>
      <c r="E28" s="441" t="s">
        <v>188</v>
      </c>
      <c r="F28" s="442" t="s">
        <v>387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196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195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430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388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7" thickBot="1">
      <c r="A39" s="379" t="s">
        <v>494</v>
      </c>
      <c r="B39" s="478" t="s">
        <v>456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.75" thickBot="1">
      <c r="A40" s="379" t="s">
        <v>495</v>
      </c>
      <c r="B40" s="477" t="s">
        <v>457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30" t="s">
        <v>493</v>
      </c>
      <c r="B41" s="531"/>
      <c r="C41" s="531"/>
      <c r="D41" s="531"/>
      <c r="E41" s="531"/>
      <c r="F41" s="531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32"/>
      <c r="B42" s="532"/>
      <c r="C42" s="532"/>
      <c r="D42" s="532"/>
      <c r="E42" s="532"/>
      <c r="F42" s="532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499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488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188</v>
      </c>
      <c r="D46" s="434" t="s">
        <v>188</v>
      </c>
      <c r="E46" s="434" t="s">
        <v>188</v>
      </c>
      <c r="F46" s="435" t="s">
        <v>387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196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195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430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388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421">
        <v>0.002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7" thickBot="1">
      <c r="A57" s="379" t="s">
        <v>512</v>
      </c>
      <c r="B57" s="478" t="s">
        <v>456</v>
      </c>
      <c r="C57" s="426">
        <v>0</v>
      </c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.75" thickBot="1">
      <c r="A58" s="379" t="s">
        <v>513</v>
      </c>
      <c r="B58" s="477" t="s">
        <v>457</v>
      </c>
      <c r="C58" s="427">
        <v>25000000</v>
      </c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8" t="s">
        <v>515</v>
      </c>
      <c r="B59" s="533"/>
      <c r="C59" s="533"/>
      <c r="D59" s="533"/>
      <c r="E59" s="533"/>
      <c r="F59" s="533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34"/>
      <c r="B60" s="534"/>
      <c r="C60" s="534"/>
      <c r="D60" s="534"/>
      <c r="E60" s="534"/>
      <c r="F60" s="534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West Perth Power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2004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316</v>
      </c>
      <c r="C9" s="266"/>
      <c r="D9" s="266"/>
      <c r="E9" s="266"/>
    </row>
    <row r="10" spans="1:5" ht="12.75">
      <c r="A10" s="270"/>
      <c r="B10" s="270" t="s">
        <v>336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573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317</v>
      </c>
      <c r="B14" s="270" t="s">
        <v>517</v>
      </c>
      <c r="C14" s="273" t="s">
        <v>597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318</v>
      </c>
      <c r="B16" s="270" t="s">
        <v>518</v>
      </c>
      <c r="C16" s="273" t="s">
        <v>597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319</v>
      </c>
      <c r="B18" s="270" t="s">
        <v>161</v>
      </c>
      <c r="C18" s="273" t="s">
        <v>597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320</v>
      </c>
      <c r="B20" s="270" t="s">
        <v>519</v>
      </c>
      <c r="C20" s="273" t="s">
        <v>597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321</v>
      </c>
      <c r="B22" s="270" t="s">
        <v>521</v>
      </c>
      <c r="C22" s="273" t="s">
        <v>597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323</v>
      </c>
      <c r="B24" s="270" t="s">
        <v>520</v>
      </c>
      <c r="C24" s="273" t="s">
        <v>597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346</v>
      </c>
      <c r="B26" s="270" t="s">
        <v>322</v>
      </c>
      <c r="C26" s="273" t="s">
        <v>597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524</v>
      </c>
      <c r="B28" s="270" t="s">
        <v>522</v>
      </c>
      <c r="C28" s="273"/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347</v>
      </c>
      <c r="B30" s="270" t="s">
        <v>523</v>
      </c>
      <c r="C30" s="273" t="s">
        <v>597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7" thickBot="1">
      <c r="A32" s="270" t="s">
        <v>324</v>
      </c>
      <c r="B32" s="275" t="s">
        <v>527</v>
      </c>
      <c r="C32" s="273" t="s">
        <v>597</v>
      </c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525</v>
      </c>
      <c r="B34" s="270" t="s">
        <v>574</v>
      </c>
      <c r="C34" s="273" t="s">
        <v>597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526</v>
      </c>
      <c r="B36" s="92" t="s">
        <v>528</v>
      </c>
      <c r="D36" s="266"/>
      <c r="E36" s="266"/>
    </row>
    <row r="37" spans="1:5" ht="13.5" thickBot="1">
      <c r="A37" s="266"/>
      <c r="B37" s="486">
        <v>2001</v>
      </c>
      <c r="C37" s="273" t="s">
        <v>354</v>
      </c>
      <c r="D37" s="266"/>
      <c r="E37" s="266"/>
    </row>
    <row r="38" spans="2:5" ht="13.5" thickBot="1">
      <c r="B38" s="104">
        <v>2002</v>
      </c>
      <c r="C38" s="273" t="s">
        <v>354</v>
      </c>
      <c r="D38" s="266"/>
      <c r="E38" s="266"/>
    </row>
    <row r="39" spans="1:5" ht="13.5" thickBot="1">
      <c r="A39" s="266"/>
      <c r="B39" s="486">
        <v>2003</v>
      </c>
      <c r="C39" s="273" t="s">
        <v>354</v>
      </c>
      <c r="D39" s="266"/>
      <c r="E39" s="266"/>
    </row>
    <row r="40" spans="1:5" ht="13.5" thickBot="1">
      <c r="A40" s="266"/>
      <c r="B40" s="486">
        <v>2004</v>
      </c>
      <c r="C40" s="273" t="s">
        <v>354</v>
      </c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531</v>
      </c>
      <c r="B42" s="270" t="s">
        <v>532</v>
      </c>
      <c r="C42" s="515" t="s">
        <v>597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29">
      <selection activeCell="C40" sqref="C40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522</v>
      </c>
      <c r="C2" s="272" t="str">
        <f>REGINFO!E1</f>
        <v>Version 2004.2</v>
      </c>
    </row>
    <row r="3" spans="2:3" ht="12.75">
      <c r="B3" s="270" t="str">
        <f>REGINFO!A3</f>
        <v>Utility Name: West Perth Power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2004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3" ht="12.75">
      <c r="A6" s="270">
        <v>1</v>
      </c>
      <c r="B6" s="270" t="s">
        <v>312</v>
      </c>
      <c r="C6" s="266" t="s">
        <v>600</v>
      </c>
    </row>
    <row r="7" ht="12.75">
      <c r="B7" s="270" t="s">
        <v>191</v>
      </c>
    </row>
    <row r="10" ht="12.75">
      <c r="B10" s="270" t="s">
        <v>572</v>
      </c>
    </row>
    <row r="11" ht="12.75">
      <c r="B11" s="270"/>
    </row>
    <row r="12" spans="1:2" ht="12.75">
      <c r="A12" s="270">
        <v>2</v>
      </c>
      <c r="B12" s="270" t="s">
        <v>203</v>
      </c>
    </row>
    <row r="13" ht="12.75">
      <c r="B13" s="270" t="s">
        <v>191</v>
      </c>
    </row>
    <row r="14" ht="12.75">
      <c r="B14" s="270"/>
    </row>
    <row r="15" ht="12.75">
      <c r="B15" s="270"/>
    </row>
    <row r="17" spans="1:2" ht="26.25">
      <c r="A17" s="270">
        <v>3</v>
      </c>
      <c r="B17" s="275" t="s">
        <v>204</v>
      </c>
    </row>
    <row r="18" ht="12.75">
      <c r="B18" s="270" t="s">
        <v>191</v>
      </c>
    </row>
    <row r="22" spans="1:2" ht="26.25">
      <c r="A22" s="270">
        <v>4</v>
      </c>
      <c r="B22" s="275" t="s">
        <v>202</v>
      </c>
    </row>
    <row r="23" ht="12.75">
      <c r="B23" s="270" t="s">
        <v>191</v>
      </c>
    </row>
    <row r="26" spans="1:2" ht="26.25">
      <c r="A26" s="270">
        <v>5</v>
      </c>
      <c r="B26" s="275" t="s">
        <v>348</v>
      </c>
    </row>
    <row r="27" ht="12.75">
      <c r="B27" s="270" t="s">
        <v>191</v>
      </c>
    </row>
    <row r="30" spans="1:2" ht="26.25">
      <c r="A30" s="270">
        <v>6</v>
      </c>
      <c r="B30" s="275" t="s">
        <v>529</v>
      </c>
    </row>
    <row r="31" ht="12.75">
      <c r="B31" s="270" t="s">
        <v>191</v>
      </c>
    </row>
    <row r="33" ht="12.75">
      <c r="B33" s="270"/>
    </row>
    <row r="34" ht="12.75">
      <c r="B34" s="270"/>
    </row>
    <row r="35" spans="1:15" ht="26.25">
      <c r="A35" s="2">
        <v>7</v>
      </c>
      <c r="B35" s="92" t="s">
        <v>530</v>
      </c>
      <c r="C35" s="2" t="s">
        <v>601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191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3" ht="26.25">
      <c r="A39" s="270">
        <v>8</v>
      </c>
      <c r="B39" s="275" t="s">
        <v>417</v>
      </c>
      <c r="C39" s="266" t="s">
        <v>601</v>
      </c>
    </row>
    <row r="40" ht="12.75">
      <c r="B40" s="270" t="s">
        <v>191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zoomScalePageLayoutView="0" workbookViewId="0" topLeftCell="A4">
      <selection activeCell="G17" sqref="G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581</v>
      </c>
    </row>
    <row r="3" spans="1:15" ht="12.75">
      <c r="A3" s="2" t="str">
        <f>REGINFO!A3</f>
        <v>Utility Name: West Perth Power</v>
      </c>
      <c r="O3" s="489" t="str">
        <f>REGINFO!E1</f>
        <v>Version 2004.2</v>
      </c>
    </row>
    <row r="4" spans="1:15" ht="12.75">
      <c r="A4" s="2" t="str">
        <f>REGINFO!A4</f>
        <v>Reporting period:   2004</v>
      </c>
      <c r="O4" s="489" t="str">
        <f>REGINFO!E2</f>
        <v>RRR # 2.1.8</v>
      </c>
    </row>
    <row r="5" spans="3:7" ht="12.75">
      <c r="C5" s="490" t="s">
        <v>470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280</v>
      </c>
      <c r="C12" s="463">
        <v>0</v>
      </c>
      <c r="D12" s="458"/>
      <c r="E12" s="465">
        <f>C20</f>
        <v>187860.1725</v>
      </c>
      <c r="F12" s="492"/>
      <c r="G12" s="465">
        <f>E20</f>
        <v>165097.3024044414</v>
      </c>
      <c r="H12" s="492"/>
      <c r="I12" s="465">
        <f>G20</f>
        <v>137527.2497177294</v>
      </c>
      <c r="J12" s="458"/>
      <c r="K12" s="465">
        <f>I20</f>
        <v>141769.09029900632</v>
      </c>
      <c r="L12" s="458"/>
      <c r="M12" s="458">
        <f>K20</f>
        <v>109805.91340862337</v>
      </c>
      <c r="N12" s="458"/>
      <c r="O12" s="465">
        <f>C12</f>
        <v>0</v>
      </c>
    </row>
    <row r="13" spans="1:15" ht="26.25">
      <c r="A13" s="92" t="s">
        <v>567</v>
      </c>
      <c r="B13" s="75" t="s">
        <v>283</v>
      </c>
      <c r="C13" s="464">
        <f>'[2]1562'!$D$10</f>
        <v>186732</v>
      </c>
      <c r="D13" s="459"/>
      <c r="E13" s="464">
        <f>'[2]1562'!$D$24</f>
        <v>659320</v>
      </c>
      <c r="F13" s="107"/>
      <c r="G13" s="491">
        <f>C13+E13</f>
        <v>846052</v>
      </c>
      <c r="H13" s="107"/>
      <c r="I13" s="491">
        <f>(E13/12*9)+(G13/12*3)</f>
        <v>706003</v>
      </c>
      <c r="J13" s="459"/>
      <c r="K13" s="464">
        <f>'[2]1562'!$D$66</f>
        <v>378942.66872844833</v>
      </c>
      <c r="L13" s="459"/>
      <c r="M13" s="459"/>
      <c r="N13" s="459"/>
      <c r="O13" s="465">
        <f aca="true" t="shared" si="0" ref="O13:O18">SUM(C13:N13)</f>
        <v>2777049.6687284485</v>
      </c>
    </row>
    <row r="14" spans="1:15" ht="26.25">
      <c r="A14" s="92" t="s">
        <v>565</v>
      </c>
      <c r="B14" s="75" t="s">
        <v>283</v>
      </c>
      <c r="C14" s="464"/>
      <c r="D14" s="459"/>
      <c r="E14" s="464"/>
      <c r="F14" s="107"/>
      <c r="G14" s="464"/>
      <c r="H14" s="107"/>
      <c r="I14" s="464"/>
      <c r="J14" s="459"/>
      <c r="K14" s="491">
        <f>TAXCALC!I130</f>
        <v>-3421.751044482674</v>
      </c>
      <c r="L14" s="459"/>
      <c r="M14" s="459"/>
      <c r="N14" s="459"/>
      <c r="O14" s="465">
        <f t="shared" si="0"/>
        <v>-3421.751044482674</v>
      </c>
    </row>
    <row r="15" spans="1:15" ht="26.25">
      <c r="A15" s="92" t="s">
        <v>566</v>
      </c>
      <c r="B15" s="75" t="s">
        <v>283</v>
      </c>
      <c r="C15" s="464"/>
      <c r="D15" s="459"/>
      <c r="E15" s="464"/>
      <c r="F15" s="107"/>
      <c r="G15" s="464"/>
      <c r="H15" s="107"/>
      <c r="I15" s="464"/>
      <c r="J15" s="459"/>
      <c r="K15" s="491">
        <f>TAXCALC!I179</f>
        <v>0</v>
      </c>
      <c r="L15" s="459"/>
      <c r="M15" s="459"/>
      <c r="N15" s="459"/>
      <c r="O15" s="465">
        <f t="shared" si="0"/>
        <v>0</v>
      </c>
    </row>
    <row r="16" spans="1:15" ht="26.25">
      <c r="A16" s="92" t="s">
        <v>568</v>
      </c>
      <c r="B16" s="75"/>
      <c r="C16" s="464"/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499" t="s">
        <v>350</v>
      </c>
      <c r="B17" s="75" t="s">
        <v>283</v>
      </c>
      <c r="C17" s="464">
        <f>'[2]1562'!$H$10</f>
        <v>1128.1725000000001</v>
      </c>
      <c r="D17" s="459"/>
      <c r="E17" s="464">
        <f>'[2]1562'!$H$24</f>
        <v>16683.36463306636</v>
      </c>
      <c r="F17" s="107"/>
      <c r="G17" s="464">
        <f>'[2]1562'!$H$38</f>
        <v>8517.537597564187</v>
      </c>
      <c r="H17" s="107"/>
      <c r="I17" s="464">
        <f>'[2]1562'!$H$52</f>
        <v>6687.895364526711</v>
      </c>
      <c r="J17" s="459"/>
      <c r="K17" s="464">
        <f>'[2]1562'!$H$66</f>
        <v>6353.75542565147</v>
      </c>
      <c r="L17" s="459"/>
      <c r="M17" s="459"/>
      <c r="N17" s="459"/>
      <c r="O17" s="465">
        <f t="shared" si="0"/>
        <v>39370.72552080873</v>
      </c>
    </row>
    <row r="18" spans="1:15" ht="24.75" customHeight="1">
      <c r="A18" s="92" t="s">
        <v>569</v>
      </c>
      <c r="B18" s="75" t="s">
        <v>278</v>
      </c>
      <c r="C18" s="491">
        <v>0</v>
      </c>
      <c r="D18" s="459"/>
      <c r="E18" s="464">
        <f>-'[2]1562'!$E$24</f>
        <v>-698766.2347286249</v>
      </c>
      <c r="F18" s="107"/>
      <c r="G18" s="464">
        <f>-'[2]1562'!$E$38</f>
        <v>-882139.5902842762</v>
      </c>
      <c r="H18" s="107"/>
      <c r="I18" s="464">
        <f>-'[2]1562'!$E$52</f>
        <v>-708449.0547832497</v>
      </c>
      <c r="J18" s="459"/>
      <c r="K18" s="464">
        <f>-'[2]1562'!$E$66</f>
        <v>-413837.85000000003</v>
      </c>
      <c r="L18" s="459"/>
      <c r="M18" s="459"/>
      <c r="N18" s="459"/>
      <c r="O18" s="465">
        <f t="shared" si="0"/>
        <v>-2703192.729796151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561</v>
      </c>
      <c r="B20" s="40"/>
      <c r="C20" s="466">
        <f>SUM(C12:C18)</f>
        <v>187860.1725</v>
      </c>
      <c r="D20" s="492"/>
      <c r="E20" s="466">
        <f>SUM(E12:E18)</f>
        <v>165097.3024044414</v>
      </c>
      <c r="F20" s="492"/>
      <c r="G20" s="466">
        <f>SUM(G12:G18)</f>
        <v>137527.2497177294</v>
      </c>
      <c r="H20" s="492"/>
      <c r="I20" s="466">
        <f>SUM(I12:I18)</f>
        <v>141769.09029900632</v>
      </c>
      <c r="J20" s="458"/>
      <c r="K20" s="466">
        <f>SUM(K12:K18)</f>
        <v>109805.91340862337</v>
      </c>
      <c r="L20" s="458"/>
      <c r="M20" s="460">
        <f>SUM(M12:M19)</f>
        <v>109805.91340862337</v>
      </c>
      <c r="N20" s="458"/>
      <c r="O20" s="466">
        <f>SUM(O12:O18)</f>
        <v>109805.91340862354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39.75" thickBot="1">
      <c r="A22" s="92" t="s">
        <v>570</v>
      </c>
      <c r="B22" s="75" t="s">
        <v>278</v>
      </c>
      <c r="C22" s="500">
        <v>0</v>
      </c>
      <c r="D22" s="107"/>
      <c r="E22" s="500">
        <v>0</v>
      </c>
      <c r="F22" s="107"/>
      <c r="G22" s="500">
        <v>0</v>
      </c>
      <c r="H22" s="107"/>
      <c r="I22" s="500">
        <v>0</v>
      </c>
      <c r="J22" s="459"/>
      <c r="K22" s="500" t="e">
        <f>-#REF!</f>
        <v>#REF!</v>
      </c>
      <c r="L22" s="459"/>
      <c r="M22" s="459"/>
      <c r="N22" s="459"/>
      <c r="O22" s="501" t="e">
        <f>C22+E22+G22+I22+K22+M22</f>
        <v>#REF!</v>
      </c>
    </row>
    <row r="23" spans="1:15" ht="13.5" thickTop="1">
      <c r="A23" s="502"/>
      <c r="B23" s="503"/>
      <c r="C23" s="509"/>
      <c r="D23" s="510"/>
      <c r="E23" s="509"/>
      <c r="F23" s="510"/>
      <c r="G23" s="509"/>
      <c r="H23" s="510"/>
      <c r="I23" s="509"/>
      <c r="J23" s="503"/>
      <c r="K23" s="509"/>
      <c r="L23" s="211"/>
      <c r="M23" s="511"/>
      <c r="N23" s="211"/>
      <c r="O23" s="511"/>
    </row>
    <row r="24" spans="1:15" ht="12.75">
      <c r="A24" s="502" t="s">
        <v>183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4"/>
      <c r="L24" s="211"/>
      <c r="M24" s="211"/>
      <c r="N24" s="211"/>
      <c r="O24" s="211"/>
    </row>
    <row r="25" spans="1:15" ht="12.75">
      <c r="A25" s="503" t="s">
        <v>193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211"/>
      <c r="M25" s="211"/>
      <c r="N25" s="211"/>
      <c r="O25" s="211"/>
    </row>
    <row r="26" spans="1:15" ht="12.75">
      <c r="A26" s="505" t="s">
        <v>194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211"/>
      <c r="M26" s="211"/>
      <c r="N26" s="211"/>
      <c r="O26" s="211"/>
    </row>
    <row r="27" spans="1:15" ht="12.75">
      <c r="A27" s="503"/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211"/>
      <c r="M27" s="211"/>
      <c r="N27" s="211"/>
      <c r="O27" s="211"/>
    </row>
    <row r="28" spans="1:15" ht="12.75">
      <c r="A28" s="502" t="s">
        <v>533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211"/>
      <c r="M28" s="211"/>
      <c r="N28" s="211"/>
      <c r="O28" s="211"/>
    </row>
    <row r="29" spans="1:15" ht="12.75">
      <c r="A29" s="538" t="s">
        <v>602</v>
      </c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</row>
    <row r="30" spans="1:15" ht="12.75">
      <c r="A30" s="539"/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</row>
    <row r="31" spans="1:15" ht="12.75">
      <c r="A31" s="539"/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</row>
    <row r="32" spans="1:15" ht="12.75">
      <c r="A32" s="503"/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211"/>
      <c r="M32" s="211"/>
      <c r="N32" s="211"/>
      <c r="O32" s="211"/>
    </row>
    <row r="33" spans="1:19" ht="12.75">
      <c r="A33" s="535" t="s">
        <v>0</v>
      </c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493"/>
      <c r="Q33" s="493"/>
      <c r="R33" s="493"/>
      <c r="S33" s="493"/>
    </row>
    <row r="34" spans="1:19" ht="12.75">
      <c r="A34" s="537" t="s">
        <v>557</v>
      </c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493"/>
      <c r="Q34" s="493"/>
      <c r="R34" s="493"/>
      <c r="S34" s="493"/>
    </row>
    <row r="35" spans="1:19" ht="12.75">
      <c r="A35" s="506" t="s">
        <v>558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493"/>
      <c r="Q35" s="493"/>
      <c r="R35" s="493"/>
      <c r="S35" s="493"/>
    </row>
    <row r="36" spans="1:19" ht="12.75">
      <c r="A36" s="506" t="s">
        <v>559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493"/>
      <c r="Q36" s="493"/>
      <c r="R36" s="493"/>
      <c r="S36" s="493"/>
    </row>
    <row r="37" spans="1:19" ht="12.75">
      <c r="A37" s="506" t="s">
        <v>562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493"/>
      <c r="Q37" s="493"/>
      <c r="R37" s="493"/>
      <c r="S37" s="493"/>
    </row>
    <row r="38" spans="1:19" ht="12.75">
      <c r="A38" s="506" t="s">
        <v>563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493"/>
      <c r="Q38" s="493"/>
      <c r="R38" s="493"/>
      <c r="S38" s="493"/>
    </row>
    <row r="39" spans="1:19" ht="12.75">
      <c r="A39" s="506"/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493"/>
      <c r="Q39" s="493"/>
      <c r="R39" s="493"/>
      <c r="S39" s="493"/>
    </row>
    <row r="40" spans="1:15" ht="12.75">
      <c r="A40" s="508" t="s">
        <v>1</v>
      </c>
      <c r="B40" s="503"/>
      <c r="C40" s="503"/>
      <c r="D40" s="503"/>
      <c r="E40" s="503"/>
      <c r="F40" s="503"/>
      <c r="G40" s="503"/>
      <c r="H40" s="503"/>
      <c r="I40" s="503"/>
      <c r="J40" s="503"/>
      <c r="K40" s="503"/>
      <c r="L40" s="211"/>
      <c r="M40" s="211"/>
      <c r="N40" s="211"/>
      <c r="O40" s="211"/>
    </row>
    <row r="41" spans="1:15" ht="12.75">
      <c r="A41" s="508"/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211"/>
      <c r="M41" s="211"/>
      <c r="N41" s="211"/>
      <c r="O41" s="211"/>
    </row>
    <row r="42" spans="1:15" ht="12.75">
      <c r="A42" s="508" t="s">
        <v>2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211"/>
      <c r="M42" s="211"/>
      <c r="N42" s="211"/>
      <c r="O42" s="211"/>
    </row>
    <row r="43" spans="1:15" ht="12.75">
      <c r="A43" s="508"/>
      <c r="B43" s="503"/>
      <c r="C43" s="503"/>
      <c r="D43" s="503"/>
      <c r="E43" s="503"/>
      <c r="F43" s="503"/>
      <c r="G43" s="503"/>
      <c r="H43" s="503"/>
      <c r="I43" s="503"/>
      <c r="J43" s="503"/>
      <c r="K43" s="503"/>
      <c r="L43" s="211"/>
      <c r="M43" s="211"/>
      <c r="N43" s="211"/>
      <c r="O43" s="211"/>
    </row>
    <row r="44" spans="1:15" ht="12.75">
      <c r="A44" s="503" t="s">
        <v>564</v>
      </c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211"/>
      <c r="M44" s="211"/>
      <c r="N44" s="211"/>
      <c r="O44" s="211"/>
    </row>
    <row r="45" spans="1:15" ht="12.75">
      <c r="A45" s="503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211"/>
      <c r="M45" s="211"/>
      <c r="N45" s="211"/>
      <c r="O45" s="211"/>
    </row>
    <row r="46" spans="1:15" ht="12.75">
      <c r="A46" s="503" t="s">
        <v>592</v>
      </c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211"/>
      <c r="M46" s="211"/>
      <c r="N46" s="211"/>
      <c r="O46" s="211"/>
    </row>
    <row r="47" spans="1:15" ht="12.75">
      <c r="A47" s="503" t="s">
        <v>589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211"/>
      <c r="M47" s="211"/>
      <c r="N47" s="211"/>
      <c r="O47" s="211"/>
    </row>
    <row r="48" spans="1:15" ht="12.75">
      <c r="A48" s="503" t="s">
        <v>584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211"/>
      <c r="M48" s="211"/>
      <c r="N48" s="211"/>
      <c r="O48" s="211"/>
    </row>
    <row r="49" spans="1:15" ht="12.75">
      <c r="A49" s="503" t="s">
        <v>583</v>
      </c>
      <c r="B49" s="503"/>
      <c r="C49" s="503"/>
      <c r="D49" s="503"/>
      <c r="E49" s="503"/>
      <c r="F49" s="503"/>
      <c r="G49" s="503"/>
      <c r="H49" s="503"/>
      <c r="I49" s="503"/>
      <c r="J49" s="503"/>
      <c r="K49" s="503"/>
      <c r="L49" s="211"/>
      <c r="M49" s="211"/>
      <c r="N49" s="211"/>
      <c r="O49" s="211"/>
    </row>
    <row r="50" spans="1:15" ht="12.75">
      <c r="A50" s="503" t="s">
        <v>585</v>
      </c>
      <c r="B50" s="503"/>
      <c r="C50" s="503"/>
      <c r="D50" s="503"/>
      <c r="E50" s="503"/>
      <c r="F50" s="503"/>
      <c r="G50" s="503"/>
      <c r="H50" s="503"/>
      <c r="I50" s="503"/>
      <c r="J50" s="503"/>
      <c r="K50" s="503"/>
      <c r="L50" s="211"/>
      <c r="M50" s="211"/>
      <c r="N50" s="211"/>
      <c r="O50" s="211"/>
    </row>
    <row r="51" spans="1:15" ht="12.75">
      <c r="A51" s="503"/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211"/>
      <c r="M51" s="211"/>
      <c r="N51" s="211"/>
      <c r="O51" s="211"/>
    </row>
    <row r="52" spans="1:15" ht="12.75">
      <c r="A52" s="503" t="s">
        <v>591</v>
      </c>
      <c r="B52" s="503"/>
      <c r="C52" s="503"/>
      <c r="D52" s="503"/>
      <c r="E52" s="503"/>
      <c r="F52" s="503"/>
      <c r="G52" s="503"/>
      <c r="H52" s="503"/>
      <c r="I52" s="503"/>
      <c r="J52" s="503"/>
      <c r="K52" s="503"/>
      <c r="L52" s="211"/>
      <c r="M52" s="211"/>
      <c r="N52" s="211"/>
      <c r="O52" s="211"/>
    </row>
    <row r="53" spans="1:15" ht="12.75">
      <c r="A53" s="503" t="s">
        <v>590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211"/>
      <c r="M53" s="211"/>
      <c r="N53" s="211"/>
      <c r="O53" s="211"/>
    </row>
    <row r="54" spans="1:15" ht="12.75">
      <c r="A54" s="503" t="s">
        <v>587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211"/>
      <c r="M54" s="211"/>
      <c r="N54" s="211"/>
      <c r="O54" s="211"/>
    </row>
    <row r="55" spans="1:15" ht="12.75">
      <c r="A55" s="503"/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211"/>
      <c r="M55" s="211"/>
      <c r="N55" s="211"/>
      <c r="O55" s="211"/>
    </row>
    <row r="56" spans="1:15" ht="12.75">
      <c r="A56" s="503" t="s">
        <v>586</v>
      </c>
      <c r="B56" s="503"/>
      <c r="C56" s="503"/>
      <c r="D56" s="503"/>
      <c r="E56" s="503"/>
      <c r="F56" s="503"/>
      <c r="G56" s="503"/>
      <c r="H56" s="503"/>
      <c r="I56" s="503"/>
      <c r="J56" s="503"/>
      <c r="K56" s="503"/>
      <c r="L56" s="211"/>
      <c r="M56" s="211"/>
      <c r="N56" s="211"/>
      <c r="O56" s="211"/>
    </row>
    <row r="57" spans="1:15" ht="12.75">
      <c r="A57" s="503" t="s">
        <v>588</v>
      </c>
      <c r="B57" s="503"/>
      <c r="C57" s="503"/>
      <c r="D57" s="503"/>
      <c r="E57" s="503"/>
      <c r="F57" s="503"/>
      <c r="G57" s="503"/>
      <c r="H57" s="503"/>
      <c r="I57" s="503"/>
      <c r="J57" s="503"/>
      <c r="K57" s="503"/>
      <c r="L57" s="211"/>
      <c r="M57" s="211"/>
      <c r="N57" s="211"/>
      <c r="O57" s="211"/>
    </row>
    <row r="58" spans="1:15" ht="12.75">
      <c r="A58" s="503"/>
      <c r="B58" s="503"/>
      <c r="C58" s="503"/>
      <c r="D58" s="503"/>
      <c r="E58" s="503"/>
      <c r="F58" s="503"/>
      <c r="G58" s="503"/>
      <c r="H58" s="503"/>
      <c r="I58" s="503"/>
      <c r="J58" s="503"/>
      <c r="K58" s="503"/>
      <c r="L58" s="211"/>
      <c r="M58" s="211"/>
      <c r="N58" s="211"/>
      <c r="O58" s="211"/>
    </row>
    <row r="59" spans="1:15" ht="12.75">
      <c r="A59" s="537" t="s">
        <v>571</v>
      </c>
      <c r="B59" s="536"/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</row>
    <row r="60" spans="1:15" ht="12.75">
      <c r="A60" s="503" t="s">
        <v>560</v>
      </c>
      <c r="B60" s="503"/>
      <c r="C60" s="503"/>
      <c r="D60" s="503"/>
      <c r="E60" s="503"/>
      <c r="F60" s="503"/>
      <c r="G60" s="503"/>
      <c r="H60" s="503"/>
      <c r="I60" s="503"/>
      <c r="J60" s="503"/>
      <c r="K60" s="503"/>
      <c r="L60" s="211"/>
      <c r="M60" s="211"/>
      <c r="N60" s="211"/>
      <c r="O60" s="211"/>
    </row>
    <row r="61" spans="1:15" ht="12.75">
      <c r="A61" s="503"/>
      <c r="B61" s="503"/>
      <c r="C61" s="503"/>
      <c r="D61" s="503"/>
      <c r="E61" s="503"/>
      <c r="F61" s="503"/>
      <c r="G61" s="503"/>
      <c r="H61" s="503"/>
      <c r="I61" s="503"/>
      <c r="J61" s="503"/>
      <c r="K61" s="503"/>
      <c r="L61" s="211"/>
      <c r="M61" s="211"/>
      <c r="N61" s="211"/>
      <c r="O61" s="211"/>
    </row>
    <row r="62" spans="1:15" ht="12.75">
      <c r="A62" s="503"/>
      <c r="B62" s="503"/>
      <c r="C62" s="503"/>
      <c r="D62" s="503"/>
      <c r="E62" s="503"/>
      <c r="F62" s="503"/>
      <c r="G62" s="503"/>
      <c r="H62" s="503"/>
      <c r="I62" s="503"/>
      <c r="J62" s="503"/>
      <c r="K62" s="503"/>
      <c r="L62" s="211"/>
      <c r="M62" s="211"/>
      <c r="N62" s="211"/>
      <c r="O62" s="211"/>
    </row>
    <row r="63" spans="1:15" ht="12.75">
      <c r="A63" s="503"/>
      <c r="B63" s="503"/>
      <c r="C63" s="503"/>
      <c r="D63" s="503"/>
      <c r="E63" s="503"/>
      <c r="F63" s="503"/>
      <c r="G63" s="503"/>
      <c r="H63" s="503"/>
      <c r="I63" s="503"/>
      <c r="J63" s="503"/>
      <c r="K63" s="503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0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2005-08-23T20:27:26Z</cp:lastPrinted>
  <dcterms:created xsi:type="dcterms:W3CDTF">2001-11-07T16:15:53Z</dcterms:created>
  <dcterms:modified xsi:type="dcterms:W3CDTF">2013-06-14T17:41:59Z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