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330" windowWidth="20730" windowHeight="9270"/>
  </bookViews>
  <sheets>
    <sheet name="Bill Impacts App 2-W Residentia" sheetId="1" r:id="rId1"/>
    <sheet name="Bill Impacts App 2-W GS&lt;50" sheetId="2" r:id="rId2"/>
    <sheet name="Bill Impacts App 2-W GS 50 -299" sheetId="6" r:id="rId3"/>
    <sheet name="Bill Impacts App 2-W GS 3000-49" sheetId="3" r:id="rId4"/>
    <sheet name="Bill Impacts App 2-W Street Lgt" sheetId="7" r:id="rId5"/>
    <sheet name="Bill Impacts App 2-W Sent Lgts" sheetId="5" r:id="rId6"/>
    <sheet name="Bill Impacts App 2-W USL" sheetId="4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Data">#REF!</definedName>
    <definedName name="job">#REF!</definedName>
    <definedName name="LDC_LIST">[1]lists!$AM$1:$AM$80</definedName>
    <definedName name="LDCLIST">'[2]LDC Info'!$AA$3:$AA$80</definedName>
    <definedName name="_xlnm.Print_Area" localSheetId="3">'Bill Impacts App 2-W GS 3000-49'!$A$1:$P$62</definedName>
    <definedName name="_xlnm.Print_Area" localSheetId="2">'Bill Impacts App 2-W GS 50 -299'!$A$1:$P$65</definedName>
    <definedName name="_xlnm.Print_Area" localSheetId="1">'Bill Impacts App 2-W GS&lt;50'!$A$1:$P$71</definedName>
    <definedName name="_xlnm.Print_Area" localSheetId="0">'Bill Impacts App 2-W Residentia'!$A$1:$P$86</definedName>
    <definedName name="_xlnm.Print_Area" localSheetId="5">'Bill Impacts App 2-W Sent Lgts'!$A$1:$P$61</definedName>
    <definedName name="_xlnm.Print_Area" localSheetId="4">'Bill Impacts App 2-W Street Lgt'!$A$6:$P$61</definedName>
    <definedName name="_xlnm.Print_Area" localSheetId="6">'Bill Impacts App 2-W USL'!$A$1:$P$71</definedName>
  </definedNames>
  <calcPr calcId="145621"/>
</workbook>
</file>

<file path=xl/calcChain.xml><?xml version="1.0" encoding="utf-8"?>
<calcChain xmlns="http://schemas.openxmlformats.org/spreadsheetml/2006/main">
  <c r="J38" i="4" l="1"/>
  <c r="J34" i="5"/>
  <c r="J37" i="7"/>
  <c r="J34" i="7"/>
  <c r="J37" i="3"/>
  <c r="J35" i="3"/>
  <c r="J38" i="6"/>
  <c r="J38" i="2"/>
  <c r="J38" i="1"/>
  <c r="F17" i="7" l="1"/>
  <c r="G17" i="7"/>
  <c r="J17" i="7"/>
  <c r="K17" i="7"/>
  <c r="L17" i="7"/>
  <c r="L33" i="7" s="1"/>
  <c r="H18" i="7"/>
  <c r="L18" i="7"/>
  <c r="N18" i="7" s="1"/>
  <c r="O18" i="7"/>
  <c r="H19" i="7"/>
  <c r="O19" i="7" s="1"/>
  <c r="L19" i="7"/>
  <c r="N19" i="7"/>
  <c r="H20" i="7"/>
  <c r="L20" i="7"/>
  <c r="N20" i="7" s="1"/>
  <c r="O20" i="7"/>
  <c r="H21" i="7"/>
  <c r="O21" i="7" s="1"/>
  <c r="L21" i="7"/>
  <c r="N21" i="7"/>
  <c r="H22" i="7"/>
  <c r="L22" i="7"/>
  <c r="N22" i="7" s="1"/>
  <c r="O22" i="7"/>
  <c r="F23" i="7"/>
  <c r="H23" i="7" s="1"/>
  <c r="J23" i="7"/>
  <c r="L23" i="7" s="1"/>
  <c r="H24" i="7"/>
  <c r="L24" i="7"/>
  <c r="N24" i="7"/>
  <c r="O24" i="7"/>
  <c r="H25" i="7"/>
  <c r="N25" i="7" s="1"/>
  <c r="L25" i="7"/>
  <c r="H26" i="7"/>
  <c r="L26" i="7"/>
  <c r="N26" i="7"/>
  <c r="O26" i="7"/>
  <c r="H27" i="7"/>
  <c r="N27" i="7" s="1"/>
  <c r="L27" i="7"/>
  <c r="H28" i="7"/>
  <c r="L28" i="7"/>
  <c r="N28" i="7"/>
  <c r="O28" i="7"/>
  <c r="H29" i="7"/>
  <c r="N29" i="7" s="1"/>
  <c r="L29" i="7"/>
  <c r="H30" i="7"/>
  <c r="L30" i="7"/>
  <c r="N30" i="7"/>
  <c r="O30" i="7"/>
  <c r="H31" i="7"/>
  <c r="N31" i="7" s="1"/>
  <c r="L31" i="7"/>
  <c r="H32" i="7"/>
  <c r="L32" i="7"/>
  <c r="N32" i="7"/>
  <c r="O32" i="7"/>
  <c r="F34" i="7"/>
  <c r="H34" i="7"/>
  <c r="L34" i="7"/>
  <c r="N34" i="7" s="1"/>
  <c r="F35" i="7"/>
  <c r="H35" i="7" s="1"/>
  <c r="G35" i="7"/>
  <c r="K35" i="7"/>
  <c r="F36" i="7"/>
  <c r="H36" i="7"/>
  <c r="O36" i="7" s="1"/>
  <c r="L36" i="7"/>
  <c r="N36" i="7" s="1"/>
  <c r="H37" i="7"/>
  <c r="O37" i="7" s="1"/>
  <c r="L37" i="7"/>
  <c r="N37" i="7" s="1"/>
  <c r="F38" i="7"/>
  <c r="H38" i="7" s="1"/>
  <c r="J38" i="7"/>
  <c r="L38" i="7" s="1"/>
  <c r="L39" i="7"/>
  <c r="N39" i="7"/>
  <c r="F41" i="7"/>
  <c r="H41" i="7" s="1"/>
  <c r="J41" i="7"/>
  <c r="L41" i="7" s="1"/>
  <c r="F42" i="7"/>
  <c r="H42" i="7" s="1"/>
  <c r="J42" i="7"/>
  <c r="L42" i="7" s="1"/>
  <c r="H46" i="7"/>
  <c r="L46" i="7"/>
  <c r="N46" i="7"/>
  <c r="O46" i="7"/>
  <c r="G47" i="7"/>
  <c r="H47" i="7" s="1"/>
  <c r="K47" i="7"/>
  <c r="L47" i="7" s="1"/>
  <c r="N47" i="7" s="1"/>
  <c r="H48" i="7"/>
  <c r="O48" i="7" s="1"/>
  <c r="L48" i="7"/>
  <c r="N48" i="7"/>
  <c r="H49" i="7"/>
  <c r="L49" i="7"/>
  <c r="N49" i="7"/>
  <c r="O49" i="7"/>
  <c r="H51" i="7"/>
  <c r="L51" i="7"/>
  <c r="N51" i="7"/>
  <c r="O51" i="7"/>
  <c r="H52" i="7"/>
  <c r="N52" i="7" s="1"/>
  <c r="L52" i="7"/>
  <c r="F61" i="7"/>
  <c r="G45" i="7" s="1"/>
  <c r="H45" i="7" s="1"/>
  <c r="J61" i="7"/>
  <c r="K50" i="7" s="1"/>
  <c r="L50" i="7" s="1"/>
  <c r="F21" i="6"/>
  <c r="H21" i="6" s="1"/>
  <c r="J21" i="6"/>
  <c r="L21" i="6"/>
  <c r="H22" i="6"/>
  <c r="O22" i="6" s="1"/>
  <c r="L22" i="6"/>
  <c r="N22" i="6" s="1"/>
  <c r="H23" i="6"/>
  <c r="L23" i="6"/>
  <c r="N23" i="6"/>
  <c r="O23" i="6"/>
  <c r="H24" i="6"/>
  <c r="O24" i="6" s="1"/>
  <c r="L24" i="6"/>
  <c r="N24" i="6" s="1"/>
  <c r="H25" i="6"/>
  <c r="L25" i="6"/>
  <c r="N25" i="6"/>
  <c r="O25" i="6"/>
  <c r="H26" i="6"/>
  <c r="O26" i="6" s="1"/>
  <c r="L26" i="6"/>
  <c r="N26" i="6" s="1"/>
  <c r="F27" i="6"/>
  <c r="G27" i="6"/>
  <c r="H27" i="6"/>
  <c r="J27" i="6"/>
  <c r="K27" i="6"/>
  <c r="L27" i="6"/>
  <c r="N27" i="6" s="1"/>
  <c r="G28" i="6"/>
  <c r="H28" i="6"/>
  <c r="K28" i="6"/>
  <c r="L28" i="6"/>
  <c r="N28" i="6"/>
  <c r="O28" i="6"/>
  <c r="F29" i="6"/>
  <c r="H29" i="6" s="1"/>
  <c r="G29" i="6"/>
  <c r="K29" i="6"/>
  <c r="L29" i="6"/>
  <c r="G30" i="6"/>
  <c r="H30" i="6" s="1"/>
  <c r="K30" i="6"/>
  <c r="L30" i="6"/>
  <c r="G31" i="6"/>
  <c r="H31" i="6"/>
  <c r="O31" i="6" s="1"/>
  <c r="K31" i="6"/>
  <c r="L31" i="6" s="1"/>
  <c r="N31" i="6" s="1"/>
  <c r="G32" i="6"/>
  <c r="H32" i="6"/>
  <c r="O32" i="6" s="1"/>
  <c r="K32" i="6"/>
  <c r="L32" i="6"/>
  <c r="N32" i="6"/>
  <c r="G33" i="6"/>
  <c r="H33" i="6"/>
  <c r="K33" i="6"/>
  <c r="L33" i="6"/>
  <c r="N33" i="6"/>
  <c r="O33" i="6"/>
  <c r="G34" i="6"/>
  <c r="H34" i="6" s="1"/>
  <c r="K34" i="6"/>
  <c r="L34" i="6"/>
  <c r="G35" i="6"/>
  <c r="H35" i="6"/>
  <c r="O35" i="6" s="1"/>
  <c r="K35" i="6"/>
  <c r="L35" i="6" s="1"/>
  <c r="N35" i="6" s="1"/>
  <c r="G36" i="6"/>
  <c r="H36" i="6"/>
  <c r="O36" i="6" s="1"/>
  <c r="K36" i="6"/>
  <c r="L36" i="6"/>
  <c r="N36" i="6"/>
  <c r="F38" i="6"/>
  <c r="G38" i="6"/>
  <c r="H38" i="6"/>
  <c r="L38" i="6"/>
  <c r="K38" i="6"/>
  <c r="F39" i="6"/>
  <c r="J39" i="6" s="1"/>
  <c r="L39" i="6" s="1"/>
  <c r="G39" i="6"/>
  <c r="K39" i="6"/>
  <c r="F40" i="6"/>
  <c r="H40" i="6" s="1"/>
  <c r="G40" i="6"/>
  <c r="K40" i="6"/>
  <c r="L40" i="6" s="1"/>
  <c r="G41" i="6"/>
  <c r="H41" i="6"/>
  <c r="O41" i="6" s="1"/>
  <c r="K41" i="6"/>
  <c r="L41" i="6"/>
  <c r="N41" i="6" s="1"/>
  <c r="F42" i="6"/>
  <c r="H42" i="6" s="1"/>
  <c r="G42" i="6"/>
  <c r="J42" i="6"/>
  <c r="K42" i="6"/>
  <c r="L42" i="6"/>
  <c r="L43" i="6"/>
  <c r="N43" i="6"/>
  <c r="F45" i="6"/>
  <c r="H45" i="6" s="1"/>
  <c r="G45" i="6"/>
  <c r="J45" i="6"/>
  <c r="K45" i="6"/>
  <c r="L45" i="6"/>
  <c r="F46" i="6"/>
  <c r="H46" i="6" s="1"/>
  <c r="G46" i="6"/>
  <c r="J46" i="6"/>
  <c r="L46" i="6" s="1"/>
  <c r="K46" i="6"/>
  <c r="G48" i="6"/>
  <c r="H48" i="6"/>
  <c r="G49" i="6"/>
  <c r="H49" i="6"/>
  <c r="H50" i="6"/>
  <c r="N50" i="6" s="1"/>
  <c r="O50" i="6" s="1"/>
  <c r="L50" i="6"/>
  <c r="G51" i="6"/>
  <c r="H51" i="6"/>
  <c r="K51" i="6"/>
  <c r="L51" i="6"/>
  <c r="N51" i="6" s="1"/>
  <c r="G52" i="6"/>
  <c r="H52" i="6"/>
  <c r="K52" i="6"/>
  <c r="L52" i="6" s="1"/>
  <c r="N52" i="6" s="1"/>
  <c r="O52" i="6" s="1"/>
  <c r="G53" i="6"/>
  <c r="H53" i="6" s="1"/>
  <c r="G54" i="6"/>
  <c r="H54" i="6"/>
  <c r="H55" i="6"/>
  <c r="L55" i="6"/>
  <c r="N55" i="6"/>
  <c r="O55" i="6"/>
  <c r="H56" i="6"/>
  <c r="O56" i="6" s="1"/>
  <c r="L56" i="6"/>
  <c r="F17" i="5"/>
  <c r="H17" i="5" s="1"/>
  <c r="J17" i="5"/>
  <c r="L17" i="5"/>
  <c r="L33" i="5" s="1"/>
  <c r="H18" i="5"/>
  <c r="O18" i="5" s="1"/>
  <c r="L18" i="5"/>
  <c r="N18" i="5" s="1"/>
  <c r="H19" i="5"/>
  <c r="L19" i="5"/>
  <c r="N19" i="5"/>
  <c r="O19" i="5"/>
  <c r="H20" i="5"/>
  <c r="O20" i="5" s="1"/>
  <c r="L20" i="5"/>
  <c r="N20" i="5" s="1"/>
  <c r="H21" i="5"/>
  <c r="L21" i="5"/>
  <c r="N21" i="5"/>
  <c r="O21" i="5"/>
  <c r="H22" i="5"/>
  <c r="O22" i="5" s="1"/>
  <c r="L22" i="5"/>
  <c r="N22" i="5" s="1"/>
  <c r="F23" i="5"/>
  <c r="G23" i="5"/>
  <c r="H23" i="5"/>
  <c r="J23" i="5"/>
  <c r="K23" i="5"/>
  <c r="L23" i="5"/>
  <c r="N23" i="5" s="1"/>
  <c r="H24" i="5"/>
  <c r="L24" i="5"/>
  <c r="N24" i="5"/>
  <c r="O24" i="5"/>
  <c r="H25" i="5"/>
  <c r="O25" i="5" s="1"/>
  <c r="L25" i="5"/>
  <c r="N25" i="5" s="1"/>
  <c r="H26" i="5"/>
  <c r="L26" i="5"/>
  <c r="N26" i="5"/>
  <c r="O26" i="5"/>
  <c r="H27" i="5"/>
  <c r="O27" i="5" s="1"/>
  <c r="L27" i="5"/>
  <c r="N27" i="5" s="1"/>
  <c r="H28" i="5"/>
  <c r="L28" i="5"/>
  <c r="N28" i="5"/>
  <c r="O28" i="5"/>
  <c r="H29" i="5"/>
  <c r="O29" i="5" s="1"/>
  <c r="L29" i="5"/>
  <c r="N29" i="5" s="1"/>
  <c r="H30" i="5"/>
  <c r="L30" i="5"/>
  <c r="N30" i="5"/>
  <c r="O30" i="5"/>
  <c r="H31" i="5"/>
  <c r="O31" i="5" s="1"/>
  <c r="L31" i="5"/>
  <c r="N31" i="5" s="1"/>
  <c r="H32" i="5"/>
  <c r="L32" i="5"/>
  <c r="N32" i="5"/>
  <c r="O32" i="5"/>
  <c r="F34" i="5"/>
  <c r="G34" i="5"/>
  <c r="H34" i="5"/>
  <c r="L34" i="5"/>
  <c r="N34" i="5" s="1"/>
  <c r="K34" i="5"/>
  <c r="F35" i="5"/>
  <c r="H35" i="5" s="1"/>
  <c r="G35" i="5"/>
  <c r="K35" i="5"/>
  <c r="F36" i="5"/>
  <c r="G36" i="5"/>
  <c r="H36" i="5"/>
  <c r="N36" i="5" s="1"/>
  <c r="K36" i="5"/>
  <c r="L36" i="5"/>
  <c r="G37" i="5"/>
  <c r="H37" i="5" s="1"/>
  <c r="K37" i="5"/>
  <c r="L37" i="5"/>
  <c r="F38" i="5"/>
  <c r="H38" i="5" s="1"/>
  <c r="G38" i="5"/>
  <c r="J38" i="5"/>
  <c r="L38" i="5" s="1"/>
  <c r="K38" i="5"/>
  <c r="L39" i="5"/>
  <c r="N39" i="5" s="1"/>
  <c r="F41" i="5"/>
  <c r="H41" i="5" s="1"/>
  <c r="G41" i="5"/>
  <c r="J41" i="5"/>
  <c r="L41" i="5" s="1"/>
  <c r="K41" i="5"/>
  <c r="F42" i="5"/>
  <c r="G42" i="5"/>
  <c r="H42" i="5"/>
  <c r="J42" i="5"/>
  <c r="L42" i="5" s="1"/>
  <c r="K42" i="5"/>
  <c r="H46" i="5"/>
  <c r="O46" i="5" s="1"/>
  <c r="L46" i="5"/>
  <c r="N46" i="5"/>
  <c r="G47" i="5"/>
  <c r="H47" i="5" s="1"/>
  <c r="K47" i="5"/>
  <c r="L47" i="5"/>
  <c r="G49" i="5"/>
  <c r="H49" i="5" s="1"/>
  <c r="O49" i="5" s="1"/>
  <c r="K49" i="5"/>
  <c r="L49" i="5" s="1"/>
  <c r="J50" i="5"/>
  <c r="N51" i="5"/>
  <c r="O51" i="5"/>
  <c r="N52" i="5"/>
  <c r="O52" i="5"/>
  <c r="F61" i="5"/>
  <c r="G44" i="5" s="1"/>
  <c r="H44" i="5" s="1"/>
  <c r="J61" i="5"/>
  <c r="K45" i="5" s="1"/>
  <c r="L45" i="5" s="1"/>
  <c r="F21" i="4"/>
  <c r="H21" i="4" s="1"/>
  <c r="J21" i="4"/>
  <c r="L21" i="4"/>
  <c r="L37" i="4" s="1"/>
  <c r="H22" i="4"/>
  <c r="L22" i="4"/>
  <c r="N22" i="4" s="1"/>
  <c r="O22" i="4"/>
  <c r="H23" i="4"/>
  <c r="O23" i="4" s="1"/>
  <c r="L23" i="4"/>
  <c r="N23" i="4"/>
  <c r="H24" i="4"/>
  <c r="L24" i="4"/>
  <c r="N24" i="4" s="1"/>
  <c r="O24" i="4"/>
  <c r="H25" i="4"/>
  <c r="O25" i="4" s="1"/>
  <c r="L25" i="4"/>
  <c r="N25" i="4"/>
  <c r="H26" i="4"/>
  <c r="L26" i="4"/>
  <c r="N26" i="4" s="1"/>
  <c r="O26" i="4"/>
  <c r="F27" i="4"/>
  <c r="H27" i="4" s="1"/>
  <c r="G27" i="4"/>
  <c r="J27" i="4"/>
  <c r="K27" i="4"/>
  <c r="L27" i="4"/>
  <c r="H28" i="4"/>
  <c r="O28" i="4" s="1"/>
  <c r="L28" i="4"/>
  <c r="N28" i="4"/>
  <c r="H29" i="4"/>
  <c r="L29" i="4"/>
  <c r="N29" i="4" s="1"/>
  <c r="O29" i="4"/>
  <c r="H30" i="4"/>
  <c r="O30" i="4" s="1"/>
  <c r="L30" i="4"/>
  <c r="N30" i="4"/>
  <c r="H31" i="4"/>
  <c r="L31" i="4"/>
  <c r="N31" i="4" s="1"/>
  <c r="O31" i="4"/>
  <c r="H32" i="4"/>
  <c r="O32" i="4" s="1"/>
  <c r="L32" i="4"/>
  <c r="N32" i="4"/>
  <c r="H33" i="4"/>
  <c r="L33" i="4"/>
  <c r="N33" i="4" s="1"/>
  <c r="O33" i="4"/>
  <c r="H34" i="4"/>
  <c r="O34" i="4" s="1"/>
  <c r="L34" i="4"/>
  <c r="N34" i="4"/>
  <c r="H35" i="4"/>
  <c r="L35" i="4"/>
  <c r="N35" i="4" s="1"/>
  <c r="O35" i="4"/>
  <c r="H36" i="4"/>
  <c r="O36" i="4" s="1"/>
  <c r="L36" i="4"/>
  <c r="N36" i="4"/>
  <c r="F38" i="4"/>
  <c r="H38" i="4" s="1"/>
  <c r="G38" i="4"/>
  <c r="L38" i="4"/>
  <c r="N38" i="4" s="1"/>
  <c r="K38" i="4"/>
  <c r="F39" i="4"/>
  <c r="J39" i="4" s="1"/>
  <c r="L39" i="4" s="1"/>
  <c r="G39" i="4"/>
  <c r="H39" i="4"/>
  <c r="K39" i="4"/>
  <c r="F40" i="4"/>
  <c r="G40" i="4"/>
  <c r="H40" i="4"/>
  <c r="N40" i="4" s="1"/>
  <c r="L40" i="4"/>
  <c r="H41" i="4"/>
  <c r="L41" i="4"/>
  <c r="N41" i="4" s="1"/>
  <c r="O41" i="4"/>
  <c r="F42" i="4"/>
  <c r="H42" i="4" s="1"/>
  <c r="G42" i="4"/>
  <c r="J42" i="4"/>
  <c r="L42" i="4" s="1"/>
  <c r="K42" i="4"/>
  <c r="L43" i="4"/>
  <c r="N43" i="4" s="1"/>
  <c r="F45" i="4"/>
  <c r="J45" i="4"/>
  <c r="F46" i="4"/>
  <c r="J46" i="4"/>
  <c r="H50" i="4"/>
  <c r="O50" i="4" s="1"/>
  <c r="L50" i="4"/>
  <c r="N50" i="4"/>
  <c r="G51" i="4"/>
  <c r="H51" i="4"/>
  <c r="K51" i="4"/>
  <c r="L51" i="4"/>
  <c r="N51" i="4" s="1"/>
  <c r="O51" i="4" s="1"/>
  <c r="G52" i="4"/>
  <c r="H52" i="4" s="1"/>
  <c r="G53" i="4"/>
  <c r="H53" i="4" s="1"/>
  <c r="O53" i="4" s="1"/>
  <c r="K53" i="4"/>
  <c r="L53" i="4" s="1"/>
  <c r="G56" i="4"/>
  <c r="H56" i="4" s="1"/>
  <c r="F71" i="4"/>
  <c r="G54" i="4" s="1"/>
  <c r="H54" i="4" s="1"/>
  <c r="J71" i="4"/>
  <c r="K55" i="4" s="1"/>
  <c r="L55" i="4" s="1"/>
  <c r="F62" i="3"/>
  <c r="G45" i="3" s="1"/>
  <c r="H45" i="3" s="1"/>
  <c r="O53" i="3"/>
  <c r="N53" i="3"/>
  <c r="L53" i="3"/>
  <c r="H53" i="3"/>
  <c r="O52" i="3"/>
  <c r="N52" i="3"/>
  <c r="L52" i="3"/>
  <c r="H52" i="3"/>
  <c r="G51" i="3"/>
  <c r="H51" i="3" s="1"/>
  <c r="L50" i="3"/>
  <c r="N50" i="3" s="1"/>
  <c r="H50" i="3"/>
  <c r="O50" i="3" s="1"/>
  <c r="L49" i="3"/>
  <c r="N49" i="3" s="1"/>
  <c r="H49" i="3"/>
  <c r="O49" i="3" s="1"/>
  <c r="K48" i="3"/>
  <c r="L48" i="3" s="1"/>
  <c r="G48" i="3"/>
  <c r="H48" i="3" s="1"/>
  <c r="N47" i="3"/>
  <c r="O47" i="3" s="1"/>
  <c r="L47" i="3"/>
  <c r="H47" i="3"/>
  <c r="G46" i="3"/>
  <c r="H46" i="3" s="1"/>
  <c r="J43" i="3"/>
  <c r="F43" i="3"/>
  <c r="K42" i="3"/>
  <c r="J42" i="3"/>
  <c r="G42" i="3"/>
  <c r="G43" i="3" s="1"/>
  <c r="H43" i="3" s="1"/>
  <c r="F42" i="3"/>
  <c r="H42" i="3" s="1"/>
  <c r="L40" i="3"/>
  <c r="N40" i="3" s="1"/>
  <c r="K39" i="3"/>
  <c r="J39" i="3"/>
  <c r="G39" i="3"/>
  <c r="F39" i="3"/>
  <c r="K38" i="3"/>
  <c r="L38" i="3" s="1"/>
  <c r="G38" i="3"/>
  <c r="H38" i="3" s="1"/>
  <c r="F38" i="3"/>
  <c r="K37" i="3"/>
  <c r="L37" i="3" s="1"/>
  <c r="G37" i="3"/>
  <c r="H37" i="3" s="1"/>
  <c r="O37" i="3" s="1"/>
  <c r="K36" i="3"/>
  <c r="J36" i="3"/>
  <c r="G36" i="3"/>
  <c r="F36" i="3"/>
  <c r="H36" i="3" s="1"/>
  <c r="K35" i="3"/>
  <c r="L35" i="3" s="1"/>
  <c r="H35" i="3"/>
  <c r="G35" i="3"/>
  <c r="F35" i="3"/>
  <c r="K33" i="3"/>
  <c r="L33" i="3" s="1"/>
  <c r="G33" i="3"/>
  <c r="H33" i="3" s="1"/>
  <c r="O33" i="3" s="1"/>
  <c r="K32" i="3"/>
  <c r="L32" i="3" s="1"/>
  <c r="G32" i="3"/>
  <c r="H32" i="3" s="1"/>
  <c r="O32" i="3" s="1"/>
  <c r="K31" i="3"/>
  <c r="L31" i="3" s="1"/>
  <c r="G31" i="3"/>
  <c r="H31" i="3" s="1"/>
  <c r="O31" i="3" s="1"/>
  <c r="K30" i="3"/>
  <c r="L30" i="3" s="1"/>
  <c r="N30" i="3" s="1"/>
  <c r="G30" i="3"/>
  <c r="H30" i="3" s="1"/>
  <c r="O30" i="3" s="1"/>
  <c r="K29" i="3"/>
  <c r="L29" i="3" s="1"/>
  <c r="G29" i="3"/>
  <c r="H29" i="3" s="1"/>
  <c r="O29" i="3" s="1"/>
  <c r="K28" i="3"/>
  <c r="L28" i="3" s="1"/>
  <c r="G28" i="3"/>
  <c r="H28" i="3" s="1"/>
  <c r="O28" i="3" s="1"/>
  <c r="K27" i="3"/>
  <c r="L27" i="3" s="1"/>
  <c r="G27" i="3"/>
  <c r="H27" i="3" s="1"/>
  <c r="O27" i="3" s="1"/>
  <c r="K26" i="3"/>
  <c r="L26" i="3" s="1"/>
  <c r="G26" i="3"/>
  <c r="H26" i="3" s="1"/>
  <c r="O26" i="3" s="1"/>
  <c r="F26" i="3"/>
  <c r="O25" i="3"/>
  <c r="K25" i="3"/>
  <c r="L25" i="3" s="1"/>
  <c r="N25" i="3" s="1"/>
  <c r="H25" i="3"/>
  <c r="G25" i="3"/>
  <c r="L24" i="3"/>
  <c r="K24" i="3"/>
  <c r="J24" i="3"/>
  <c r="G24" i="3"/>
  <c r="F24" i="3"/>
  <c r="O23" i="3"/>
  <c r="L23" i="3"/>
  <c r="N23" i="3" s="1"/>
  <c r="H23" i="3"/>
  <c r="O22" i="3"/>
  <c r="L22" i="3"/>
  <c r="N22" i="3" s="1"/>
  <c r="H22" i="3"/>
  <c r="O21" i="3"/>
  <c r="L21" i="3"/>
  <c r="N21" i="3" s="1"/>
  <c r="H21" i="3"/>
  <c r="O20" i="3"/>
  <c r="L20" i="3"/>
  <c r="N20" i="3" s="1"/>
  <c r="H20" i="3"/>
  <c r="O19" i="3"/>
  <c r="L19" i="3"/>
  <c r="N19" i="3" s="1"/>
  <c r="H19" i="3"/>
  <c r="L18" i="3"/>
  <c r="J18" i="3"/>
  <c r="F18" i="3"/>
  <c r="H18" i="3" s="1"/>
  <c r="F21" i="2"/>
  <c r="H21" i="2" s="1"/>
  <c r="J21" i="2"/>
  <c r="L21" i="2" s="1"/>
  <c r="H22" i="2"/>
  <c r="O22" i="2" s="1"/>
  <c r="J22" i="2"/>
  <c r="L22" i="2" s="1"/>
  <c r="N22" i="2" s="1"/>
  <c r="H23" i="2"/>
  <c r="O23" i="2" s="1"/>
  <c r="L23" i="2"/>
  <c r="N23" i="2" s="1"/>
  <c r="H24" i="2"/>
  <c r="O24" i="2" s="1"/>
  <c r="L24" i="2"/>
  <c r="N24" i="2" s="1"/>
  <c r="H25" i="2"/>
  <c r="O25" i="2" s="1"/>
  <c r="L25" i="2"/>
  <c r="N25" i="2" s="1"/>
  <c r="H26" i="2"/>
  <c r="O26" i="2" s="1"/>
  <c r="L26" i="2"/>
  <c r="N26" i="2" s="1"/>
  <c r="F27" i="2"/>
  <c r="G27" i="2"/>
  <c r="J27" i="2"/>
  <c r="K27" i="2"/>
  <c r="H28" i="2"/>
  <c r="J28" i="2"/>
  <c r="L28" i="2" s="1"/>
  <c r="N28" i="2" s="1"/>
  <c r="O28" i="2"/>
  <c r="F29" i="2"/>
  <c r="H29" i="2" s="1"/>
  <c r="G29" i="2"/>
  <c r="J29" i="2"/>
  <c r="K29" i="2"/>
  <c r="L29" i="2" s="1"/>
  <c r="H30" i="2"/>
  <c r="N30" i="2" s="1"/>
  <c r="L30" i="2"/>
  <c r="O30" i="2"/>
  <c r="H31" i="2"/>
  <c r="N31" i="2" s="1"/>
  <c r="L31" i="2"/>
  <c r="H32" i="2"/>
  <c r="N32" i="2" s="1"/>
  <c r="L32" i="2"/>
  <c r="O32" i="2"/>
  <c r="H33" i="2"/>
  <c r="N33" i="2" s="1"/>
  <c r="L33" i="2"/>
  <c r="H34" i="2"/>
  <c r="N34" i="2" s="1"/>
  <c r="L34" i="2"/>
  <c r="O34" i="2"/>
  <c r="H35" i="2"/>
  <c r="N35" i="2" s="1"/>
  <c r="L35" i="2"/>
  <c r="H36" i="2"/>
  <c r="N36" i="2" s="1"/>
  <c r="L36" i="2"/>
  <c r="O36" i="2"/>
  <c r="F38" i="2"/>
  <c r="H38" i="2" s="1"/>
  <c r="G38" i="2"/>
  <c r="K38" i="2"/>
  <c r="L38" i="2" s="1"/>
  <c r="H39" i="2"/>
  <c r="N39" i="2" s="1"/>
  <c r="L39" i="2"/>
  <c r="O39" i="2"/>
  <c r="F40" i="2"/>
  <c r="H40" i="2" s="1"/>
  <c r="G40" i="2"/>
  <c r="K40" i="2"/>
  <c r="F41" i="2"/>
  <c r="H41" i="2" s="1"/>
  <c r="G41" i="2"/>
  <c r="L41" i="2"/>
  <c r="F42" i="2"/>
  <c r="G42" i="2"/>
  <c r="H42" i="2"/>
  <c r="J42" i="2"/>
  <c r="L42" i="2" s="1"/>
  <c r="N42" i="2" s="1"/>
  <c r="K42" i="2"/>
  <c r="L43" i="2"/>
  <c r="N43" i="2"/>
  <c r="O43" i="2"/>
  <c r="F45" i="2"/>
  <c r="J45" i="2"/>
  <c r="F46" i="2"/>
  <c r="J46" i="2"/>
  <c r="H50" i="2"/>
  <c r="L50" i="2"/>
  <c r="N50" i="2"/>
  <c r="O50" i="2"/>
  <c r="G51" i="2"/>
  <c r="H51" i="2"/>
  <c r="O51" i="2" s="1"/>
  <c r="K51" i="2"/>
  <c r="L51" i="2" s="1"/>
  <c r="N51" i="2" s="1"/>
  <c r="G52" i="2"/>
  <c r="H52" i="2" s="1"/>
  <c r="K52" i="2"/>
  <c r="L52" i="2" s="1"/>
  <c r="K53" i="2"/>
  <c r="L53" i="2" s="1"/>
  <c r="N53" i="2" s="1"/>
  <c r="F71" i="2"/>
  <c r="G53" i="2" s="1"/>
  <c r="H53" i="2" s="1"/>
  <c r="J71" i="2"/>
  <c r="K54" i="2" s="1"/>
  <c r="L54" i="2" s="1"/>
  <c r="K56" i="1"/>
  <c r="L56" i="1" s="1"/>
  <c r="N56" i="1" s="1"/>
  <c r="J56" i="1"/>
  <c r="G56" i="1"/>
  <c r="H56" i="1" s="1"/>
  <c r="L55" i="1"/>
  <c r="N55" i="1" s="1"/>
  <c r="K55" i="1"/>
  <c r="J55" i="1"/>
  <c r="H55" i="1"/>
  <c r="O55" i="1" s="1"/>
  <c r="G55" i="1"/>
  <c r="K54" i="1"/>
  <c r="L54" i="1" s="1"/>
  <c r="N54" i="1" s="1"/>
  <c r="J54" i="1"/>
  <c r="G54" i="1"/>
  <c r="H54" i="1" s="1"/>
  <c r="K53" i="1"/>
  <c r="L53" i="1" s="1"/>
  <c r="J53" i="1"/>
  <c r="G53" i="1"/>
  <c r="H53" i="1" s="1"/>
  <c r="K52" i="1"/>
  <c r="L52" i="1" s="1"/>
  <c r="N52" i="1" s="1"/>
  <c r="J52" i="1"/>
  <c r="H52" i="1"/>
  <c r="O52" i="1" s="1"/>
  <c r="G52" i="1"/>
  <c r="K51" i="1"/>
  <c r="L51" i="1" s="1"/>
  <c r="G51" i="1"/>
  <c r="H51" i="1" s="1"/>
  <c r="L50" i="1"/>
  <c r="N50" i="1" s="1"/>
  <c r="O50" i="1" s="1"/>
  <c r="H50" i="1"/>
  <c r="J46" i="1"/>
  <c r="F46" i="1"/>
  <c r="K45" i="1"/>
  <c r="L45" i="1" s="1"/>
  <c r="J45" i="1"/>
  <c r="G45" i="1"/>
  <c r="H45" i="1" s="1"/>
  <c r="F45" i="1"/>
  <c r="N43" i="1"/>
  <c r="L43" i="1"/>
  <c r="K42" i="1"/>
  <c r="L42" i="1" s="1"/>
  <c r="J42" i="1"/>
  <c r="G42" i="1"/>
  <c r="H42" i="1" s="1"/>
  <c r="F42" i="1"/>
  <c r="K41" i="1"/>
  <c r="L41" i="1" s="1"/>
  <c r="G41" i="1"/>
  <c r="H41" i="1" s="1"/>
  <c r="K40" i="1"/>
  <c r="L40" i="1" s="1"/>
  <c r="J40" i="1"/>
  <c r="G40" i="1"/>
  <c r="H40" i="1" s="1"/>
  <c r="K39" i="1"/>
  <c r="L39" i="1" s="1"/>
  <c r="N39" i="1" s="1"/>
  <c r="H39" i="1"/>
  <c r="O39" i="1" s="1"/>
  <c r="K38" i="1"/>
  <c r="G38" i="1"/>
  <c r="F38" i="1"/>
  <c r="K36" i="1"/>
  <c r="L36" i="1" s="1"/>
  <c r="G36" i="1"/>
  <c r="H36" i="1" s="1"/>
  <c r="O36" i="1" s="1"/>
  <c r="L35" i="1"/>
  <c r="K35" i="1"/>
  <c r="G35" i="1"/>
  <c r="H35" i="1" s="1"/>
  <c r="O35" i="1" s="1"/>
  <c r="K34" i="1"/>
  <c r="L34" i="1" s="1"/>
  <c r="N34" i="1" s="1"/>
  <c r="H34" i="1"/>
  <c r="O34" i="1" s="1"/>
  <c r="G34" i="1"/>
  <c r="K33" i="1"/>
  <c r="L33" i="1" s="1"/>
  <c r="G33" i="1"/>
  <c r="H33" i="1" s="1"/>
  <c r="O33" i="1" s="1"/>
  <c r="K32" i="1"/>
  <c r="L32" i="1" s="1"/>
  <c r="G32" i="1"/>
  <c r="H32" i="1" s="1"/>
  <c r="O32" i="1" s="1"/>
  <c r="L31" i="1"/>
  <c r="N31" i="1" s="1"/>
  <c r="K31" i="1"/>
  <c r="G31" i="1"/>
  <c r="H31" i="1" s="1"/>
  <c r="O31" i="1" s="1"/>
  <c r="K30" i="1"/>
  <c r="L30" i="1" s="1"/>
  <c r="N30" i="1" s="1"/>
  <c r="H30" i="1"/>
  <c r="O30" i="1" s="1"/>
  <c r="G30" i="1"/>
  <c r="K29" i="1"/>
  <c r="J29" i="1"/>
  <c r="G29" i="1"/>
  <c r="F29" i="1"/>
  <c r="J28" i="1"/>
  <c r="L28" i="1" s="1"/>
  <c r="N28" i="1" s="1"/>
  <c r="H28" i="1"/>
  <c r="O28" i="1" s="1"/>
  <c r="K27" i="1"/>
  <c r="J27" i="1"/>
  <c r="G27" i="1"/>
  <c r="F27" i="1"/>
  <c r="O26" i="1"/>
  <c r="N26" i="1"/>
  <c r="L26" i="1"/>
  <c r="H26" i="1"/>
  <c r="O25" i="1"/>
  <c r="L25" i="1"/>
  <c r="N25" i="1" s="1"/>
  <c r="H25" i="1"/>
  <c r="O24" i="1"/>
  <c r="N24" i="1"/>
  <c r="L24" i="1"/>
  <c r="H24" i="1"/>
  <c r="O23" i="1"/>
  <c r="L23" i="1"/>
  <c r="N23" i="1" s="1"/>
  <c r="H23" i="1"/>
  <c r="J22" i="1"/>
  <c r="L22" i="1" s="1"/>
  <c r="N22" i="1" s="1"/>
  <c r="H22" i="1"/>
  <c r="O22" i="1" s="1"/>
  <c r="J21" i="1"/>
  <c r="L21" i="1" s="1"/>
  <c r="H21" i="1"/>
  <c r="F21" i="1"/>
  <c r="N45" i="1" l="1"/>
  <c r="N42" i="5"/>
  <c r="N41" i="7"/>
  <c r="N41" i="5"/>
  <c r="O41" i="5" s="1"/>
  <c r="N42" i="7"/>
  <c r="L42" i="3"/>
  <c r="N42" i="3" s="1"/>
  <c r="N38" i="7"/>
  <c r="O38" i="7"/>
  <c r="N24" i="3"/>
  <c r="G45" i="5"/>
  <c r="H45" i="5" s="1"/>
  <c r="O34" i="5"/>
  <c r="O34" i="7"/>
  <c r="L27" i="1"/>
  <c r="H29" i="1"/>
  <c r="L38" i="1"/>
  <c r="L27" i="2"/>
  <c r="N27" i="2" s="1"/>
  <c r="H24" i="3"/>
  <c r="L39" i="3"/>
  <c r="N53" i="4"/>
  <c r="G50" i="5"/>
  <c r="H50" i="5" s="1"/>
  <c r="G48" i="5"/>
  <c r="H48" i="5" s="1"/>
  <c r="J35" i="5"/>
  <c r="L35" i="5" s="1"/>
  <c r="N35" i="5" s="1"/>
  <c r="N40" i="6"/>
  <c r="K45" i="7"/>
  <c r="L45" i="7" s="1"/>
  <c r="N45" i="7" s="1"/>
  <c r="J35" i="7"/>
  <c r="L35" i="7" s="1"/>
  <c r="N35" i="7" s="1"/>
  <c r="O35" i="7" s="1"/>
  <c r="G56" i="2"/>
  <c r="H56" i="2" s="1"/>
  <c r="N35" i="3"/>
  <c r="K50" i="5"/>
  <c r="L50" i="5" s="1"/>
  <c r="N49" i="5"/>
  <c r="H39" i="6"/>
  <c r="K44" i="7"/>
  <c r="L44" i="7" s="1"/>
  <c r="N23" i="7"/>
  <c r="G54" i="2"/>
  <c r="H54" i="2" s="1"/>
  <c r="N54" i="2" s="1"/>
  <c r="O54" i="2" s="1"/>
  <c r="O35" i="3"/>
  <c r="O36" i="5"/>
  <c r="H27" i="1"/>
  <c r="L29" i="1"/>
  <c r="H38" i="1"/>
  <c r="K55" i="2"/>
  <c r="L55" i="2" s="1"/>
  <c r="H27" i="2"/>
  <c r="N26" i="3"/>
  <c r="L36" i="3"/>
  <c r="N36" i="3" s="1"/>
  <c r="H39" i="3"/>
  <c r="G46" i="4"/>
  <c r="G45" i="4"/>
  <c r="H45" i="4" s="1"/>
  <c r="N27" i="4"/>
  <c r="O27" i="4" s="1"/>
  <c r="N45" i="5"/>
  <c r="J65" i="6"/>
  <c r="N42" i="6"/>
  <c r="O42" i="6" s="1"/>
  <c r="H17" i="7"/>
  <c r="H33" i="7" s="1"/>
  <c r="O45" i="7"/>
  <c r="O47" i="7"/>
  <c r="O42" i="7"/>
  <c r="O41" i="7"/>
  <c r="O23" i="7"/>
  <c r="N17" i="7"/>
  <c r="O17" i="7" s="1"/>
  <c r="G44" i="7"/>
  <c r="H44" i="7" s="1"/>
  <c r="O52" i="7"/>
  <c r="O31" i="7"/>
  <c r="O29" i="7"/>
  <c r="O27" i="7"/>
  <c r="O25" i="7"/>
  <c r="G50" i="7"/>
  <c r="H50" i="7" s="1"/>
  <c r="H44" i="6"/>
  <c r="N45" i="6"/>
  <c r="O45" i="6" s="1"/>
  <c r="O51" i="6"/>
  <c r="N29" i="6"/>
  <c r="O29" i="6"/>
  <c r="N46" i="6"/>
  <c r="O46" i="6" s="1"/>
  <c r="O27" i="6"/>
  <c r="N34" i="6"/>
  <c r="O34" i="6"/>
  <c r="L37" i="6"/>
  <c r="N30" i="6"/>
  <c r="O30" i="6"/>
  <c r="O40" i="6"/>
  <c r="N38" i="6"/>
  <c r="O38" i="6" s="1"/>
  <c r="H37" i="6"/>
  <c r="N21" i="6"/>
  <c r="O21" i="6" s="1"/>
  <c r="J62" i="3"/>
  <c r="N56" i="6"/>
  <c r="K53" i="6"/>
  <c r="L53" i="6" s="1"/>
  <c r="N53" i="6" s="1"/>
  <c r="O53" i="6" s="1"/>
  <c r="N47" i="5"/>
  <c r="O47" i="5" s="1"/>
  <c r="O42" i="5"/>
  <c r="N37" i="5"/>
  <c r="O37" i="5"/>
  <c r="O35" i="5"/>
  <c r="O23" i="5"/>
  <c r="N38" i="5"/>
  <c r="O38" i="5" s="1"/>
  <c r="O45" i="5"/>
  <c r="N17" i="5"/>
  <c r="O17" i="5" s="1"/>
  <c r="H33" i="5"/>
  <c r="N33" i="5" s="1"/>
  <c r="K44" i="5"/>
  <c r="L44" i="5" s="1"/>
  <c r="N44" i="5" s="1"/>
  <c r="O44" i="5" s="1"/>
  <c r="L40" i="5"/>
  <c r="K48" i="5"/>
  <c r="L48" i="5" s="1"/>
  <c r="N48" i="5" s="1"/>
  <c r="O48" i="5" s="1"/>
  <c r="O39" i="4"/>
  <c r="O52" i="4"/>
  <c r="N39" i="4"/>
  <c r="L44" i="4"/>
  <c r="N42" i="4"/>
  <c r="O42" i="4" s="1"/>
  <c r="O21" i="4"/>
  <c r="H37" i="4"/>
  <c r="N21" i="4"/>
  <c r="O38" i="4"/>
  <c r="O40" i="4"/>
  <c r="K56" i="4"/>
  <c r="L56" i="4" s="1"/>
  <c r="N56" i="4" s="1"/>
  <c r="O56" i="4" s="1"/>
  <c r="G55" i="4"/>
  <c r="H55" i="4" s="1"/>
  <c r="K52" i="4"/>
  <c r="L52" i="4" s="1"/>
  <c r="N52" i="4" s="1"/>
  <c r="K46" i="4"/>
  <c r="K45" i="4"/>
  <c r="L45" i="4" s="1"/>
  <c r="N45" i="4" s="1"/>
  <c r="K54" i="4"/>
  <c r="L54" i="4" s="1"/>
  <c r="N54" i="4" s="1"/>
  <c r="O54" i="4" s="1"/>
  <c r="N27" i="3"/>
  <c r="N31" i="3"/>
  <c r="N39" i="3"/>
  <c r="O39" i="3" s="1"/>
  <c r="H34" i="3"/>
  <c r="N37" i="3"/>
  <c r="N48" i="3"/>
  <c r="O48" i="3" s="1"/>
  <c r="N28" i="3"/>
  <c r="N32" i="3"/>
  <c r="N18" i="3"/>
  <c r="O18" i="3" s="1"/>
  <c r="O38" i="3"/>
  <c r="O24" i="3"/>
  <c r="N29" i="3"/>
  <c r="N33" i="3"/>
  <c r="O36" i="3"/>
  <c r="N38" i="3"/>
  <c r="O42" i="3"/>
  <c r="L34" i="3"/>
  <c r="K43" i="3"/>
  <c r="L43" i="3" s="1"/>
  <c r="N43" i="3" s="1"/>
  <c r="O43" i="3" s="1"/>
  <c r="L40" i="2"/>
  <c r="N40" i="2" s="1"/>
  <c r="O40" i="2"/>
  <c r="N29" i="2"/>
  <c r="O29" i="2" s="1"/>
  <c r="N41" i="2"/>
  <c r="O41" i="2" s="1"/>
  <c r="O27" i="2"/>
  <c r="O53" i="2"/>
  <c r="N38" i="2"/>
  <c r="O38" i="2" s="1"/>
  <c r="L37" i="2"/>
  <c r="L44" i="2" s="1"/>
  <c r="O42" i="2"/>
  <c r="N21" i="2"/>
  <c r="O21" i="2" s="1"/>
  <c r="H37" i="2"/>
  <c r="N52" i="2"/>
  <c r="O52" i="2" s="1"/>
  <c r="J40" i="2"/>
  <c r="O35" i="2"/>
  <c r="O33" i="2"/>
  <c r="O31" i="2"/>
  <c r="K56" i="2"/>
  <c r="L56" i="2" s="1"/>
  <c r="G55" i="2"/>
  <c r="H55" i="2" s="1"/>
  <c r="N55" i="2" s="1"/>
  <c r="K45" i="2"/>
  <c r="G45" i="2"/>
  <c r="N21" i="1"/>
  <c r="O21" i="1" s="1"/>
  <c r="L37" i="1"/>
  <c r="N29" i="1"/>
  <c r="O29" i="1" s="1"/>
  <c r="N32" i="1"/>
  <c r="N35" i="1"/>
  <c r="O40" i="1"/>
  <c r="N42" i="1"/>
  <c r="O42" i="1" s="1"/>
  <c r="N27" i="1"/>
  <c r="O27" i="1" s="1"/>
  <c r="N33" i="1"/>
  <c r="N36" i="1"/>
  <c r="N40" i="1"/>
  <c r="O41" i="1"/>
  <c r="O51" i="1"/>
  <c r="N53" i="1"/>
  <c r="O53" i="1" s="1"/>
  <c r="N41" i="1"/>
  <c r="O45" i="1"/>
  <c r="N51" i="1"/>
  <c r="O54" i="1"/>
  <c r="O56" i="1"/>
  <c r="H37" i="1"/>
  <c r="K46" i="1"/>
  <c r="G46" i="1"/>
  <c r="O45" i="4" l="1"/>
  <c r="N56" i="2"/>
  <c r="O56" i="2" s="1"/>
  <c r="K54" i="6"/>
  <c r="L54" i="6" s="1"/>
  <c r="N54" i="6" s="1"/>
  <c r="O54" i="6" s="1"/>
  <c r="K48" i="6"/>
  <c r="L48" i="6" s="1"/>
  <c r="N48" i="6" s="1"/>
  <c r="O48" i="6" s="1"/>
  <c r="K49" i="6"/>
  <c r="L49" i="6" s="1"/>
  <c r="N49" i="6" s="1"/>
  <c r="O49" i="6" s="1"/>
  <c r="G48" i="4"/>
  <c r="H48" i="4" s="1"/>
  <c r="H46" i="4"/>
  <c r="G49" i="4"/>
  <c r="H49" i="4" s="1"/>
  <c r="N50" i="5"/>
  <c r="O50" i="5" s="1"/>
  <c r="N37" i="6"/>
  <c r="O37" i="6" s="1"/>
  <c r="L40" i="7"/>
  <c r="O39" i="6"/>
  <c r="N38" i="1"/>
  <c r="O38" i="1" s="1"/>
  <c r="N39" i="6"/>
  <c r="H40" i="7"/>
  <c r="L43" i="7"/>
  <c r="N50" i="7"/>
  <c r="O50" i="7" s="1"/>
  <c r="N33" i="7"/>
  <c r="O33" i="7" s="1"/>
  <c r="N44" i="7"/>
  <c r="O44" i="7" s="1"/>
  <c r="K46" i="3"/>
  <c r="L46" i="3" s="1"/>
  <c r="N46" i="3" s="1"/>
  <c r="O46" i="3" s="1"/>
  <c r="K45" i="3"/>
  <c r="L45" i="3" s="1"/>
  <c r="N45" i="3" s="1"/>
  <c r="O45" i="3" s="1"/>
  <c r="K51" i="3"/>
  <c r="L51" i="3" s="1"/>
  <c r="N51" i="3" s="1"/>
  <c r="O51" i="3" s="1"/>
  <c r="L44" i="6"/>
  <c r="H47" i="6"/>
  <c r="L43" i="5"/>
  <c r="O33" i="5"/>
  <c r="H40" i="5"/>
  <c r="N40" i="5" s="1"/>
  <c r="H44" i="4"/>
  <c r="N55" i="4"/>
  <c r="O55" i="4" s="1"/>
  <c r="N44" i="4"/>
  <c r="K48" i="4"/>
  <c r="L48" i="4" s="1"/>
  <c r="N48" i="4" s="1"/>
  <c r="O48" i="4" s="1"/>
  <c r="K49" i="4"/>
  <c r="L49" i="4" s="1"/>
  <c r="N49" i="4" s="1"/>
  <c r="O49" i="4" s="1"/>
  <c r="L46" i="4"/>
  <c r="N46" i="4" s="1"/>
  <c r="O46" i="4" s="1"/>
  <c r="N37" i="4"/>
  <c r="O37" i="4" s="1"/>
  <c r="L41" i="3"/>
  <c r="N34" i="3"/>
  <c r="H41" i="3"/>
  <c r="O34" i="3"/>
  <c r="H44" i="2"/>
  <c r="H45" i="2"/>
  <c r="G46" i="2"/>
  <c r="N37" i="2"/>
  <c r="O37" i="2" s="1"/>
  <c r="K46" i="2"/>
  <c r="L45" i="2"/>
  <c r="O55" i="2"/>
  <c r="N44" i="2"/>
  <c r="H44" i="1"/>
  <c r="L44" i="1"/>
  <c r="N37" i="1"/>
  <c r="O37" i="1" s="1"/>
  <c r="G49" i="1"/>
  <c r="H49" i="1" s="1"/>
  <c r="H46" i="1"/>
  <c r="G48" i="1"/>
  <c r="H48" i="1" s="1"/>
  <c r="K48" i="1"/>
  <c r="L48" i="1" s="1"/>
  <c r="N48" i="1" s="1"/>
  <c r="L46" i="1"/>
  <c r="N46" i="1" s="1"/>
  <c r="K49" i="1"/>
  <c r="L49" i="1" s="1"/>
  <c r="N49" i="1" s="1"/>
  <c r="N40" i="7" l="1"/>
  <c r="L54" i="7"/>
  <c r="H43" i="7"/>
  <c r="O40" i="7"/>
  <c r="N44" i="6"/>
  <c r="O44" i="6" s="1"/>
  <c r="L47" i="6"/>
  <c r="H58" i="6"/>
  <c r="N43" i="5"/>
  <c r="L54" i="5"/>
  <c r="O40" i="5"/>
  <c r="H43" i="5"/>
  <c r="O44" i="4"/>
  <c r="H47" i="4"/>
  <c r="L47" i="4"/>
  <c r="H44" i="3"/>
  <c r="L44" i="3"/>
  <c r="N41" i="3"/>
  <c r="O41" i="3" s="1"/>
  <c r="H46" i="2"/>
  <c r="G49" i="2"/>
  <c r="H49" i="2" s="1"/>
  <c r="G48" i="2"/>
  <c r="H48" i="2" s="1"/>
  <c r="O45" i="2"/>
  <c r="O44" i="2"/>
  <c r="N45" i="2"/>
  <c r="K49" i="2"/>
  <c r="L49" i="2" s="1"/>
  <c r="L46" i="2"/>
  <c r="K48" i="2"/>
  <c r="L48" i="2" s="1"/>
  <c r="H47" i="1"/>
  <c r="O44" i="1"/>
  <c r="O48" i="1"/>
  <c r="O46" i="1"/>
  <c r="O49" i="1"/>
  <c r="L47" i="1"/>
  <c r="N44" i="1"/>
  <c r="H54" i="7" l="1"/>
  <c r="N43" i="7"/>
  <c r="O43" i="7" s="1"/>
  <c r="N54" i="7"/>
  <c r="L55" i="7"/>
  <c r="L56" i="7" s="1"/>
  <c r="H59" i="6"/>
  <c r="H60" i="6" s="1"/>
  <c r="N47" i="6"/>
  <c r="O47" i="6" s="1"/>
  <c r="L58" i="6"/>
  <c r="L55" i="5"/>
  <c r="O43" i="5"/>
  <c r="H54" i="5"/>
  <c r="N54" i="5" s="1"/>
  <c r="L58" i="4"/>
  <c r="L64" i="4"/>
  <c r="N47" i="4"/>
  <c r="O47" i="4" s="1"/>
  <c r="H58" i="4"/>
  <c r="H64" i="4"/>
  <c r="N44" i="3"/>
  <c r="O44" i="3" s="1"/>
  <c r="L55" i="3"/>
  <c r="H55" i="3"/>
  <c r="N48" i="2"/>
  <c r="O48" i="2" s="1"/>
  <c r="N46" i="2"/>
  <c r="O46" i="2" s="1"/>
  <c r="L47" i="2"/>
  <c r="N49" i="2"/>
  <c r="O49" i="2" s="1"/>
  <c r="H47" i="2"/>
  <c r="H64" i="1"/>
  <c r="H58" i="1"/>
  <c r="L64" i="1"/>
  <c r="N47" i="1"/>
  <c r="O47" i="1" s="1"/>
  <c r="L58" i="1"/>
  <c r="L57" i="7" l="1"/>
  <c r="H55" i="7"/>
  <c r="O54" i="7"/>
  <c r="L59" i="6"/>
  <c r="N59" i="6" s="1"/>
  <c r="O59" i="6" s="1"/>
  <c r="N58" i="6"/>
  <c r="O58" i="6" s="1"/>
  <c r="H61" i="6"/>
  <c r="O54" i="5"/>
  <c r="H55" i="5"/>
  <c r="H56" i="5" s="1"/>
  <c r="L56" i="5"/>
  <c r="H59" i="4"/>
  <c r="N64" i="4"/>
  <c r="O64" i="4" s="1"/>
  <c r="L65" i="4"/>
  <c r="L66" i="4" s="1"/>
  <c r="L59" i="4"/>
  <c r="N58" i="4"/>
  <c r="O58" i="4" s="1"/>
  <c r="H65" i="4"/>
  <c r="H66" i="4" s="1"/>
  <c r="H56" i="3"/>
  <c r="H57" i="3" s="1"/>
  <c r="L56" i="3"/>
  <c r="N55" i="3"/>
  <c r="O55" i="3" s="1"/>
  <c r="H58" i="2"/>
  <c r="H64" i="2"/>
  <c r="N47" i="2"/>
  <c r="O47" i="2" s="1"/>
  <c r="L58" i="2"/>
  <c r="L64" i="2"/>
  <c r="N64" i="1"/>
  <c r="O64" i="1" s="1"/>
  <c r="L65" i="1"/>
  <c r="N65" i="1" s="1"/>
  <c r="H59" i="1"/>
  <c r="H65" i="1"/>
  <c r="L59" i="1"/>
  <c r="L60" i="1" s="1"/>
  <c r="N58" i="1"/>
  <c r="O58" i="1" s="1"/>
  <c r="N55" i="5" l="1"/>
  <c r="O55" i="5" s="1"/>
  <c r="L60" i="6"/>
  <c r="L61" i="6" s="1"/>
  <c r="N61" i="6" s="1"/>
  <c r="O61" i="6" s="1"/>
  <c r="H56" i="7"/>
  <c r="L58" i="7"/>
  <c r="N55" i="7"/>
  <c r="O55" i="7" s="1"/>
  <c r="H62" i="6"/>
  <c r="N56" i="3"/>
  <c r="O56" i="3" s="1"/>
  <c r="N56" i="5"/>
  <c r="O56" i="5" s="1"/>
  <c r="L57" i="5"/>
  <c r="H57" i="5"/>
  <c r="N66" i="4"/>
  <c r="L67" i="4"/>
  <c r="L68" i="4" s="1"/>
  <c r="O66" i="4"/>
  <c r="H67" i="4"/>
  <c r="H60" i="4"/>
  <c r="N59" i="4"/>
  <c r="O59" i="4" s="1"/>
  <c r="L60" i="4"/>
  <c r="N65" i="4"/>
  <c r="O65" i="4" s="1"/>
  <c r="H58" i="3"/>
  <c r="H59" i="3" s="1"/>
  <c r="L57" i="3"/>
  <c r="H65" i="2"/>
  <c r="H59" i="2"/>
  <c r="H60" i="2" s="1"/>
  <c r="L65" i="2"/>
  <c r="L66" i="2" s="1"/>
  <c r="N64" i="2"/>
  <c r="O64" i="2" s="1"/>
  <c r="N58" i="2"/>
  <c r="O58" i="2" s="1"/>
  <c r="L59" i="2"/>
  <c r="L61" i="1"/>
  <c r="L62" i="1"/>
  <c r="N59" i="1"/>
  <c r="O59" i="1" s="1"/>
  <c r="L66" i="1"/>
  <c r="O65" i="1"/>
  <c r="H66" i="1"/>
  <c r="H60" i="1"/>
  <c r="N60" i="1" s="1"/>
  <c r="N60" i="6" l="1"/>
  <c r="O60" i="6" s="1"/>
  <c r="N57" i="5"/>
  <c r="O57" i="5" s="1"/>
  <c r="L62" i="6"/>
  <c r="N62" i="6" s="1"/>
  <c r="N59" i="2"/>
  <c r="O59" i="2" s="1"/>
  <c r="H57" i="7"/>
  <c r="N56" i="7"/>
  <c r="O56" i="7" s="1"/>
  <c r="O62" i="6"/>
  <c r="H58" i="5"/>
  <c r="L58" i="5"/>
  <c r="L61" i="4"/>
  <c r="N60" i="4"/>
  <c r="N67" i="4"/>
  <c r="O67" i="4" s="1"/>
  <c r="H62" i="4"/>
  <c r="O60" i="4"/>
  <c r="H61" i="4"/>
  <c r="H68" i="4"/>
  <c r="N68" i="4" s="1"/>
  <c r="L58" i="3"/>
  <c r="N58" i="3" s="1"/>
  <c r="O58" i="3" s="1"/>
  <c r="N57" i="3"/>
  <c r="O57" i="3" s="1"/>
  <c r="L67" i="2"/>
  <c r="L68" i="2" s="1"/>
  <c r="N65" i="2"/>
  <c r="O65" i="2" s="1"/>
  <c r="H61" i="2"/>
  <c r="H62" i="2" s="1"/>
  <c r="L60" i="2"/>
  <c r="H66" i="2"/>
  <c r="N66" i="2" s="1"/>
  <c r="H61" i="1"/>
  <c r="N61" i="1" s="1"/>
  <c r="O60" i="1"/>
  <c r="H62" i="1"/>
  <c r="H67" i="1"/>
  <c r="N66" i="1"/>
  <c r="O66" i="1" s="1"/>
  <c r="L67" i="1"/>
  <c r="N67" i="1" l="1"/>
  <c r="N61" i="4"/>
  <c r="O61" i="4" s="1"/>
  <c r="N57" i="7"/>
  <c r="O57" i="7" s="1"/>
  <c r="H58" i="7"/>
  <c r="N58" i="5"/>
  <c r="O58" i="5" s="1"/>
  <c r="L62" i="4"/>
  <c r="N62" i="4" s="1"/>
  <c r="O62" i="4" s="1"/>
  <c r="O68" i="4"/>
  <c r="L59" i="3"/>
  <c r="N59" i="3" s="1"/>
  <c r="O59" i="3" s="1"/>
  <c r="O66" i="2"/>
  <c r="H67" i="2"/>
  <c r="H68" i="2" s="1"/>
  <c r="N68" i="2" s="1"/>
  <c r="N60" i="2"/>
  <c r="O60" i="2" s="1"/>
  <c r="L61" i="2"/>
  <c r="N61" i="2" s="1"/>
  <c r="O61" i="2" s="1"/>
  <c r="O61" i="1"/>
  <c r="L68" i="1"/>
  <c r="N68" i="1" s="1"/>
  <c r="N62" i="1"/>
  <c r="O62" i="1" s="1"/>
  <c r="O67" i="1"/>
  <c r="H68" i="1"/>
  <c r="O68" i="1" l="1"/>
  <c r="O58" i="7"/>
  <c r="N58" i="7"/>
  <c r="L62" i="2"/>
  <c r="N62" i="2" s="1"/>
  <c r="O62" i="2" s="1"/>
  <c r="O68" i="2"/>
  <c r="N67" i="2"/>
  <c r="O67" i="2" s="1"/>
</calcChain>
</file>

<file path=xl/sharedStrings.xml><?xml version="1.0" encoding="utf-8"?>
<sst xmlns="http://schemas.openxmlformats.org/spreadsheetml/2006/main" count="536" uniqueCount="84">
  <si>
    <t>File Number:</t>
  </si>
  <si>
    <t>EB-2012-0113</t>
  </si>
  <si>
    <t>Exhibit:</t>
  </si>
  <si>
    <t>Appendix:</t>
  </si>
  <si>
    <t>C</t>
  </si>
  <si>
    <t>Schedule:</t>
  </si>
  <si>
    <t>Page:</t>
  </si>
  <si>
    <t>Date:</t>
  </si>
  <si>
    <t>Appendix 2-W</t>
  </si>
  <si>
    <t>Bill Impacts</t>
  </si>
  <si>
    <t>Customer Class:</t>
  </si>
  <si>
    <t>Residential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</si>
  <si>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</si>
  <si>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</si>
  <si>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</si>
  <si>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</si>
  <si>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</si>
  <si>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</si>
  <si>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</si>
  <si>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</si>
  <si>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</si>
  <si>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</si>
  <si>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</si>
  <si>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</si>
  <si>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</si>
  <si>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</si>
  <si>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Stranded Meter Rate Adder</t>
  </si>
  <si>
    <t>Distribution Volumetric Rate</t>
  </si>
  <si>
    <t>per kWh</t>
  </si>
  <si>
    <t>Smart Meter Disposition Rider</t>
  </si>
  <si>
    <t>LRAM &amp; SSM Rate Rider</t>
  </si>
  <si>
    <t>Sub-Total A</t>
  </si>
  <si>
    <t>Deferral/Variance Account Disposition Rate Rider</t>
  </si>
  <si>
    <t>Stranded Meter Rate Rider</t>
  </si>
  <si>
    <t>PILs 1562 Disposition Rate Rider</t>
  </si>
  <si>
    <t>Incremental Capital Rate Rider</t>
  </si>
  <si>
    <t>Low Voltage Service Charge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</si>
  <si>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</si>
  <si>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</si>
  <si>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</si>
  <si>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</si>
  <si>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</si>
  <si>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</si>
  <si>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</si>
  <si>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</si>
  <si>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</si>
  <si>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Energy - RPP - Tier 1</t>
  </si>
  <si>
    <t>Energy - RPP - Tier 2</t>
  </si>
  <si>
    <t>TOU - Off Peak</t>
  </si>
  <si>
    <t>TOU - Mid Peak</t>
  </si>
  <si>
    <t>TOU - On Peak</t>
  </si>
  <si>
    <t>Total Bill on RPP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</si>
  <si>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</si>
  <si>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</si>
  <si>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</si>
  <si>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RPP (including OCEB)</t>
  </si>
  <si>
    <t>Total Bill on TOU (before Taxes)</t>
  </si>
  <si>
    <t>Total Bill on TOU (including OCEB)</t>
  </si>
  <si>
    <t>Loss Factor (%)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</si>
  <si>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</si>
  <si>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</si>
  <si>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</si>
  <si>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should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</si>
  <si>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</si>
  <si>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</si>
  <si>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</si>
  <si>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</si>
  <si>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</si>
  <si>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</si>
  <si>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General Service Less Than 50KW</t>
  </si>
  <si>
    <t>Appendix A Exhibit 8</t>
  </si>
  <si>
    <t>General Service 3000 to 4999 kW</t>
  </si>
  <si>
    <t>KW</t>
  </si>
  <si>
    <t>Smart Meter Rate Adder</t>
  </si>
  <si>
    <t>per kW</t>
  </si>
  <si>
    <t>GA Rate Rider</t>
  </si>
  <si>
    <t>Energy - Commodity COP</t>
  </si>
  <si>
    <t xml:space="preserve"> </t>
  </si>
  <si>
    <t>Total Bill on Commodity COP</t>
  </si>
  <si>
    <t>Unmetered Scattered Load</t>
  </si>
  <si>
    <t>PILS 1562 Disposition Rate Rider</t>
  </si>
  <si>
    <t>Sentinel Lights</t>
  </si>
  <si>
    <t>General Service 50 to 2999 kW</t>
  </si>
  <si>
    <t>Streetlights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</si>
</sst>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[$-409]d\-mmm\-yy;@"/>
    <numFmt numFmtId="167" formatCode="_-&quot;$&quot;* #,##0.0000_-;\-&quot;$&quot;* #,##0.0000_-;_-&quot;$&quot;* &quot;-&quot;??_-;_-@_-"/>
    <numFmt numFmtId="168" formatCode="_-&quot;$&quot;* #,##0.00000_-;\-&quot;$&quot;* #,##0.00000_-;_-&quot;$&quot;* &quot;-&quot;??_-;_-@_-"/>
    <numFmt numFmtId="169" formatCode="0.0000%"/>
    <numFmt numFmtId="170" formatCode="_-* #,##0_-;\-* #,##0_-;_-* &quot;-&quot;??_-;_-@_-"/>
  </numFmts>
  <fonts count="3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Down">
        <bgColor theme="0" tint="-0.249977111117893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</borders>
  <cellStyleXfs count="72">
    <xf numFmtId="0" fontId="0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30" fillId="40" borderId="0" applyNumberFormat="0" applyBorder="0" applyAlignment="0" applyProtection="0"/>
    <xf numFmtId="0" fontId="1" fillId="14" borderId="0" applyNumberFormat="0" applyBorder="0" applyAlignment="0" applyProtection="0"/>
    <xf numFmtId="0" fontId="30" fillId="41" borderId="0" applyNumberFormat="0" applyBorder="0" applyAlignment="0" applyProtection="0"/>
    <xf numFmtId="0" fontId="1" fillId="18" borderId="0" applyNumberFormat="0" applyBorder="0" applyAlignment="0" applyProtection="0"/>
    <xf numFmtId="0" fontId="30" fillId="42" borderId="0" applyNumberFormat="0" applyBorder="0" applyAlignment="0" applyProtection="0"/>
    <xf numFmtId="0" fontId="1" fillId="22" borderId="0" applyNumberFormat="0" applyBorder="0" applyAlignment="0" applyProtection="0"/>
    <xf numFmtId="0" fontId="30" fillId="43" borderId="0" applyNumberFormat="0" applyBorder="0" applyAlignment="0" applyProtection="0"/>
    <xf numFmtId="0" fontId="1" fillId="26" borderId="0" applyNumberFormat="0" applyBorder="0" applyAlignment="0" applyProtection="0"/>
    <xf numFmtId="0" fontId="30" fillId="44" borderId="0" applyNumberFormat="0" applyBorder="0" applyAlignment="0" applyProtection="0"/>
    <xf numFmtId="0" fontId="1" fillId="30" borderId="0" applyNumberFormat="0" applyBorder="0" applyAlignment="0" applyProtection="0"/>
    <xf numFmtId="0" fontId="30" fillId="45" borderId="0" applyNumberFormat="0" applyBorder="0" applyAlignment="0" applyProtection="0"/>
    <xf numFmtId="0" fontId="1" fillId="11" borderId="0" applyNumberFormat="0" applyBorder="0" applyAlignment="0" applyProtection="0"/>
    <xf numFmtId="0" fontId="30" fillId="46" borderId="0" applyNumberFormat="0" applyBorder="0" applyAlignment="0" applyProtection="0"/>
    <xf numFmtId="0" fontId="1" fillId="15" borderId="0" applyNumberFormat="0" applyBorder="0" applyAlignment="0" applyProtection="0"/>
    <xf numFmtId="0" fontId="30" fillId="47" borderId="0" applyNumberFormat="0" applyBorder="0" applyAlignment="0" applyProtection="0"/>
    <xf numFmtId="0" fontId="1" fillId="19" borderId="0" applyNumberFormat="0" applyBorder="0" applyAlignment="0" applyProtection="0"/>
    <xf numFmtId="0" fontId="30" fillId="48" borderId="0" applyNumberFormat="0" applyBorder="0" applyAlignment="0" applyProtection="0"/>
    <xf numFmtId="0" fontId="1" fillId="23" borderId="0" applyNumberFormat="0" applyBorder="0" applyAlignment="0" applyProtection="0"/>
    <xf numFmtId="0" fontId="30" fillId="43" borderId="0" applyNumberFormat="0" applyBorder="0" applyAlignment="0" applyProtection="0"/>
    <xf numFmtId="0" fontId="1" fillId="27" borderId="0" applyNumberFormat="0" applyBorder="0" applyAlignment="0" applyProtection="0"/>
    <xf numFmtId="0" fontId="30" fillId="46" borderId="0" applyNumberFormat="0" applyBorder="0" applyAlignment="0" applyProtection="0"/>
    <xf numFmtId="0" fontId="1" fillId="31" borderId="0" applyNumberFormat="0" applyBorder="0" applyAlignment="0" applyProtection="0"/>
    <xf numFmtId="0" fontId="30" fillId="49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8" fillId="0" borderId="0"/>
    <xf numFmtId="0" fontId="1" fillId="0" borderId="0"/>
    <xf numFmtId="0" fontId="18" fillId="0" borderId="0"/>
    <xf numFmtId="0" fontId="1" fillId="8" borderId="8" applyNumberFormat="0" applyFont="0" applyAlignment="0" applyProtection="0"/>
    <xf numFmtId="0" fontId="18" fillId="50" borderId="31" applyNumberFormat="0" applyFont="0" applyAlignment="0" applyProtection="0"/>
    <xf numFmtId="0" fontId="10" fillId="6" borderId="5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225">
    <xf numFmtId="0" fontId="0" fillId="0" borderId="0" xfId="0"/>
    <xf numFmtId="0" fontId="19" fillId="33" borderId="0" xfId="0" applyFont="1" applyFill="1" applyAlignment="1" applyProtection="1">
      <alignment vertical="top" wrapText="1"/>
    </xf>
    <xf numFmtId="0" fontId="0" fillId="33" borderId="0" xfId="0" applyFill="1" applyBorder="1" applyProtection="1"/>
    <xf numFmtId="0" fontId="20" fillId="0" borderId="0" xfId="0" applyFont="1"/>
    <xf numFmtId="0" fontId="21" fillId="0" borderId="0" xfId="0" applyFont="1" applyAlignment="1">
      <alignment horizontal="right" vertical="top"/>
    </xf>
    <xf numFmtId="0" fontId="22" fillId="33" borderId="0" xfId="0" applyFont="1" applyFill="1" applyBorder="1" applyAlignment="1" applyProtection="1"/>
    <xf numFmtId="0" fontId="21" fillId="34" borderId="10" xfId="0" applyFont="1" applyFill="1" applyBorder="1" applyAlignment="1">
      <alignment horizontal="right" vertical="top"/>
    </xf>
    <xf numFmtId="0" fontId="0" fillId="33" borderId="0" xfId="0" applyFill="1" applyBorder="1" applyAlignment="1" applyProtection="1">
      <alignment horizontal="left" indent="1"/>
    </xf>
    <xf numFmtId="0" fontId="23" fillId="33" borderId="0" xfId="0" applyFont="1" applyFill="1" applyBorder="1" applyAlignment="1" applyProtection="1"/>
    <xf numFmtId="0" fontId="21" fillId="34" borderId="0" xfId="0" applyFont="1" applyFill="1" applyAlignment="1">
      <alignment horizontal="right" vertical="top"/>
    </xf>
    <xf numFmtId="166" fontId="18" fillId="0" borderId="0" xfId="2" applyNumberFormat="1" applyFont="1" applyFill="1" applyAlignment="1">
      <alignment horizontal="right" vertical="top"/>
    </xf>
    <xf numFmtId="15" fontId="21" fillId="34" borderId="0" xfId="0" applyNumberFormat="1" applyFont="1" applyFill="1" applyAlignment="1">
      <alignment horizontal="right" vertical="top"/>
    </xf>
    <xf numFmtId="0" fontId="0" fillId="0" borderId="0" xfId="0" applyProtection="1"/>
    <xf numFmtId="0" fontId="20" fillId="0" borderId="0" xfId="0" applyFont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23" fillId="0" borderId="0" xfId="0" applyFont="1" applyAlignment="1" applyProtection="1">
      <alignment horizontal="center"/>
    </xf>
    <xf numFmtId="0" fontId="18" fillId="0" borderId="0" xfId="0" applyFont="1" applyProtection="1"/>
    <xf numFmtId="0" fontId="20" fillId="0" borderId="0" xfId="0" applyFont="1" applyProtection="1"/>
    <xf numFmtId="0" fontId="20" fillId="34" borderId="11" xfId="0" applyFont="1" applyFill="1" applyBorder="1" applyProtection="1">
      <protection locked="0"/>
    </xf>
    <xf numFmtId="0" fontId="18" fillId="0" borderId="0" xfId="3" applyFont="1" applyProtection="1"/>
    <xf numFmtId="0" fontId="18" fillId="0" borderId="0" xfId="3"/>
    <xf numFmtId="0" fontId="20" fillId="0" borderId="0" xfId="3" applyFont="1" applyAlignment="1" applyProtection="1"/>
    <xf numFmtId="0" fontId="20" fillId="0" borderId="0" xfId="3" applyFont="1" applyAlignment="1" applyProtection="1">
      <alignment horizontal="center"/>
    </xf>
    <xf numFmtId="0" fontId="20" fillId="0" borderId="15" xfId="3" applyFont="1" applyBorder="1" applyAlignment="1" applyProtection="1">
      <alignment horizontal="center"/>
    </xf>
    <xf numFmtId="0" fontId="20" fillId="0" borderId="16" xfId="3" applyFont="1" applyBorder="1" applyAlignment="1" applyProtection="1">
      <alignment horizontal="center"/>
    </xf>
    <xf numFmtId="0" fontId="20" fillId="0" borderId="17" xfId="3" applyFont="1" applyBorder="1" applyAlignment="1" applyProtection="1">
      <alignment horizontal="center"/>
    </xf>
    <xf numFmtId="0" fontId="20" fillId="0" borderId="19" xfId="3" quotePrefix="1" applyFont="1" applyBorder="1" applyAlignment="1" applyProtection="1">
      <alignment horizontal="center"/>
    </xf>
    <xf numFmtId="0" fontId="20" fillId="0" borderId="20" xfId="3" quotePrefix="1" applyFont="1" applyBorder="1" applyAlignment="1" applyProtection="1">
      <alignment horizontal="center"/>
    </xf>
    <xf numFmtId="0" fontId="18" fillId="0" borderId="0" xfId="3" applyAlignment="1" applyProtection="1">
      <alignment vertical="top"/>
    </xf>
    <xf numFmtId="0" fontId="18" fillId="35" borderId="0" xfId="3" applyFill="1" applyAlignment="1" applyProtection="1">
      <alignment vertical="top"/>
      <protection locked="0"/>
    </xf>
    <xf numFmtId="0" fontId="18" fillId="0" borderId="0" xfId="3" applyFill="1" applyAlignment="1" applyProtection="1">
      <alignment vertical="top"/>
    </xf>
    <xf numFmtId="164" fontId="18" fillId="34" borderId="18" xfId="4" applyNumberFormat="1" applyFont="1" applyFill="1" applyBorder="1" applyAlignment="1" applyProtection="1">
      <alignment vertical="top"/>
      <protection locked="0"/>
    </xf>
    <xf numFmtId="0" fontId="0" fillId="0" borderId="18" xfId="0" applyFill="1" applyBorder="1" applyAlignment="1" applyProtection="1">
      <alignment vertical="center"/>
    </xf>
    <xf numFmtId="164" fontId="0" fillId="0" borderId="16" xfId="4" applyFont="1" applyBorder="1" applyAlignment="1" applyProtection="1">
      <alignment vertical="center"/>
    </xf>
    <xf numFmtId="0" fontId="18" fillId="0" borderId="0" xfId="3" applyAlignment="1" applyProtection="1">
      <alignment vertical="center"/>
    </xf>
    <xf numFmtId="164" fontId="18" fillId="34" borderId="18" xfId="4" applyNumberFormat="1" applyFont="1" applyFill="1" applyBorder="1" applyAlignment="1" applyProtection="1">
      <alignment vertical="center"/>
      <protection locked="0"/>
    </xf>
    <xf numFmtId="0" fontId="0" fillId="0" borderId="16" xfId="0" applyFill="1" applyBorder="1" applyAlignment="1" applyProtection="1">
      <alignment vertical="center"/>
    </xf>
    <xf numFmtId="164" fontId="0" fillId="0" borderId="18" xfId="0" applyNumberFormat="1" applyBorder="1" applyAlignment="1" applyProtection="1">
      <alignment vertical="center"/>
    </xf>
    <xf numFmtId="10" fontId="0" fillId="0" borderId="16" xfId="1" applyNumberFormat="1" applyFont="1" applyBorder="1" applyAlignment="1" applyProtection="1">
      <alignment vertical="center"/>
    </xf>
    <xf numFmtId="0" fontId="18" fillId="0" borderId="0" xfId="3" applyFont="1" applyAlignment="1" applyProtection="1">
      <alignment vertical="top"/>
    </xf>
    <xf numFmtId="167" fontId="18" fillId="34" borderId="18" xfId="4" applyNumberFormat="1" applyFont="1" applyFill="1" applyBorder="1" applyAlignment="1" applyProtection="1">
      <alignment vertical="top"/>
      <protection locked="0"/>
    </xf>
    <xf numFmtId="0" fontId="18" fillId="34" borderId="0" xfId="3" applyFill="1" applyAlignment="1" applyProtection="1">
      <alignment vertical="top"/>
    </xf>
    <xf numFmtId="167" fontId="18" fillId="34" borderId="18" xfId="4" applyNumberFormat="1" applyFont="1" applyFill="1" applyBorder="1" applyAlignment="1" applyProtection="1">
      <alignment vertical="center"/>
      <protection locked="0"/>
    </xf>
    <xf numFmtId="168" fontId="18" fillId="34" borderId="18" xfId="4" applyNumberFormat="1" applyFont="1" applyFill="1" applyBorder="1" applyAlignment="1" applyProtection="1">
      <alignment vertical="center"/>
      <protection locked="0"/>
    </xf>
    <xf numFmtId="0" fontId="18" fillId="34" borderId="0" xfId="3" applyFill="1" applyAlignment="1" applyProtection="1">
      <alignment vertical="top"/>
      <protection locked="0"/>
    </xf>
    <xf numFmtId="0" fontId="20" fillId="36" borderId="12" xfId="3" applyFont="1" applyFill="1" applyBorder="1" applyAlignment="1" applyProtection="1">
      <alignment vertical="top"/>
      <protection locked="0"/>
    </xf>
    <xf numFmtId="0" fontId="18" fillId="36" borderId="13" xfId="3" applyFill="1" applyBorder="1" applyAlignment="1" applyProtection="1">
      <alignment vertical="top"/>
    </xf>
    <xf numFmtId="0" fontId="18" fillId="36" borderId="13" xfId="3" applyFill="1" applyBorder="1" applyAlignment="1" applyProtection="1">
      <alignment vertical="top"/>
      <protection locked="0"/>
    </xf>
    <xf numFmtId="167" fontId="18" fillId="36" borderId="11" xfId="4" applyNumberFormat="1" applyFont="1" applyFill="1" applyBorder="1" applyAlignment="1" applyProtection="1">
      <alignment vertical="top"/>
      <protection locked="0"/>
    </xf>
    <xf numFmtId="0" fontId="0" fillId="36" borderId="11" xfId="0" applyFill="1" applyBorder="1" applyAlignment="1" applyProtection="1">
      <alignment vertical="center"/>
      <protection locked="0"/>
    </xf>
    <xf numFmtId="164" fontId="18" fillId="36" borderId="14" xfId="4" applyFont="1" applyFill="1" applyBorder="1" applyAlignment="1" applyProtection="1">
      <alignment vertical="center"/>
    </xf>
    <xf numFmtId="0" fontId="18" fillId="36" borderId="0" xfId="3" applyFill="1" applyAlignment="1" applyProtection="1">
      <alignment vertical="center"/>
    </xf>
    <xf numFmtId="167" fontId="18" fillId="36" borderId="11" xfId="4" applyNumberFormat="1" applyFont="1" applyFill="1" applyBorder="1" applyAlignment="1" applyProtection="1">
      <alignment vertical="center"/>
      <protection locked="0"/>
    </xf>
    <xf numFmtId="0" fontId="0" fillId="36" borderId="14" xfId="0" applyFill="1" applyBorder="1" applyAlignment="1" applyProtection="1">
      <alignment vertical="center"/>
      <protection locked="0"/>
    </xf>
    <xf numFmtId="164" fontId="20" fillId="36" borderId="11" xfId="0" applyNumberFormat="1" applyFont="1" applyFill="1" applyBorder="1" applyAlignment="1" applyProtection="1">
      <alignment vertical="center"/>
    </xf>
    <xf numFmtId="10" fontId="20" fillId="36" borderId="14" xfId="1" applyNumberFormat="1" applyFont="1" applyFill="1" applyBorder="1" applyAlignment="1" applyProtection="1">
      <alignment vertical="center"/>
    </xf>
    <xf numFmtId="0" fontId="18" fillId="34" borderId="0" xfId="3" applyFont="1" applyFill="1" applyAlignment="1" applyProtection="1">
      <alignment vertical="top" wrapText="1"/>
    </xf>
    <xf numFmtId="0" fontId="18" fillId="35" borderId="0" xfId="3" applyFont="1" applyFill="1" applyAlignment="1" applyProtection="1">
      <alignment vertical="top"/>
      <protection locked="0"/>
    </xf>
    <xf numFmtId="0" fontId="18" fillId="0" borderId="21" xfId="3" applyBorder="1" applyAlignment="1" applyProtection="1">
      <alignment vertical="center"/>
    </xf>
    <xf numFmtId="0" fontId="18" fillId="0" borderId="18" xfId="3" applyBorder="1" applyAlignment="1" applyProtection="1">
      <alignment vertical="center"/>
    </xf>
    <xf numFmtId="0" fontId="18" fillId="37" borderId="11" xfId="3" applyFill="1" applyBorder="1" applyAlignment="1" applyProtection="1">
      <alignment vertical="top"/>
    </xf>
    <xf numFmtId="0" fontId="0" fillId="37" borderId="11" xfId="0" applyFill="1" applyBorder="1" applyAlignment="1" applyProtection="1">
      <alignment vertical="center"/>
    </xf>
    <xf numFmtId="164" fontId="18" fillId="37" borderId="14" xfId="4" applyFont="1" applyFill="1" applyBorder="1" applyAlignment="1" applyProtection="1">
      <alignment vertical="center"/>
    </xf>
    <xf numFmtId="0" fontId="20" fillId="36" borderId="12" xfId="3" applyFont="1" applyFill="1" applyBorder="1" applyAlignment="1" applyProtection="1">
      <alignment vertical="top" wrapText="1"/>
    </xf>
    <xf numFmtId="0" fontId="18" fillId="36" borderId="13" xfId="3" applyFill="1" applyBorder="1" applyProtection="1"/>
    <xf numFmtId="0" fontId="18" fillId="36" borderId="11" xfId="3" applyFill="1" applyBorder="1" applyProtection="1"/>
    <xf numFmtId="0" fontId="0" fillId="36" borderId="11" xfId="0" applyFill="1" applyBorder="1" applyAlignment="1" applyProtection="1">
      <alignment vertical="center"/>
    </xf>
    <xf numFmtId="164" fontId="20" fillId="36" borderId="14" xfId="0" applyNumberFormat="1" applyFont="1" applyFill="1" applyBorder="1" applyAlignment="1" applyProtection="1">
      <alignment vertical="center"/>
    </xf>
    <xf numFmtId="0" fontId="18" fillId="36" borderId="11" xfId="3" applyFill="1" applyBorder="1" applyAlignment="1" applyProtection="1">
      <alignment vertical="center"/>
    </xf>
    <xf numFmtId="0" fontId="0" fillId="36" borderId="14" xfId="0" applyFill="1" applyBorder="1" applyAlignment="1" applyProtection="1">
      <alignment vertical="center"/>
    </xf>
    <xf numFmtId="0" fontId="18" fillId="35" borderId="0" xfId="3" applyFill="1" applyAlignment="1" applyProtection="1">
      <alignment vertical="center"/>
      <protection locked="0"/>
    </xf>
    <xf numFmtId="0" fontId="18" fillId="0" borderId="0" xfId="3" applyFill="1" applyAlignment="1" applyProtection="1">
      <alignment vertical="center"/>
    </xf>
    <xf numFmtId="1" fontId="0" fillId="0" borderId="18" xfId="0" applyNumberFormat="1" applyFill="1" applyBorder="1" applyAlignment="1" applyProtection="1">
      <alignment vertical="center"/>
    </xf>
    <xf numFmtId="1" fontId="0" fillId="0" borderId="16" xfId="0" applyNumberFormat="1" applyFill="1" applyBorder="1" applyAlignment="1" applyProtection="1">
      <alignment vertical="center"/>
    </xf>
    <xf numFmtId="0" fontId="18" fillId="0" borderId="0" xfId="3" applyFont="1" applyAlignment="1" applyProtection="1">
      <alignment vertical="center" wrapText="1"/>
    </xf>
    <xf numFmtId="0" fontId="18" fillId="36" borderId="11" xfId="3" applyFill="1" applyBorder="1" applyAlignment="1" applyProtection="1">
      <alignment vertical="top"/>
    </xf>
    <xf numFmtId="0" fontId="20" fillId="36" borderId="0" xfId="3" applyFont="1" applyFill="1" applyAlignment="1" applyProtection="1">
      <alignment vertical="center"/>
    </xf>
    <xf numFmtId="0" fontId="20" fillId="36" borderId="11" xfId="3" applyFont="1" applyFill="1" applyBorder="1" applyAlignment="1" applyProtection="1">
      <alignment vertical="center"/>
    </xf>
    <xf numFmtId="0" fontId="20" fillId="36" borderId="14" xfId="0" applyFont="1" applyFill="1" applyBorder="1" applyAlignment="1" applyProtection="1">
      <alignment vertical="center"/>
    </xf>
    <xf numFmtId="0" fontId="18" fillId="0" borderId="0" xfId="3" applyFont="1" applyAlignment="1" applyProtection="1">
      <alignment vertical="top" wrapText="1"/>
    </xf>
    <xf numFmtId="167" fontId="18" fillId="34" borderId="18" xfId="4" applyNumberFormat="1" applyFill="1" applyBorder="1" applyAlignment="1" applyProtection="1">
      <alignment vertical="center"/>
      <protection locked="0"/>
    </xf>
    <xf numFmtId="164" fontId="18" fillId="0" borderId="16" xfId="4" applyBorder="1" applyAlignment="1" applyProtection="1">
      <alignment vertical="center"/>
    </xf>
    <xf numFmtId="10" fontId="18" fillId="0" borderId="16" xfId="1" applyNumberFormat="1" applyBorder="1" applyAlignment="1" applyProtection="1">
      <alignment vertical="center"/>
    </xf>
    <xf numFmtId="167" fontId="18" fillId="34" borderId="18" xfId="4" applyNumberFormat="1" applyFill="1" applyBorder="1" applyAlignment="1" applyProtection="1">
      <alignment vertical="top"/>
      <protection locked="0"/>
    </xf>
    <xf numFmtId="167" fontId="18" fillId="0" borderId="18" xfId="4" applyNumberFormat="1" applyFill="1" applyBorder="1" applyAlignment="1" applyProtection="1">
      <alignment vertical="top"/>
      <protection locked="0"/>
    </xf>
    <xf numFmtId="1" fontId="18" fillId="0" borderId="18" xfId="0" applyNumberFormat="1" applyFont="1" applyFill="1" applyBorder="1" applyAlignment="1" applyProtection="1">
      <alignment vertical="center"/>
    </xf>
    <xf numFmtId="1" fontId="18" fillId="34" borderId="18" xfId="0" applyNumberFormat="1" applyFont="1" applyFill="1" applyBorder="1" applyAlignment="1" applyProtection="1">
      <alignment vertical="center"/>
    </xf>
    <xf numFmtId="0" fontId="18" fillId="38" borderId="22" xfId="3" applyFont="1" applyFill="1" applyBorder="1" applyProtection="1"/>
    <xf numFmtId="0" fontId="18" fillId="38" borderId="23" xfId="3" applyFill="1" applyBorder="1" applyAlignment="1" applyProtection="1">
      <alignment vertical="top"/>
    </xf>
    <xf numFmtId="0" fontId="18" fillId="38" borderId="23" xfId="3" applyFill="1" applyBorder="1" applyAlignment="1" applyProtection="1">
      <alignment vertical="top"/>
      <protection locked="0"/>
    </xf>
    <xf numFmtId="167" fontId="18" fillId="38" borderId="24" xfId="4" applyNumberFormat="1" applyFill="1" applyBorder="1" applyAlignment="1" applyProtection="1">
      <alignment vertical="top"/>
      <protection locked="0"/>
    </xf>
    <xf numFmtId="0" fontId="0" fillId="38" borderId="25" xfId="0" applyFill="1" applyBorder="1" applyAlignment="1" applyProtection="1">
      <alignment vertical="center"/>
      <protection locked="0"/>
    </xf>
    <xf numFmtId="164" fontId="18" fillId="38" borderId="23" xfId="4" applyFill="1" applyBorder="1" applyAlignment="1" applyProtection="1">
      <alignment vertical="center"/>
    </xf>
    <xf numFmtId="0" fontId="18" fillId="38" borderId="23" xfId="3" applyFill="1" applyBorder="1" applyAlignment="1" applyProtection="1">
      <alignment vertical="center"/>
    </xf>
    <xf numFmtId="0" fontId="0" fillId="38" borderId="24" xfId="0" applyFill="1" applyBorder="1" applyAlignment="1" applyProtection="1">
      <alignment vertical="center"/>
      <protection locked="0"/>
    </xf>
    <xf numFmtId="164" fontId="0" fillId="38" borderId="24" xfId="0" applyNumberFormat="1" applyFill="1" applyBorder="1" applyAlignment="1" applyProtection="1">
      <alignment vertical="center"/>
    </xf>
    <xf numFmtId="10" fontId="18" fillId="38" borderId="26" xfId="1" applyNumberFormat="1" applyFill="1" applyBorder="1" applyAlignment="1" applyProtection="1">
      <alignment vertical="center"/>
    </xf>
    <xf numFmtId="0" fontId="20" fillId="0" borderId="0" xfId="3" applyFont="1" applyFill="1" applyAlignment="1" applyProtection="1">
      <alignment vertical="top"/>
    </xf>
    <xf numFmtId="9" fontId="18" fillId="0" borderId="18" xfId="3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164" fontId="20" fillId="0" borderId="21" xfId="0" applyNumberFormat="1" applyFont="1" applyFill="1" applyBorder="1" applyAlignment="1" applyProtection="1">
      <alignment vertical="center"/>
    </xf>
    <xf numFmtId="0" fontId="20" fillId="0" borderId="18" xfId="3" applyFont="1" applyFill="1" applyBorder="1" applyAlignment="1" applyProtection="1">
      <alignment vertical="center"/>
    </xf>
    <xf numFmtId="9" fontId="20" fillId="0" borderId="18" xfId="3" applyNumberFormat="1" applyFont="1" applyFill="1" applyBorder="1" applyAlignment="1" applyProtection="1">
      <alignment vertical="center"/>
    </xf>
    <xf numFmtId="9" fontId="20" fillId="0" borderId="18" xfId="0" applyNumberFormat="1" applyFont="1" applyFill="1" applyBorder="1" applyAlignment="1" applyProtection="1">
      <alignment vertical="center"/>
    </xf>
    <xf numFmtId="164" fontId="20" fillId="0" borderId="16" xfId="0" applyNumberFormat="1" applyFont="1" applyFill="1" applyBorder="1" applyAlignment="1" applyProtection="1">
      <alignment vertical="center"/>
    </xf>
    <xf numFmtId="0" fontId="20" fillId="0" borderId="0" xfId="3" applyFont="1" applyFill="1" applyBorder="1" applyAlignment="1" applyProtection="1">
      <alignment vertical="center"/>
    </xf>
    <xf numFmtId="164" fontId="20" fillId="0" borderId="18" xfId="0" applyNumberFormat="1" applyFont="1" applyFill="1" applyBorder="1" applyAlignment="1" applyProtection="1">
      <alignment vertical="center"/>
    </xf>
    <xf numFmtId="10" fontId="20" fillId="0" borderId="16" xfId="1" applyNumberFormat="1" applyFont="1" applyFill="1" applyBorder="1" applyAlignment="1" applyProtection="1">
      <alignment vertical="center"/>
    </xf>
    <xf numFmtId="0" fontId="18" fillId="0" borderId="0" xfId="3" applyFont="1" applyFill="1" applyAlignment="1" applyProtection="1">
      <alignment horizontal="left" vertical="top" indent="1"/>
    </xf>
    <xf numFmtId="9" fontId="18" fillId="0" borderId="18" xfId="3" applyNumberFormat="1" applyFill="1" applyBorder="1" applyAlignment="1" applyProtection="1">
      <alignment vertical="top"/>
      <protection locked="0"/>
    </xf>
    <xf numFmtId="164" fontId="18" fillId="0" borderId="21" xfId="0" applyNumberFormat="1" applyFont="1" applyFill="1" applyBorder="1" applyAlignment="1" applyProtection="1">
      <alignment vertical="center"/>
    </xf>
    <xf numFmtId="0" fontId="18" fillId="0" borderId="18" xfId="3" applyFont="1" applyFill="1" applyBorder="1" applyAlignment="1" applyProtection="1">
      <alignment vertical="center"/>
    </xf>
    <xf numFmtId="9" fontId="18" fillId="0" borderId="18" xfId="3" applyNumberFormat="1" applyFont="1" applyFill="1" applyBorder="1" applyAlignment="1" applyProtection="1">
      <alignment vertical="top"/>
      <protection locked="0"/>
    </xf>
    <xf numFmtId="9" fontId="18" fillId="0" borderId="18" xfId="0" applyNumberFormat="1" applyFont="1" applyFill="1" applyBorder="1" applyAlignment="1" applyProtection="1">
      <alignment vertical="center"/>
    </xf>
    <xf numFmtId="164" fontId="18" fillId="0" borderId="16" xfId="0" applyNumberFormat="1" applyFont="1" applyFill="1" applyBorder="1" applyAlignment="1" applyProtection="1">
      <alignment vertical="center"/>
    </xf>
    <xf numFmtId="0" fontId="18" fillId="0" borderId="0" xfId="3" applyFont="1" applyFill="1" applyBorder="1" applyAlignment="1" applyProtection="1">
      <alignment vertical="center"/>
    </xf>
    <xf numFmtId="164" fontId="18" fillId="0" borderId="18" xfId="0" applyNumberFormat="1" applyFont="1" applyFill="1" applyBorder="1" applyAlignment="1" applyProtection="1">
      <alignment vertical="center"/>
    </xf>
    <xf numFmtId="10" fontId="18" fillId="0" borderId="16" xfId="1" applyNumberFormat="1" applyFont="1" applyFill="1" applyBorder="1" applyAlignment="1" applyProtection="1">
      <alignment vertical="center"/>
    </xf>
    <xf numFmtId="0" fontId="20" fillId="0" borderId="0" xfId="3" applyFont="1" applyAlignment="1" applyProtection="1">
      <alignment horizontal="left" vertical="top" wrapText="1" indent="1"/>
    </xf>
    <xf numFmtId="0" fontId="18" fillId="0" borderId="18" xfId="3" applyFill="1" applyBorder="1" applyAlignment="1" applyProtection="1">
      <alignment vertical="top"/>
    </xf>
    <xf numFmtId="0" fontId="0" fillId="0" borderId="0" xfId="0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vertical="center"/>
    </xf>
    <xf numFmtId="164" fontId="27" fillId="0" borderId="21" xfId="0" applyNumberFormat="1" applyFont="1" applyFill="1" applyBorder="1" applyAlignment="1" applyProtection="1">
      <alignment vertical="center"/>
    </xf>
    <xf numFmtId="164" fontId="27" fillId="0" borderId="16" xfId="0" applyNumberFormat="1" applyFont="1" applyFill="1" applyBorder="1" applyAlignment="1" applyProtection="1">
      <alignment vertical="center"/>
    </xf>
    <xf numFmtId="164" fontId="27" fillId="0" borderId="18" xfId="0" applyNumberFormat="1" applyFont="1" applyFill="1" applyBorder="1" applyAlignment="1" applyProtection="1">
      <alignment vertical="center"/>
    </xf>
    <xf numFmtId="10" fontId="27" fillId="0" borderId="16" xfId="1" applyNumberFormat="1" applyFont="1" applyFill="1" applyBorder="1" applyAlignment="1" applyProtection="1">
      <alignment vertical="center"/>
    </xf>
    <xf numFmtId="0" fontId="18" fillId="39" borderId="0" xfId="3" applyFill="1" applyAlignment="1" applyProtection="1">
      <alignment vertical="top"/>
    </xf>
    <xf numFmtId="0" fontId="18" fillId="39" borderId="18" xfId="3" applyFill="1" applyBorder="1" applyAlignment="1" applyProtection="1">
      <alignment vertical="top"/>
    </xf>
    <xf numFmtId="0" fontId="0" fillId="39" borderId="0" xfId="0" applyFill="1" applyBorder="1" applyAlignment="1" applyProtection="1">
      <alignment vertical="center"/>
    </xf>
    <xf numFmtId="164" fontId="20" fillId="39" borderId="21" xfId="0" applyNumberFormat="1" applyFont="1" applyFill="1" applyBorder="1" applyAlignment="1" applyProtection="1">
      <alignment vertical="center"/>
    </xf>
    <xf numFmtId="0" fontId="20" fillId="39" borderId="18" xfId="3" applyFont="1" applyFill="1" applyBorder="1" applyAlignment="1" applyProtection="1">
      <alignment vertical="center"/>
    </xf>
    <xf numFmtId="0" fontId="20" fillId="39" borderId="18" xfId="0" applyFont="1" applyFill="1" applyBorder="1" applyAlignment="1" applyProtection="1">
      <alignment vertical="center"/>
    </xf>
    <xf numFmtId="164" fontId="20" fillId="39" borderId="16" xfId="0" applyNumberFormat="1" applyFont="1" applyFill="1" applyBorder="1" applyAlignment="1" applyProtection="1">
      <alignment vertical="center"/>
    </xf>
    <xf numFmtId="0" fontId="20" fillId="39" borderId="0" xfId="3" applyFont="1" applyFill="1" applyBorder="1" applyAlignment="1" applyProtection="1">
      <alignment vertical="center"/>
    </xf>
    <xf numFmtId="164" fontId="20" fillId="39" borderId="18" xfId="0" applyNumberFormat="1" applyFont="1" applyFill="1" applyBorder="1" applyAlignment="1" applyProtection="1">
      <alignment vertical="center"/>
    </xf>
    <xf numFmtId="10" fontId="20" fillId="39" borderId="16" xfId="1" applyNumberFormat="1" applyFont="1" applyFill="1" applyBorder="1" applyAlignment="1" applyProtection="1">
      <alignment vertical="center"/>
    </xf>
    <xf numFmtId="167" fontId="18" fillId="38" borderId="25" xfId="4" applyNumberFormat="1" applyFill="1" applyBorder="1" applyAlignment="1" applyProtection="1">
      <alignment vertical="top"/>
      <protection locked="0"/>
    </xf>
    <xf numFmtId="0" fontId="0" fillId="38" borderId="23" xfId="0" applyFill="1" applyBorder="1" applyAlignment="1" applyProtection="1">
      <alignment vertical="center"/>
      <protection locked="0"/>
    </xf>
    <xf numFmtId="164" fontId="18" fillId="38" borderId="27" xfId="4" applyFill="1" applyBorder="1" applyAlignment="1" applyProtection="1">
      <alignment vertical="center"/>
    </xf>
    <xf numFmtId="0" fontId="18" fillId="38" borderId="25" xfId="3" applyFill="1" applyBorder="1" applyAlignment="1" applyProtection="1">
      <alignment vertical="center"/>
    </xf>
    <xf numFmtId="164" fontId="18" fillId="38" borderId="24" xfId="4" applyFill="1" applyBorder="1" applyAlignment="1" applyProtection="1">
      <alignment vertical="center"/>
    </xf>
    <xf numFmtId="164" fontId="0" fillId="38" borderId="25" xfId="0" applyNumberFormat="1" applyFill="1" applyBorder="1" applyAlignment="1" applyProtection="1">
      <alignment vertical="center"/>
    </xf>
    <xf numFmtId="164" fontId="20" fillId="0" borderId="28" xfId="0" applyNumberFormat="1" applyFont="1" applyFill="1" applyBorder="1" applyAlignment="1" applyProtection="1">
      <alignment vertical="center"/>
    </xf>
    <xf numFmtId="9" fontId="18" fillId="0" borderId="18" xfId="3" applyNumberFormat="1" applyFont="1" applyFill="1" applyBorder="1" applyAlignment="1" applyProtection="1">
      <alignment vertical="center"/>
      <protection locked="0"/>
    </xf>
    <xf numFmtId="0" fontId="18" fillId="39" borderId="19" xfId="3" applyFill="1" applyBorder="1" applyAlignment="1" applyProtection="1">
      <alignment vertical="top"/>
    </xf>
    <xf numFmtId="0" fontId="0" fillId="39" borderId="29" xfId="0" applyFill="1" applyBorder="1" applyAlignment="1" applyProtection="1">
      <alignment vertical="center"/>
    </xf>
    <xf numFmtId="164" fontId="20" fillId="39" borderId="30" xfId="0" applyNumberFormat="1" applyFont="1" applyFill="1" applyBorder="1" applyAlignment="1" applyProtection="1">
      <alignment vertical="center"/>
    </xf>
    <xf numFmtId="0" fontId="20" fillId="39" borderId="19" xfId="3" applyFont="1" applyFill="1" applyBorder="1" applyAlignment="1" applyProtection="1">
      <alignment vertical="center"/>
    </xf>
    <xf numFmtId="0" fontId="20" fillId="39" borderId="19" xfId="0" applyFont="1" applyFill="1" applyBorder="1" applyAlignment="1" applyProtection="1">
      <alignment vertical="center"/>
    </xf>
    <xf numFmtId="164" fontId="20" fillId="39" borderId="20" xfId="0" applyNumberFormat="1" applyFont="1" applyFill="1" applyBorder="1" applyAlignment="1" applyProtection="1">
      <alignment vertical="center"/>
    </xf>
    <xf numFmtId="0" fontId="20" fillId="39" borderId="29" xfId="3" applyFont="1" applyFill="1" applyBorder="1" applyAlignment="1" applyProtection="1">
      <alignment vertical="center"/>
    </xf>
    <xf numFmtId="164" fontId="20" fillId="39" borderId="19" xfId="0" applyNumberFormat="1" applyFont="1" applyFill="1" applyBorder="1" applyAlignment="1" applyProtection="1">
      <alignment vertical="center"/>
    </xf>
    <xf numFmtId="10" fontId="20" fillId="39" borderId="20" xfId="1" applyNumberFormat="1" applyFont="1" applyFill="1" applyBorder="1" applyAlignment="1" applyProtection="1">
      <alignment vertical="center"/>
    </xf>
    <xf numFmtId="0" fontId="18" fillId="38" borderId="23" xfId="3" applyFill="1" applyBorder="1" applyAlignment="1" applyProtection="1">
      <alignment vertical="center"/>
      <protection locked="0"/>
    </xf>
    <xf numFmtId="0" fontId="18" fillId="38" borderId="25" xfId="3" applyFill="1" applyBorder="1" applyAlignment="1" applyProtection="1">
      <alignment vertical="center"/>
      <protection locked="0"/>
    </xf>
    <xf numFmtId="164" fontId="18" fillId="0" borderId="0" xfId="3" applyNumberFormat="1" applyProtection="1"/>
    <xf numFmtId="0" fontId="20" fillId="0" borderId="0" xfId="3" applyFont="1" applyProtection="1"/>
    <xf numFmtId="169" fontId="18" fillId="34" borderId="11" xfId="5" applyNumberFormat="1" applyFill="1" applyBorder="1" applyProtection="1">
      <protection locked="0"/>
    </xf>
    <xf numFmtId="10" fontId="18" fillId="34" borderId="11" xfId="5" applyNumberFormat="1" applyFill="1" applyBorder="1" applyProtection="1">
      <protection locked="0"/>
    </xf>
    <xf numFmtId="0" fontId="28" fillId="0" borderId="0" xfId="3" applyFont="1" applyProtection="1"/>
    <xf numFmtId="0" fontId="18" fillId="0" borderId="0" xfId="3" applyProtection="1"/>
    <xf numFmtId="167" fontId="27" fillId="0" borderId="18" xfId="4" applyNumberFormat="1" applyFont="1" applyFill="1" applyBorder="1" applyAlignment="1" applyProtection="1">
      <alignment vertical="top"/>
      <protection locked="0"/>
    </xf>
    <xf numFmtId="0" fontId="20" fillId="34" borderId="11" xfId="3" applyFont="1" applyFill="1" applyBorder="1" applyProtection="1">
      <protection locked="0"/>
    </xf>
    <xf numFmtId="0" fontId="23" fillId="0" borderId="0" xfId="3" applyFont="1" applyAlignment="1" applyProtection="1">
      <alignment horizontal="center"/>
    </xf>
    <xf numFmtId="0" fontId="18" fillId="0" borderId="0" xfId="3" applyFont="1" applyAlignment="1" applyProtection="1">
      <alignment horizontal="right"/>
    </xf>
    <xf numFmtId="0" fontId="20" fillId="0" borderId="0" xfId="3" applyFont="1" applyAlignment="1" applyProtection="1">
      <alignment horizontal="right"/>
    </xf>
    <xf numFmtId="0" fontId="18" fillId="33" borderId="0" xfId="3" applyFill="1" applyBorder="1" applyProtection="1"/>
    <xf numFmtId="0" fontId="20" fillId="33" borderId="0" xfId="3" applyFont="1" applyFill="1" applyBorder="1" applyProtection="1"/>
    <xf numFmtId="0" fontId="20" fillId="0" borderId="0" xfId="3" applyFont="1"/>
    <xf numFmtId="0" fontId="23" fillId="33" borderId="0" xfId="3" applyFont="1" applyFill="1" applyBorder="1" applyAlignment="1" applyProtection="1"/>
    <xf numFmtId="0" fontId="18" fillId="33" borderId="0" xfId="3" applyFill="1" applyBorder="1" applyAlignment="1" applyProtection="1">
      <alignment horizontal="left" indent="1"/>
    </xf>
    <xf numFmtId="0" fontId="22" fillId="33" borderId="0" xfId="3" applyFont="1" applyFill="1" applyBorder="1" applyAlignment="1" applyProtection="1"/>
    <xf numFmtId="0" fontId="21" fillId="0" borderId="0" xfId="3" applyFont="1" applyAlignment="1">
      <alignment horizontal="right" vertical="top"/>
    </xf>
    <xf numFmtId="15" fontId="21" fillId="34" borderId="0" xfId="3" applyNumberFormat="1" applyFont="1" applyFill="1" applyAlignment="1">
      <alignment horizontal="right" vertical="top"/>
    </xf>
    <xf numFmtId="170" fontId="20" fillId="34" borderId="11" xfId="45" applyNumberFormat="1" applyFont="1" applyFill="1" applyBorder="1" applyProtection="1">
      <protection locked="0"/>
    </xf>
    <xf numFmtId="0" fontId="18" fillId="34" borderId="0" xfId="3" applyFont="1" applyFill="1" applyAlignment="1" applyProtection="1">
      <alignment vertical="top"/>
    </xf>
    <xf numFmtId="167" fontId="18" fillId="0" borderId="18" xfId="4" applyNumberFormat="1" applyFont="1" applyFill="1" applyBorder="1" applyAlignment="1" applyProtection="1">
      <alignment vertical="top"/>
      <protection locked="0"/>
    </xf>
    <xf numFmtId="167" fontId="18" fillId="34" borderId="18" xfId="4" applyNumberFormat="1" applyFont="1" applyFill="1" applyBorder="1" applyAlignment="1" applyProtection="1">
      <alignment horizontal="center" vertical="center"/>
      <protection locked="0"/>
    </xf>
    <xf numFmtId="0" fontId="23" fillId="34" borderId="0" xfId="3" applyFont="1" applyFill="1" applyAlignment="1" applyProtection="1">
      <alignment horizontal="left" vertical="center"/>
    </xf>
    <xf numFmtId="164" fontId="20" fillId="39" borderId="30" xfId="3" applyNumberFormat="1" applyFont="1" applyFill="1" applyBorder="1" applyAlignment="1" applyProtection="1">
      <alignment vertical="center"/>
    </xf>
    <xf numFmtId="0" fontId="18" fillId="39" borderId="29" xfId="3" applyFill="1" applyBorder="1" applyAlignment="1" applyProtection="1">
      <alignment vertical="center"/>
    </xf>
    <xf numFmtId="164" fontId="27" fillId="0" borderId="21" xfId="3" applyNumberFormat="1" applyFont="1" applyFill="1" applyBorder="1" applyAlignment="1" applyProtection="1">
      <alignment vertical="center"/>
    </xf>
    <xf numFmtId="0" fontId="18" fillId="0" borderId="0" xfId="3" applyFill="1" applyBorder="1" applyAlignment="1" applyProtection="1">
      <alignment vertical="center"/>
    </xf>
    <xf numFmtId="164" fontId="18" fillId="0" borderId="21" xfId="3" applyNumberFormat="1" applyFont="1" applyFill="1" applyBorder="1" applyAlignment="1" applyProtection="1">
      <alignment vertical="center"/>
    </xf>
    <xf numFmtId="164" fontId="20" fillId="0" borderId="21" xfId="3" applyNumberFormat="1" applyFont="1" applyFill="1" applyBorder="1" applyAlignment="1" applyProtection="1">
      <alignment vertical="center"/>
    </xf>
    <xf numFmtId="9" fontId="18" fillId="0" borderId="0" xfId="3" applyNumberFormat="1" applyFill="1" applyBorder="1" applyAlignment="1" applyProtection="1">
      <alignment vertical="center"/>
    </xf>
    <xf numFmtId="1" fontId="18" fillId="0" borderId="18" xfId="3" applyNumberFormat="1" applyFont="1" applyFill="1" applyBorder="1" applyAlignment="1" applyProtection="1">
      <alignment vertical="center"/>
    </xf>
    <xf numFmtId="1" fontId="18" fillId="0" borderId="18" xfId="3" applyNumberFormat="1" applyFill="1" applyBorder="1" applyAlignment="1" applyProtection="1">
      <alignment vertical="center"/>
    </xf>
    <xf numFmtId="1" fontId="18" fillId="0" borderId="16" xfId="3" applyNumberFormat="1" applyFill="1" applyBorder="1" applyAlignment="1" applyProtection="1">
      <alignment vertical="center"/>
    </xf>
    <xf numFmtId="0" fontId="18" fillId="0" borderId="16" xfId="3" applyFill="1" applyBorder="1" applyAlignment="1" applyProtection="1">
      <alignment vertical="center"/>
    </xf>
    <xf numFmtId="0" fontId="18" fillId="0" borderId="18" xfId="3" applyFill="1" applyBorder="1" applyAlignment="1" applyProtection="1">
      <alignment vertical="center"/>
    </xf>
    <xf numFmtId="164" fontId="20" fillId="36" borderId="14" xfId="3" applyNumberFormat="1" applyFont="1" applyFill="1" applyBorder="1" applyAlignment="1" applyProtection="1">
      <alignment vertical="center"/>
    </xf>
    <xf numFmtId="0" fontId="20" fillId="36" borderId="14" xfId="3" applyFont="1" applyFill="1" applyBorder="1" applyAlignment="1" applyProtection="1">
      <alignment vertical="center"/>
    </xf>
    <xf numFmtId="164" fontId="18" fillId="0" borderId="16" xfId="4" applyFont="1" applyBorder="1" applyAlignment="1" applyProtection="1">
      <alignment vertical="center"/>
    </xf>
    <xf numFmtId="0" fontId="18" fillId="36" borderId="14" xfId="3" applyFill="1" applyBorder="1" applyAlignment="1" applyProtection="1">
      <alignment vertical="center"/>
    </xf>
    <xf numFmtId="0" fontId="18" fillId="37" borderId="11" xfId="3" applyFill="1" applyBorder="1" applyAlignment="1" applyProtection="1">
      <alignment vertical="center"/>
    </xf>
    <xf numFmtId="0" fontId="18" fillId="36" borderId="14" xfId="3" applyFill="1" applyBorder="1" applyAlignment="1" applyProtection="1">
      <alignment vertical="center"/>
      <protection locked="0"/>
    </xf>
    <xf numFmtId="0" fontId="18" fillId="36" borderId="11" xfId="3" applyFill="1" applyBorder="1" applyAlignment="1" applyProtection="1">
      <alignment vertical="center"/>
      <protection locked="0"/>
    </xf>
    <xf numFmtId="164" fontId="18" fillId="0" borderId="18" xfId="4" applyNumberFormat="1" applyFont="1" applyFill="1" applyBorder="1" applyAlignment="1" applyProtection="1">
      <alignment vertical="center"/>
      <protection locked="0"/>
    </xf>
    <xf numFmtId="164" fontId="18" fillId="0" borderId="16" xfId="4" applyFont="1" applyFill="1" applyBorder="1" applyAlignment="1" applyProtection="1">
      <alignment vertical="center"/>
    </xf>
    <xf numFmtId="164" fontId="20" fillId="39" borderId="20" xfId="3" applyNumberFormat="1" applyFont="1" applyFill="1" applyBorder="1" applyAlignment="1" applyProtection="1">
      <alignment vertical="center"/>
    </xf>
    <xf numFmtId="164" fontId="27" fillId="0" borderId="16" xfId="3" applyNumberFormat="1" applyFont="1" applyFill="1" applyBorder="1" applyAlignment="1" applyProtection="1">
      <alignment vertical="center"/>
    </xf>
    <xf numFmtId="164" fontId="18" fillId="0" borderId="16" xfId="3" applyNumberFormat="1" applyFont="1" applyFill="1" applyBorder="1" applyAlignment="1" applyProtection="1">
      <alignment vertical="center"/>
    </xf>
    <xf numFmtId="164" fontId="20" fillId="0" borderId="28" xfId="3" applyNumberFormat="1" applyFont="1" applyFill="1" applyBorder="1" applyAlignment="1" applyProtection="1">
      <alignment vertical="center"/>
    </xf>
    <xf numFmtId="0" fontId="18" fillId="0" borderId="0" xfId="3" applyFont="1" applyFill="1" applyAlignment="1" applyProtection="1">
      <alignment vertical="top"/>
    </xf>
    <xf numFmtId="170" fontId="18" fillId="0" borderId="18" xfId="3" applyNumberFormat="1" applyFill="1" applyBorder="1" applyAlignment="1" applyProtection="1">
      <alignment vertical="center"/>
    </xf>
    <xf numFmtId="0" fontId="20" fillId="39" borderId="0" xfId="3" applyFont="1" applyFill="1" applyAlignment="1" applyProtection="1">
      <alignment horizontal="left" vertical="top" wrapText="1"/>
    </xf>
    <xf numFmtId="0" fontId="20" fillId="0" borderId="0" xfId="3" applyFont="1" applyAlignment="1" applyProtection="1">
      <alignment horizontal="center" wrapText="1"/>
    </xf>
    <xf numFmtId="0" fontId="18" fillId="0" borderId="0" xfId="3" applyAlignment="1">
      <alignment horizontal="center" wrapText="1"/>
    </xf>
    <xf numFmtId="0" fontId="20" fillId="0" borderId="18" xfId="3" applyFont="1" applyFill="1" applyBorder="1" applyAlignment="1" applyProtection="1">
      <alignment horizontal="center" wrapText="1"/>
    </xf>
    <xf numFmtId="0" fontId="18" fillId="0" borderId="19" xfId="3" applyBorder="1" applyAlignment="1">
      <alignment wrapText="1"/>
    </xf>
    <xf numFmtId="0" fontId="20" fillId="0" borderId="16" xfId="3" applyFont="1" applyFill="1" applyBorder="1" applyAlignment="1" applyProtection="1">
      <alignment horizontal="center" wrapText="1"/>
    </xf>
    <xf numFmtId="0" fontId="18" fillId="0" borderId="20" xfId="3" applyBorder="1" applyAlignment="1">
      <alignment wrapText="1"/>
    </xf>
    <xf numFmtId="0" fontId="25" fillId="0" borderId="0" xfId="3" applyFont="1" applyAlignment="1" applyProtection="1">
      <alignment horizontal="left" vertical="top" wrapText="1" indent="1"/>
    </xf>
    <xf numFmtId="0" fontId="22" fillId="33" borderId="0" xfId="0" applyFont="1" applyFill="1" applyBorder="1" applyAlignment="1" applyProtection="1">
      <alignment horizontal="left" indent="7"/>
    </xf>
    <xf numFmtId="0" fontId="24" fillId="0" borderId="0" xfId="0" applyFont="1" applyAlignment="1" applyProtection="1">
      <alignment horizontal="center"/>
    </xf>
    <xf numFmtId="0" fontId="23" fillId="34" borderId="0" xfId="0" applyFont="1" applyFill="1" applyAlignment="1" applyProtection="1">
      <alignment horizontal="left" vertical="center"/>
    </xf>
    <xf numFmtId="0" fontId="20" fillId="0" borderId="12" xfId="3" applyFont="1" applyBorder="1" applyAlignment="1" applyProtection="1">
      <alignment horizontal="center"/>
    </xf>
    <xf numFmtId="0" fontId="20" fillId="0" borderId="13" xfId="3" applyFont="1" applyBorder="1" applyAlignment="1" applyProtection="1">
      <alignment horizontal="center"/>
    </xf>
    <xf numFmtId="0" fontId="20" fillId="0" borderId="14" xfId="3" applyFont="1" applyBorder="1" applyAlignment="1" applyProtection="1">
      <alignment horizontal="center"/>
    </xf>
    <xf numFmtId="0" fontId="20" fillId="0" borderId="15" xfId="3" applyFont="1" applyFill="1" applyBorder="1" applyAlignment="1" applyProtection="1">
      <alignment horizontal="center" wrapText="1"/>
    </xf>
    <xf numFmtId="0" fontId="20" fillId="0" borderId="19" xfId="3" applyFont="1" applyFill="1" applyBorder="1" applyAlignment="1" applyProtection="1">
      <alignment horizontal="center" wrapText="1"/>
    </xf>
    <xf numFmtId="0" fontId="22" fillId="33" borderId="0" xfId="3" applyFont="1" applyFill="1" applyBorder="1" applyAlignment="1" applyProtection="1">
      <alignment horizontal="left" indent="7"/>
    </xf>
    <xf numFmtId="0" fontId="20" fillId="39" borderId="32" xfId="3" applyFont="1" applyFill="1" applyBorder="1" applyAlignment="1" applyProtection="1">
      <alignment horizontal="left" vertical="top" wrapText="1"/>
    </xf>
    <xf numFmtId="0" fontId="23" fillId="34" borderId="0" xfId="3" applyFont="1" applyFill="1" applyAlignment="1" applyProtection="1">
      <alignment horizontal="left" vertical="center"/>
    </xf>
  </cellXfs>
  <cellStyles count="72">
    <cellStyle name="20% - Accent1 2" xfId="6"/>
    <cellStyle name="20% - Accent1 3" xfId="7"/>
    <cellStyle name="20% - Accent2 2" xfId="8"/>
    <cellStyle name="20% - Accent2 3" xfId="9"/>
    <cellStyle name="20% - Accent3 2" xfId="10"/>
    <cellStyle name="20% - Accent3 3" xfId="11"/>
    <cellStyle name="20% - Accent4 2" xfId="12"/>
    <cellStyle name="20% - Accent4 3" xfId="13"/>
    <cellStyle name="20% - Accent5 2" xfId="14"/>
    <cellStyle name="20% - Accent5 3" xfId="15"/>
    <cellStyle name="20% - Accent6 2" xfId="16"/>
    <cellStyle name="20% - Accent6 3" xfId="17"/>
    <cellStyle name="40% - Accent1 2" xfId="18"/>
    <cellStyle name="40% - Accent1 3" xfId="19"/>
    <cellStyle name="40% - Accent2 2" xfId="20"/>
    <cellStyle name="40% - Accent2 3" xfId="21"/>
    <cellStyle name="40% - Accent3 2" xfId="22"/>
    <cellStyle name="40% - Accent3 3" xfId="23"/>
    <cellStyle name="40% - Accent4 2" xfId="24"/>
    <cellStyle name="40% - Accent4 3" xfId="25"/>
    <cellStyle name="40% - Accent5 2" xfId="26"/>
    <cellStyle name="40% - Accent5 3" xfId="27"/>
    <cellStyle name="40% - Accent6 2" xfId="28"/>
    <cellStyle name="40% - Accent6 3" xfId="29"/>
    <cellStyle name="60% - Accent1 2" xfId="30"/>
    <cellStyle name="60% - Accent2 2" xfId="31"/>
    <cellStyle name="60% - Accent3 2" xfId="32"/>
    <cellStyle name="60% - Accent4 2" xfId="33"/>
    <cellStyle name="60% - Accent5 2" xfId="34"/>
    <cellStyle name="60% - Accent6 2" xfId="35"/>
    <cellStyle name="Accent1 2" xfId="36"/>
    <cellStyle name="Accent2 2" xfId="37"/>
    <cellStyle name="Accent3 2" xfId="38"/>
    <cellStyle name="Accent4 2" xfId="39"/>
    <cellStyle name="Accent5 2" xfId="40"/>
    <cellStyle name="Accent6 2" xfId="41"/>
    <cellStyle name="Bad 2" xfId="42"/>
    <cellStyle name="Calculation 2" xfId="43"/>
    <cellStyle name="Check Cell 2" xfId="44"/>
    <cellStyle name="Comma 10" xfId="45"/>
    <cellStyle name="Comma 2" xfId="46"/>
    <cellStyle name="Comma 3" xfId="47"/>
    <cellStyle name="Comma 4" xfId="2"/>
    <cellStyle name="Currency 10" xfId="4"/>
    <cellStyle name="Currency 16" xfId="48"/>
    <cellStyle name="Currency 2" xfId="49"/>
    <cellStyle name="Currency 3" xfId="50"/>
    <cellStyle name="Explanatory Text 2" xfId="51"/>
    <cellStyle name="Good 2" xfId="52"/>
    <cellStyle name="Heading 1 2" xfId="53"/>
    <cellStyle name="Heading 2 2" xfId="54"/>
    <cellStyle name="Heading 3 2" xfId="55"/>
    <cellStyle name="Heading 4 2" xfId="56"/>
    <cellStyle name="Input 2" xfId="57"/>
    <cellStyle name="Linked Cell 2" xfId="58"/>
    <cellStyle name="Neutral 2" xfId="59"/>
    <cellStyle name="Normal" xfId="0" builtinId="0"/>
    <cellStyle name="Normal 2" xfId="60"/>
    <cellStyle name="Normal 3" xfId="61"/>
    <cellStyle name="Normal 40" xfId="62"/>
    <cellStyle name="Normal 47" xfId="3"/>
    <cellStyle name="Note 2" xfId="63"/>
    <cellStyle name="Note 3" xfId="64"/>
    <cellStyle name="Output 2" xfId="65"/>
    <cellStyle name="Percent" xfId="1" builtinId="5"/>
    <cellStyle name="Percent 2" xfId="66"/>
    <cellStyle name="Percent 22" xfId="67"/>
    <cellStyle name="Percent 29" xfId="5"/>
    <cellStyle name="Percent 3" xfId="68"/>
    <cellStyle name="Title 2" xfId="69"/>
    <cellStyle name="Total 2" xfId="70"/>
    <cellStyle name="Warning Text 2" xfId="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Applications%20Department/Department%20Applications/Rates/2013%20Electricity%20Rates/$Models/Final%202013%20IRM%20R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%20CW%20Hydro%20Filing_Requirements_Chapter2_Appendices_V1.1_2013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W%20Hydro%20Rate%20Design%20Model-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WH%20Deferral%20&amp;%20Variance%20Account%20-%20Rate%20Rider%20-%20June%204%2020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CW%20Hydro%202013%20RTSR%20MODEL_V3_201206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2-A Capital Projects"/>
      <sheetName val="App.2-B_Fixed Asset Cont 2009"/>
      <sheetName val="App.2-B_Fixed Asset Cont 2010"/>
      <sheetName val="App.2-B_Fixed Asset Cont 2011"/>
      <sheetName val="App.2-B_Fix AssCont 2012 CGAAP "/>
      <sheetName val="App.2-B_Fix Ass Cont 2012 CGAAP"/>
      <sheetName val="App.2-B_Fix Ass Cont 2013 CGAAP"/>
      <sheetName val="App.2-B_Fix Ass Cont 2013 GAAP"/>
      <sheetName val="App.2-CA_CGAAP_DepExp_2011"/>
      <sheetName val="App.2-CB_MIFRS_DepExp_2011"/>
      <sheetName val="App.2-CC_MIFRS_DepExp_2012"/>
      <sheetName val="App.2-CD_MIFRS_DepExp_2013"/>
      <sheetName val="App.2-CE_CGAAP_DepExp_2011"/>
      <sheetName val="App.2-CF_CGAAP_DepExp_2012"/>
      <sheetName val="App.2-CG_NewRates_DepExp_2012"/>
      <sheetName val="App.2-CH_CGAAP_DepExp_2013"/>
      <sheetName val="App.2-CI_AltAccStd_DepExp"/>
      <sheetName val="App.2-D_Overhead"/>
      <sheetName val="App.2-EA_PP&amp;E Deferral Account"/>
      <sheetName val="App.2-EB_PP&amp;E Deferral Account"/>
      <sheetName val="App.2-F_Other_Oper_Rev"/>
      <sheetName val="App.2-G_Detailed_OM&amp;A_Expenses"/>
      <sheetName val="App.2-H_OM&amp;A_Detailed_Analysis"/>
      <sheetName val="App.2-I_OM&amp;A_Summary_Analys"/>
      <sheetName val="App.2-J_OM&amp;A_Cost _Driv Summary"/>
      <sheetName val="App.2-K_Employee Costs"/>
      <sheetName val="App.2-L_OM&amp;A_per_Cust_FTEE"/>
      <sheetName val="App.2-M_Regulatory_Costs"/>
      <sheetName val="App.2-N_Corp_Cost_Allocation"/>
      <sheetName val="App.2-OA Capital Structure 2009"/>
      <sheetName val="App.2-OA Capital Structure 2010"/>
      <sheetName val="App.2-OA Capital Structure 2011"/>
      <sheetName val="App.2-OA Capital Structure 2012"/>
      <sheetName val="App.2-OA Capital Structure 2013"/>
      <sheetName val="App.2-OB_Debt Instruments 2009"/>
      <sheetName val="App.2-OB_Debt Instruments 2010"/>
      <sheetName val="App.2-OB_Debt Instruments 2011"/>
      <sheetName val="App.2-OB_Debt Instruments 2012"/>
      <sheetName val="App.2-OB_Debt Instruments 2013"/>
      <sheetName val="App.2-P_Cost_Allocation"/>
      <sheetName val="App.2-Q_Cost of Serv. Emb. Dx"/>
      <sheetName val="App.2-R_Loss Factors"/>
      <sheetName val="App.2-S_Stranded Meters"/>
      <sheetName val="App.2-U_IFRS Transition Costs"/>
      <sheetName val="App.2-T_1592_Tax_Variance"/>
      <sheetName val="App.2-V_Rev_Reconciliation"/>
      <sheetName val="Bill Impacts App 2-W Residentia"/>
      <sheetName val="Bill Impacts App 2-W GS&lt;50"/>
      <sheetName val="Bill Impacts App 2-W GS 50 -299"/>
      <sheetName val="Bill Impacts App 2-W GS 3000-49"/>
      <sheetName val="Bill Impacts App 2-W USL"/>
      <sheetName val="Bill Impacts App 2-W Street Lgt"/>
      <sheetName val="Bill Impacts App 2-W Sent Lgts"/>
      <sheetName val="App.2-X_CoS_Flowchart"/>
    </sheetNames>
    <sheetDataSet>
      <sheetData sheetId="0">
        <row r="3">
          <cell r="AA3" t="str">
            <v>Algoma Power Inc.</v>
          </cell>
        </row>
        <row r="4">
          <cell r="AA4" t="str">
            <v>Atikokan Hydro Inc.</v>
          </cell>
        </row>
        <row r="5">
          <cell r="AA5" t="str">
            <v>Attawapiskat Power Corporation</v>
          </cell>
        </row>
        <row r="6">
          <cell r="AA6" t="str">
            <v>Bluewater Power Distribution Corp.</v>
          </cell>
        </row>
        <row r="7">
          <cell r="AA7" t="str">
            <v>Brant County Power</v>
          </cell>
        </row>
        <row r="8">
          <cell r="AA8" t="str">
            <v>Brantford Power Inc.</v>
          </cell>
        </row>
        <row r="9">
          <cell r="AA9" t="str">
            <v>Burlington Hydro Inc.</v>
          </cell>
        </row>
        <row r="10">
          <cell r="AA10" t="str">
            <v>Cambridge and North Dumfries Hydro</v>
          </cell>
        </row>
        <row r="11">
          <cell r="AA11" t="str">
            <v>Canadian Niagara Power Inc. – Eastern Ontario Power/Fort Erie/Port Colborne</v>
          </cell>
        </row>
        <row r="12">
          <cell r="AA12" t="str">
            <v>Centre Wellington Hydro Ltd.</v>
          </cell>
        </row>
        <row r="13">
          <cell r="AA13" t="str">
            <v>Chapleau Public Utilities Corporation</v>
          </cell>
        </row>
        <row r="14">
          <cell r="AA14" t="str">
            <v>COLLUS Power Corp.</v>
          </cell>
        </row>
        <row r="15">
          <cell r="AA15" t="str">
            <v>Cooperative Hydro Embrun Inc.</v>
          </cell>
        </row>
        <row r="16">
          <cell r="AA16" t="str">
            <v>E.L.K. Energy Inc.</v>
          </cell>
        </row>
        <row r="17">
          <cell r="AA17" t="str">
            <v>Enersource Hydro Mississauga Inc.</v>
          </cell>
        </row>
        <row r="18">
          <cell r="AA18" t="str">
            <v>Entegrus Powerlines Inc.</v>
          </cell>
        </row>
        <row r="19">
          <cell r="AA19" t="str">
            <v>ENWIN Utilities Ltd.</v>
          </cell>
        </row>
        <row r="20">
          <cell r="AA20" t="str">
            <v>Erie Thames Powerlines Corp.</v>
          </cell>
        </row>
        <row r="21">
          <cell r="AA21" t="str">
            <v>Espanola Regional Hydro Distribution Corporation</v>
          </cell>
        </row>
        <row r="22">
          <cell r="AA22" t="str">
            <v>Essex Powerlines Corporation</v>
          </cell>
        </row>
        <row r="23">
          <cell r="AA23" t="str">
            <v>Festival Hydro Inc.</v>
          </cell>
        </row>
        <row r="24">
          <cell r="AA24" t="str">
            <v>Fort Albany Power Corporation</v>
          </cell>
        </row>
        <row r="25">
          <cell r="AA25" t="str">
            <v>Fort Frances Power Corporation</v>
          </cell>
        </row>
        <row r="26">
          <cell r="AA26" t="str">
            <v>Greater Sudbury Hydro Inc.</v>
          </cell>
        </row>
        <row r="27">
          <cell r="AA27" t="str">
            <v>Grimsby Power Inc.</v>
          </cell>
        </row>
        <row r="28">
          <cell r="AA28" t="str">
            <v>Guelph Hydro Electric Systems Inc.</v>
          </cell>
        </row>
        <row r="29">
          <cell r="AA29" t="str">
            <v>Haldimand County Hydro Inc.</v>
          </cell>
        </row>
        <row r="30">
          <cell r="AA30" t="str">
            <v>Guelph Hydro Electric Systems Inc.</v>
          </cell>
        </row>
        <row r="31">
          <cell r="AA31" t="str">
            <v>Halton Hills Hydro Inc.</v>
          </cell>
        </row>
        <row r="32">
          <cell r="AA32" t="str">
            <v>Hearst Power Distribution Co. Ltd.</v>
          </cell>
        </row>
        <row r="33">
          <cell r="AA33" t="str">
            <v>Horizon Utilities Corporation</v>
          </cell>
        </row>
        <row r="34">
          <cell r="AA34" t="str">
            <v>Hydro 2000 Inc.</v>
          </cell>
        </row>
        <row r="35">
          <cell r="AA35" t="str">
            <v>Hydro Hawkesbury Inc.</v>
          </cell>
        </row>
        <row r="36">
          <cell r="AA36" t="str">
            <v>Hydro One Brampton Networks Inc.</v>
          </cell>
        </row>
        <row r="37">
          <cell r="AA37" t="str">
            <v>Hydro One Networks Inc.</v>
          </cell>
        </row>
        <row r="38">
          <cell r="AA38" t="str">
            <v>Hydro One Remote Communities Inc.</v>
          </cell>
        </row>
        <row r="39">
          <cell r="AA39" t="str">
            <v>Hydro Ottawa Limited</v>
          </cell>
        </row>
        <row r="40">
          <cell r="AA40" t="str">
            <v>Innisfil Hydro Dist. Systems Limited</v>
          </cell>
        </row>
        <row r="41">
          <cell r="AA41" t="str">
            <v>Kashechewan Power Corporation</v>
          </cell>
        </row>
        <row r="42">
          <cell r="AA42" t="str">
            <v>Kenora Hydro Electric Corporation Ltd.</v>
          </cell>
        </row>
        <row r="43">
          <cell r="AA43" t="str">
            <v>Kingston Hydro Corporation</v>
          </cell>
        </row>
        <row r="44">
          <cell r="AA44" t="str">
            <v>Kitchener-Wilmot Hydro Inc.</v>
          </cell>
        </row>
        <row r="45">
          <cell r="AA45" t="str">
            <v>Lakefront Utilities Inc.</v>
          </cell>
        </row>
        <row r="46">
          <cell r="AA46" t="str">
            <v>Lakeland Power Distribution Ltd.</v>
          </cell>
        </row>
        <row r="47">
          <cell r="AA47" t="str">
            <v>London Hydro Inc.</v>
          </cell>
        </row>
        <row r="48">
          <cell r="AA48" t="str">
            <v>Midland Power Utility Corporation</v>
          </cell>
        </row>
        <row r="49">
          <cell r="AA49" t="str">
            <v>Milton Hydro Distribution Inc.</v>
          </cell>
        </row>
        <row r="50">
          <cell r="AA50" t="str">
            <v>Newmarket – Tay Power Distribution Ltd.</v>
          </cell>
        </row>
        <row r="51">
          <cell r="AA51" t="str">
            <v>Niagara Peninsula Energy Inc.</v>
          </cell>
        </row>
        <row r="52">
          <cell r="AA52" t="str">
            <v>Niagara-on-the-Lake Hydro Inc.</v>
          </cell>
        </row>
        <row r="53">
          <cell r="AA53" t="str">
            <v>Norfolk Power Distribution Ltd.</v>
          </cell>
        </row>
        <row r="54">
          <cell r="AA54" t="str">
            <v>North Bay Hydro Distribution Limited</v>
          </cell>
        </row>
        <row r="55">
          <cell r="AA55" t="str">
            <v>Northern Ontario Wires Inc.</v>
          </cell>
        </row>
        <row r="56">
          <cell r="AA56" t="str">
            <v>Oakville Hydro Distribution Inc.</v>
          </cell>
        </row>
        <row r="57">
          <cell r="AA57" t="str">
            <v>Orangeville Hydro Limited</v>
          </cell>
        </row>
        <row r="58">
          <cell r="AA58" t="str">
            <v>Orillia Power Distribution Corp.</v>
          </cell>
        </row>
        <row r="59">
          <cell r="AA59" t="str">
            <v>Oshawa PUC Networks Inc.</v>
          </cell>
        </row>
        <row r="60">
          <cell r="AA60" t="str">
            <v>Ottawa River Power Corporation</v>
          </cell>
        </row>
        <row r="61">
          <cell r="AA61" t="str">
            <v>Parry Sound Power Corporation</v>
          </cell>
        </row>
        <row r="62">
          <cell r="AA62" t="str">
            <v>Peterborough Distribution Inc.</v>
          </cell>
        </row>
        <row r="63">
          <cell r="AA63" t="str">
            <v>PowerStream Inc.</v>
          </cell>
        </row>
        <row r="64">
          <cell r="AA64" t="str">
            <v>PUC Distribution Inc.</v>
          </cell>
        </row>
        <row r="65">
          <cell r="AA65" t="str">
            <v>Renfrew Hydro Inc.</v>
          </cell>
        </row>
        <row r="66">
          <cell r="AA66" t="str">
            <v>Rideau St. Lawrence Distribution Inc.</v>
          </cell>
        </row>
        <row r="67">
          <cell r="AA67" t="str">
            <v>St. Thomas Energy Inc.</v>
          </cell>
        </row>
        <row r="68">
          <cell r="AA68" t="str">
            <v>Sioux Lookout Hydro Inc.</v>
          </cell>
        </row>
        <row r="69">
          <cell r="AA69" t="str">
            <v>Thunder Bay Hydro Electricity Distribution</v>
          </cell>
        </row>
        <row r="70">
          <cell r="AA70" t="str">
            <v>Tillsonburg Hydro Inc.</v>
          </cell>
        </row>
        <row r="71">
          <cell r="AA71" t="str">
            <v>Toronto Hydro-Electric System Limited</v>
          </cell>
        </row>
        <row r="72">
          <cell r="AA72" t="str">
            <v>Veridian Connections Inc.</v>
          </cell>
        </row>
        <row r="73">
          <cell r="AA73" t="str">
            <v>Wasaga Distribution Inc.</v>
          </cell>
        </row>
        <row r="74">
          <cell r="AA74" t="str">
            <v>Waterloo North Hydro Inc.</v>
          </cell>
        </row>
        <row r="75">
          <cell r="AA75" t="str">
            <v>Welland Hydro Electric System Corp.</v>
          </cell>
        </row>
        <row r="76">
          <cell r="AA76" t="str">
            <v>Wellington North Power Inc.</v>
          </cell>
        </row>
        <row r="77">
          <cell r="AA77" t="str">
            <v>West Coast Huron Energy Inc.</v>
          </cell>
        </row>
        <row r="78">
          <cell r="AA78" t="str">
            <v>Westario Power Inc.</v>
          </cell>
        </row>
        <row r="79">
          <cell r="AA79" t="str">
            <v>Whitby Hydro Electric Corporation</v>
          </cell>
        </row>
        <row r="80">
          <cell r="AA80" t="str">
            <v>Woodstock Hydro Services Inc.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20">
          <cell r="E120">
            <v>0.97653015300521939</v>
          </cell>
        </row>
      </sheetData>
      <sheetData sheetId="45" refreshError="1"/>
      <sheetData sheetId="46" refreshError="1"/>
      <sheetData sheetId="47" refreshError="1"/>
      <sheetData sheetId="48">
        <row r="16">
          <cell r="F16">
            <v>800</v>
          </cell>
        </row>
        <row r="71">
          <cell r="F71">
            <v>4.4900000000000002E-2</v>
          </cell>
          <cell r="J71">
            <v>4.9748000000000001E-2</v>
          </cell>
        </row>
      </sheetData>
      <sheetData sheetId="49">
        <row r="16">
          <cell r="F16">
            <v>2000</v>
          </cell>
        </row>
      </sheetData>
      <sheetData sheetId="50">
        <row r="16">
          <cell r="F16">
            <v>1095000</v>
          </cell>
        </row>
      </sheetData>
      <sheetData sheetId="51">
        <row r="13">
          <cell r="F13">
            <v>1600000</v>
          </cell>
        </row>
      </sheetData>
      <sheetData sheetId="52">
        <row r="16">
          <cell r="F16">
            <v>275</v>
          </cell>
        </row>
      </sheetData>
      <sheetData sheetId="53">
        <row r="12">
          <cell r="F12">
            <v>108831</v>
          </cell>
        </row>
      </sheetData>
      <sheetData sheetId="54">
        <row r="12">
          <cell r="F12">
            <v>50</v>
          </cell>
        </row>
      </sheetData>
      <sheetData sheetId="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Input"/>
      <sheetName val="Transformer Allowance"/>
      <sheetName val="Forecast Data For2013"/>
      <sheetName val="2012 Existing Rates"/>
      <sheetName val="2013 Test Yr On Existing Rates"/>
      <sheetName val="Cost Allocation Study"/>
      <sheetName val="Table 7.1.3"/>
      <sheetName val="Rates By Rate Class"/>
      <sheetName val="Table 7.1.5 &amp; 8.2"/>
      <sheetName val="Table 8.3 - 8.8"/>
      <sheetName val="Allocation Low Voltage Costs"/>
      <sheetName val="Low Voltage Rates"/>
      <sheetName val="LRAM and SSM Rate Rider"/>
      <sheetName val="2013 Rate Rider"/>
      <sheetName val="Distribution Rate Schedule"/>
      <sheetName val="BILL IMPACTS"/>
      <sheetName val="Rate Schedule (Part 1)"/>
      <sheetName val="Rate Schedule (Part 2)"/>
      <sheetName val="Dist. Rev. Reconciliation"/>
      <sheetName val="Revenue Deficiency Analysis"/>
      <sheetName val="Appendix 2-O Table a"/>
      <sheetName val="Appendix 2-O Table b"/>
      <sheetName val="Appendix 2-O Table c"/>
      <sheetName val="Appendix 2-O Table d"/>
      <sheetName val="Other Electriciy Rates"/>
      <sheetName val="Appendix 2-V Resid"/>
      <sheetName val="Appendix 2-V GS&lt;50"/>
      <sheetName val="Appendix 2-V GS 50-2999"/>
      <sheetName val="Appendix 2-Q GS 3000-4999 "/>
      <sheetName val="Appendix 2-V Large User"/>
      <sheetName val="Appendix 2-V Streetlighting"/>
      <sheetName val="Appendix 2-V Sentinel"/>
      <sheetName val="Appendix 2-V USL"/>
    </sheetNames>
    <sheetDataSet>
      <sheetData sheetId="0"/>
      <sheetData sheetId="1"/>
      <sheetData sheetId="2"/>
      <sheetData sheetId="3">
        <row r="6">
          <cell r="C6">
            <v>13.88</v>
          </cell>
          <cell r="E6">
            <v>1.2800000000000001E-2</v>
          </cell>
        </row>
        <row r="7">
          <cell r="C7">
            <v>15.31</v>
          </cell>
          <cell r="E7">
            <v>1.6E-2</v>
          </cell>
        </row>
        <row r="8">
          <cell r="C8">
            <v>131.15</v>
          </cell>
          <cell r="D8">
            <v>2.9144000000000001</v>
          </cell>
        </row>
        <row r="9">
          <cell r="C9">
            <v>561.62</v>
          </cell>
          <cell r="D9">
            <v>2.4754</v>
          </cell>
        </row>
        <row r="11">
          <cell r="B11">
            <v>4.46</v>
          </cell>
          <cell r="D11">
            <v>11.776199999999999</v>
          </cell>
        </row>
        <row r="12">
          <cell r="B12">
            <v>4.43</v>
          </cell>
          <cell r="D12">
            <v>21.383600000000001</v>
          </cell>
        </row>
        <row r="13">
          <cell r="C13">
            <v>15.31</v>
          </cell>
          <cell r="E13">
            <v>2.4199999999999999E-2</v>
          </cell>
        </row>
        <row r="19">
          <cell r="B19">
            <v>-1.5E-3</v>
          </cell>
        </row>
        <row r="20">
          <cell r="B20">
            <v>-1.8E-3</v>
          </cell>
        </row>
        <row r="21">
          <cell r="D21">
            <v>-0.7631</v>
          </cell>
        </row>
        <row r="22">
          <cell r="D22">
            <v>-0.9708</v>
          </cell>
        </row>
        <row r="24">
          <cell r="D24">
            <v>-3.0300000000000001E-2</v>
          </cell>
        </row>
        <row r="25">
          <cell r="D25">
            <v>-0.71650000000000003</v>
          </cell>
        </row>
        <row r="26">
          <cell r="B26">
            <v>-1.8E-3</v>
          </cell>
        </row>
        <row r="31">
          <cell r="B31">
            <v>5.9999999999999995E-4</v>
          </cell>
        </row>
        <row r="32">
          <cell r="B32">
            <v>5.9999999999999995E-4</v>
          </cell>
        </row>
        <row r="33">
          <cell r="D33">
            <v>0.21690000000000001</v>
          </cell>
        </row>
        <row r="34">
          <cell r="D34">
            <v>0.25590000000000002</v>
          </cell>
        </row>
        <row r="36">
          <cell r="D36">
            <v>0.17119999999999999</v>
          </cell>
        </row>
        <row r="37">
          <cell r="D37">
            <v>0.16769999999999999</v>
          </cell>
        </row>
        <row r="38">
          <cell r="B38">
            <v>5.9999999999999995E-4</v>
          </cell>
        </row>
        <row r="44">
          <cell r="B44">
            <v>9.0000000000000006E-5</v>
          </cell>
        </row>
        <row r="45">
          <cell r="C45">
            <v>0.13669999999999999</v>
          </cell>
        </row>
        <row r="46">
          <cell r="C46">
            <v>0.1053</v>
          </cell>
        </row>
        <row r="48">
          <cell r="C48">
            <v>1.0862000000000001</v>
          </cell>
        </row>
        <row r="49">
          <cell r="C49">
            <v>2.0299999999999998</v>
          </cell>
        </row>
        <row r="50">
          <cell r="B50">
            <v>1E-3</v>
          </cell>
        </row>
        <row r="55">
          <cell r="B55">
            <v>8.9999999999999998E-4</v>
          </cell>
        </row>
        <row r="56">
          <cell r="B56">
            <v>2.0000000000000001E-4</v>
          </cell>
        </row>
        <row r="57">
          <cell r="D57">
            <v>3.7600000000000001E-2</v>
          </cell>
        </row>
        <row r="58">
          <cell r="D58">
            <v>0</v>
          </cell>
        </row>
        <row r="82">
          <cell r="B82">
            <v>-1.1999999999999999E-3</v>
          </cell>
        </row>
        <row r="83">
          <cell r="D83">
            <v>-0.17810000000000001</v>
          </cell>
        </row>
        <row r="84">
          <cell r="D84">
            <v>-0.1133</v>
          </cell>
        </row>
        <row r="86">
          <cell r="D86">
            <v>-0.92749999999999999</v>
          </cell>
        </row>
        <row r="87">
          <cell r="D87">
            <v>-1.4964999999999999</v>
          </cell>
        </row>
        <row r="88">
          <cell r="B88">
            <v>-1.5E-3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L7">
            <v>4.9038395879366866E-5</v>
          </cell>
        </row>
        <row r="8">
          <cell r="L8">
            <v>2.4255590542302075E-4</v>
          </cell>
        </row>
      </sheetData>
      <sheetData sheetId="13">
        <row r="43">
          <cell r="B43">
            <v>1.25</v>
          </cell>
          <cell r="D43">
            <v>0.97653015300521939</v>
          </cell>
        </row>
        <row r="44">
          <cell r="B44">
            <v>4.26</v>
          </cell>
          <cell r="D44">
            <v>3.0424057650467704</v>
          </cell>
        </row>
      </sheetData>
      <sheetData sheetId="14">
        <row r="9">
          <cell r="C9">
            <v>15.22</v>
          </cell>
          <cell r="E9">
            <v>1.4E-2</v>
          </cell>
        </row>
        <row r="10">
          <cell r="C10">
            <v>17.36</v>
          </cell>
          <cell r="E10">
            <v>1.8100000000000002E-2</v>
          </cell>
        </row>
        <row r="11">
          <cell r="C11">
            <v>160.19999999999999</v>
          </cell>
          <cell r="D11">
            <v>3.4933999999999998</v>
          </cell>
        </row>
        <row r="12">
          <cell r="C12">
            <v>645.57000000000005</v>
          </cell>
          <cell r="D12">
            <v>2.7557</v>
          </cell>
        </row>
        <row r="14">
          <cell r="B14">
            <v>4.4634</v>
          </cell>
          <cell r="D14">
            <v>11.7852</v>
          </cell>
        </row>
        <row r="15">
          <cell r="B15">
            <v>1.8156000000000001</v>
          </cell>
          <cell r="D15">
            <v>8.7640999999999991</v>
          </cell>
        </row>
        <row r="16">
          <cell r="B16">
            <v>6.5106000000000002</v>
          </cell>
          <cell r="E16">
            <v>1.03E-2</v>
          </cell>
        </row>
        <row r="20">
          <cell r="E20">
            <v>1.8E-3</v>
          </cell>
        </row>
        <row r="21">
          <cell r="E21">
            <v>1.6000000000000001E-3</v>
          </cell>
        </row>
        <row r="22">
          <cell r="D22">
            <v>0.63019999999999998</v>
          </cell>
        </row>
        <row r="23">
          <cell r="D23">
            <v>0.74329999999999996</v>
          </cell>
        </row>
        <row r="25">
          <cell r="D25">
            <v>0.49740000000000001</v>
          </cell>
        </row>
        <row r="26">
          <cell r="D26">
            <v>0.48720000000000002</v>
          </cell>
        </row>
        <row r="27">
          <cell r="E27">
            <v>1.6000000000000001E-3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0">
          <cell r="F20">
            <v>-2.4842935040906584E-3</v>
          </cell>
        </row>
        <row r="21">
          <cell r="F21">
            <v>-3.1004653558823793E-3</v>
          </cell>
        </row>
        <row r="22">
          <cell r="F22">
            <v>-1.2547938719804999</v>
          </cell>
        </row>
        <row r="23">
          <cell r="F23">
            <v>-1.412625686337853</v>
          </cell>
        </row>
        <row r="24">
          <cell r="F24">
            <v>-3.0165714517524306E-3</v>
          </cell>
        </row>
        <row r="25">
          <cell r="F25">
            <v>-0.56642336203292831</v>
          </cell>
        </row>
        <row r="26">
          <cell r="F26">
            <v>-1.0691937469970088</v>
          </cell>
        </row>
        <row r="50">
          <cell r="F50">
            <v>1.5615492450678885</v>
          </cell>
        </row>
        <row r="53">
          <cell r="F53">
            <v>1.2311811878959025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RRR Data"/>
      <sheetName val="5. UTRs and Sub-Transmission"/>
      <sheetName val="6. Historical Wholesale"/>
      <sheetName val="7. Current Wholesale"/>
      <sheetName val="8. Forecast Wholesale"/>
      <sheetName val="9. Adj Network to Current WS"/>
      <sheetName val="10. Adj Conn. to Current WS"/>
      <sheetName val="11. Adj Network to Forecast WS"/>
      <sheetName val="12. Adj Conn. to Forecast WS"/>
      <sheetName val="13. Final 2013 RTS Rates"/>
      <sheetName val="hidden1"/>
    </sheetNames>
    <sheetDataSet>
      <sheetData sheetId="0"/>
      <sheetData sheetId="1"/>
      <sheetData sheetId="2">
        <row r="24">
          <cell r="J24">
            <v>5.3E-3</v>
          </cell>
          <cell r="M24">
            <v>4.4000000000000003E-3</v>
          </cell>
        </row>
        <row r="25">
          <cell r="J25">
            <v>4.8999999999999998E-3</v>
          </cell>
          <cell r="M25">
            <v>3.8999999999999998E-3</v>
          </cell>
        </row>
        <row r="26">
          <cell r="J26">
            <v>1.9796</v>
          </cell>
          <cell r="M26">
            <v>1.5570999999999999</v>
          </cell>
        </row>
        <row r="27">
          <cell r="J27">
            <v>2.214</v>
          </cell>
          <cell r="M27">
            <v>1.8365</v>
          </cell>
        </row>
        <row r="28">
          <cell r="J28">
            <v>4.8999999999999998E-3</v>
          </cell>
          <cell r="M28">
            <v>3.8999999999999998E-3</v>
          </cell>
        </row>
        <row r="29">
          <cell r="J29">
            <v>1.5005999999999999</v>
          </cell>
          <cell r="M29">
            <v>1.2290000000000001</v>
          </cell>
        </row>
        <row r="30">
          <cell r="J30">
            <v>1.4928999999999999</v>
          </cell>
          <cell r="M30">
            <v>1.2038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6">
          <cell r="F26">
            <v>7.2350102338292321E-3</v>
          </cell>
          <cell r="H26">
            <v>5.4533654852084888E-3</v>
          </cell>
        </row>
        <row r="27">
          <cell r="F27">
            <v>6.6889717256157031E-3</v>
          </cell>
          <cell r="H27">
            <v>4.8336648618893426E-3</v>
          </cell>
        </row>
        <row r="28">
          <cell r="F28">
            <v>2.7023445771487449</v>
          </cell>
          <cell r="H28">
            <v>1.9298716811404859</v>
          </cell>
        </row>
        <row r="29">
          <cell r="F29">
            <v>3.0223231429618718</v>
          </cell>
          <cell r="H29">
            <v>2.2761603894512255</v>
          </cell>
        </row>
        <row r="30">
          <cell r="F30">
            <v>6.6889717256157048E-3</v>
          </cell>
          <cell r="H30">
            <v>4.8336648618893426E-3</v>
          </cell>
        </row>
        <row r="31">
          <cell r="F31">
            <v>2.0484634635630461</v>
          </cell>
          <cell r="H31">
            <v>1.5232241321184621</v>
          </cell>
        </row>
        <row r="32">
          <cell r="F32">
            <v>2.037952222279936</v>
          </cell>
          <cell r="H32">
            <v>1.4919912207031771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5"/>
  <sheetViews>
    <sheetView tabSelected="1" topLeftCell="A59" zoomScale="70" zoomScaleNormal="70" workbookViewId="0">
      <selection activeCell="J87" sqref="J87"/>
    </sheetView>
  </sheetViews>
  <sheetFormatPr defaultRowHeight="12.75" x14ac:dyDescent="0.2"/>
  <cols>
    <col min="2" max="2" width="32.28515625" customWidth="1"/>
    <col min="3" max="3" width="1.7109375" customWidth="1"/>
    <col min="4" max="4" width="10.85546875" customWidth="1"/>
    <col min="5" max="5" width="1.7109375" customWidth="1"/>
    <col min="6" max="6" width="10.5703125" bestFit="1" customWidth="1"/>
    <col min="8" max="8" width="15.140625" customWidth="1"/>
    <col min="9" max="9" width="1.42578125" customWidth="1"/>
    <col min="10" max="10" width="12.85546875" bestFit="1" customWidth="1"/>
    <col min="12" max="12" width="12.28515625" bestFit="1" customWidth="1"/>
    <col min="13" max="13" width="1.140625" customWidth="1"/>
    <col min="14" max="14" width="12.7109375" bestFit="1" customWidth="1"/>
    <col min="15" max="15" width="10.85546875" bestFit="1" customWidth="1"/>
    <col min="16" max="16" width="1.7109375" customWidth="1"/>
  </cols>
  <sheetData>
    <row r="1" spans="1:20" s="2" customFormat="1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">
        <v>1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2</v>
      </c>
      <c r="O2" s="6">
        <v>8</v>
      </c>
      <c r="P2"/>
    </row>
    <row r="3" spans="1:20" s="2" customFormat="1" ht="15" customHeight="1" x14ac:dyDescent="0.25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N3" s="3" t="s">
        <v>3</v>
      </c>
      <c r="O3" s="6" t="s">
        <v>4</v>
      </c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5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6</v>
      </c>
      <c r="O5" s="9">
        <v>3</v>
      </c>
      <c r="P5"/>
    </row>
    <row r="6" spans="1:20" s="2" customFormat="1" ht="9" customHeight="1" x14ac:dyDescent="0.2">
      <c r="N6" s="3"/>
      <c r="O6" s="4"/>
      <c r="P6"/>
    </row>
    <row r="7" spans="1:20" s="2" customFormat="1" x14ac:dyDescent="0.2">
      <c r="J7" s="10"/>
      <c r="N7" s="3" t="s">
        <v>7</v>
      </c>
      <c r="O7" s="11">
        <v>41199</v>
      </c>
      <c r="P7"/>
    </row>
    <row r="8" spans="1:20" s="2" customFormat="1" ht="15" customHeight="1" x14ac:dyDescent="0.2">
      <c r="N8" s="12"/>
      <c r="O8"/>
      <c r="P8"/>
    </row>
    <row r="9" spans="1:20" s="12" customFormat="1" ht="7.5" customHeight="1" x14ac:dyDescent="0.2">
      <c r="L9"/>
      <c r="M9"/>
      <c r="N9"/>
      <c r="O9"/>
      <c r="P9"/>
    </row>
    <row r="10" spans="1:20" s="12" customFormat="1" ht="18.75" customHeight="1" x14ac:dyDescent="0.25">
      <c r="B10" s="215" t="s">
        <v>8</v>
      </c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/>
    </row>
    <row r="11" spans="1:20" s="12" customFormat="1" ht="18.75" customHeight="1" x14ac:dyDescent="0.25">
      <c r="B11" s="215" t="s">
        <v>9</v>
      </c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/>
    </row>
    <row r="12" spans="1:20" s="12" customFormat="1" ht="7.5" customHeight="1" x14ac:dyDescent="0.2">
      <c r="L12"/>
      <c r="M12"/>
      <c r="N12"/>
      <c r="O12"/>
      <c r="P12"/>
    </row>
    <row r="13" spans="1:20" s="12" customFormat="1" ht="7.5" customHeight="1" x14ac:dyDescent="0.2">
      <c r="L13"/>
      <c r="M13"/>
      <c r="N13"/>
      <c r="O13"/>
      <c r="P13"/>
    </row>
    <row r="14" spans="1:20" s="12" customFormat="1" ht="15.75" x14ac:dyDescent="0.2">
      <c r="B14" s="13" t="s">
        <v>10</v>
      </c>
      <c r="D14" s="216" t="s">
        <v>11</v>
      </c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</row>
    <row r="15" spans="1:20" s="12" customFormat="1" ht="7.5" customHeight="1" x14ac:dyDescent="0.25">
      <c r="B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20" s="12" customFormat="1" x14ac:dyDescent="0.2">
      <c r="B16" s="16"/>
      <c r="D16" s="17" t="s">
        <v>12</v>
      </c>
      <c r="E16" s="17"/>
      <c r="F16" s="18">
        <v>800</v>
      </c>
      <c r="G16" s="17" t="s">
        <v>13</v>
      </c>
    </row>
    <row r="17" spans="2:15" x14ac:dyDescent="0.2">
      <c r="B17" s="1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2:15" x14ac:dyDescent="0.2">
      <c r="B18" s="19"/>
      <c r="C18" s="20"/>
      <c r="D18" s="21"/>
      <c r="E18" s="21"/>
      <c r="F18" s="217" t="s">
        <v>14</v>
      </c>
      <c r="G18" s="218"/>
      <c r="H18" s="219"/>
      <c r="I18" s="20"/>
      <c r="J18" s="217" t="s">
        <v>15</v>
      </c>
      <c r="K18" s="218"/>
      <c r="L18" s="219"/>
      <c r="M18" s="20"/>
      <c r="N18" s="217" t="s">
        <v>16</v>
      </c>
      <c r="O18" s="219"/>
    </row>
    <row r="19" spans="2:15" x14ac:dyDescent="0.2">
      <c r="B19" s="19"/>
      <c r="C19" s="20"/>
      <c r="D19" s="207" t="s">
        <v>17</v>
      </c>
      <c r="E19" s="22"/>
      <c r="F19" s="23" t="s">
        <v>18</v>
      </c>
      <c r="G19" s="23" t="s">
        <v>19</v>
      </c>
      <c r="H19" s="24" t="s">
        <v>20</v>
      </c>
      <c r="I19" s="20"/>
      <c r="J19" s="23" t="s">
        <v>18</v>
      </c>
      <c r="K19" s="25" t="s">
        <v>19</v>
      </c>
      <c r="L19" s="24" t="s">
        <v>20</v>
      </c>
      <c r="M19" s="20"/>
      <c r="N19" s="209" t="s">
        <v>21</v>
      </c>
      <c r="O19" s="211" t="s">
        <v>22</v>
      </c>
    </row>
    <row r="20" spans="2:15" x14ac:dyDescent="0.2">
      <c r="B20" s="19"/>
      <c r="C20" s="20"/>
      <c r="D20" s="208"/>
      <c r="E20" s="22"/>
      <c r="F20" s="26" t="s">
        <v>23</v>
      </c>
      <c r="G20" s="26"/>
      <c r="H20" s="27" t="s">
        <v>23</v>
      </c>
      <c r="I20" s="20"/>
      <c r="J20" s="26" t="s">
        <v>23</v>
      </c>
      <c r="K20" s="27"/>
      <c r="L20" s="27" t="s">
        <v>23</v>
      </c>
      <c r="M20" s="20"/>
      <c r="N20" s="210"/>
      <c r="O20" s="212"/>
    </row>
    <row r="21" spans="2:15" x14ac:dyDescent="0.2">
      <c r="B21" s="28" t="s">
        <v>24</v>
      </c>
      <c r="C21" s="28"/>
      <c r="D21" s="29" t="s">
        <v>25</v>
      </c>
      <c r="E21" s="30"/>
      <c r="F21" s="31">
        <f>+'[3]2012 Existing Rates'!$C$6</f>
        <v>13.88</v>
      </c>
      <c r="G21" s="32">
        <v>1</v>
      </c>
      <c r="H21" s="33">
        <f>G21*F21</f>
        <v>13.88</v>
      </c>
      <c r="I21" s="34"/>
      <c r="J21" s="35">
        <f>+'[3]Distribution Rate Schedule'!$C$9</f>
        <v>15.22</v>
      </c>
      <c r="K21" s="36">
        <v>1</v>
      </c>
      <c r="L21" s="33">
        <f>K21*J21</f>
        <v>15.22</v>
      </c>
      <c r="M21" s="34"/>
      <c r="N21" s="37">
        <f>L21-H21</f>
        <v>1.3399999999999999</v>
      </c>
      <c r="O21" s="38">
        <f>IF((H21)=0,"",(N21/H21))</f>
        <v>9.6541786743515837E-2</v>
      </c>
    </row>
    <row r="22" spans="2:15" x14ac:dyDescent="0.2">
      <c r="B22" s="39" t="s">
        <v>26</v>
      </c>
      <c r="C22" s="28"/>
      <c r="D22" s="29" t="s">
        <v>25</v>
      </c>
      <c r="E22" s="30"/>
      <c r="F22" s="40"/>
      <c r="G22" s="32">
        <v>1</v>
      </c>
      <c r="H22" s="33">
        <f t="shared" ref="H22:H36" si="0">G22*F22</f>
        <v>0</v>
      </c>
      <c r="I22" s="34"/>
      <c r="J22" s="35">
        <f>'[3]2013 Rate Rider'!$D$43</f>
        <v>0.97653015300521939</v>
      </c>
      <c r="K22" s="36">
        <v>1</v>
      </c>
      <c r="L22" s="33">
        <f>K22*J22</f>
        <v>0.97653015300521939</v>
      </c>
      <c r="M22" s="34"/>
      <c r="N22" s="37">
        <f>L22-H22</f>
        <v>0.97653015300521939</v>
      </c>
      <c r="O22" s="38" t="str">
        <f>IF((H22)=0,"",(N22/H22))</f>
        <v/>
      </c>
    </row>
    <row r="23" spans="2:15" hidden="1" x14ac:dyDescent="0.2">
      <c r="B23" s="41"/>
      <c r="C23" s="28"/>
      <c r="D23" s="29"/>
      <c r="E23" s="30"/>
      <c r="F23" s="40"/>
      <c r="G23" s="32">
        <v>1</v>
      </c>
      <c r="H23" s="33">
        <f t="shared" si="0"/>
        <v>0</v>
      </c>
      <c r="I23" s="34"/>
      <c r="J23" s="42"/>
      <c r="K23" s="36">
        <v>1</v>
      </c>
      <c r="L23" s="33">
        <f t="shared" ref="L23:L36" si="1">K23*J23</f>
        <v>0</v>
      </c>
      <c r="M23" s="34"/>
      <c r="N23" s="37">
        <f t="shared" ref="N23:N68" si="2">L23-H23</f>
        <v>0</v>
      </c>
      <c r="O23" s="38" t="str">
        <f t="shared" ref="O23:O37" si="3">IF((H23)=0,"",(N23/H23))</f>
        <v/>
      </c>
    </row>
    <row r="24" spans="2:15" hidden="1" x14ac:dyDescent="0.2">
      <c r="B24" s="41"/>
      <c r="C24" s="28"/>
      <c r="D24" s="29"/>
      <c r="E24" s="30"/>
      <c r="F24" s="40"/>
      <c r="G24" s="32">
        <v>1</v>
      </c>
      <c r="H24" s="33">
        <f t="shared" si="0"/>
        <v>0</v>
      </c>
      <c r="I24" s="34"/>
      <c r="J24" s="42"/>
      <c r="K24" s="36">
        <v>1</v>
      </c>
      <c r="L24" s="33">
        <f t="shared" si="1"/>
        <v>0</v>
      </c>
      <c r="M24" s="34"/>
      <c r="N24" s="37">
        <f t="shared" si="2"/>
        <v>0</v>
      </c>
      <c r="O24" s="38" t="str">
        <f t="shared" si="3"/>
        <v/>
      </c>
    </row>
    <row r="25" spans="2:15" hidden="1" x14ac:dyDescent="0.2">
      <c r="B25" s="41"/>
      <c r="C25" s="28"/>
      <c r="D25" s="29"/>
      <c r="E25" s="30"/>
      <c r="F25" s="40"/>
      <c r="G25" s="32">
        <v>1</v>
      </c>
      <c r="H25" s="33">
        <f t="shared" si="0"/>
        <v>0</v>
      </c>
      <c r="I25" s="34"/>
      <c r="J25" s="42"/>
      <c r="K25" s="36">
        <v>1</v>
      </c>
      <c r="L25" s="33">
        <f t="shared" si="1"/>
        <v>0</v>
      </c>
      <c r="M25" s="34"/>
      <c r="N25" s="37">
        <f t="shared" si="2"/>
        <v>0</v>
      </c>
      <c r="O25" s="38" t="str">
        <f t="shared" si="3"/>
        <v/>
      </c>
    </row>
    <row r="26" spans="2:15" hidden="1" x14ac:dyDescent="0.2">
      <c r="B26" s="41"/>
      <c r="C26" s="28"/>
      <c r="D26" s="29"/>
      <c r="E26" s="30"/>
      <c r="F26" s="40"/>
      <c r="G26" s="32">
        <v>1</v>
      </c>
      <c r="H26" s="33">
        <f t="shared" si="0"/>
        <v>0</v>
      </c>
      <c r="I26" s="34"/>
      <c r="J26" s="42"/>
      <c r="K26" s="36">
        <v>1</v>
      </c>
      <c r="L26" s="33">
        <f t="shared" si="1"/>
        <v>0</v>
      </c>
      <c r="M26" s="34"/>
      <c r="N26" s="37">
        <f t="shared" si="2"/>
        <v>0</v>
      </c>
      <c r="O26" s="38" t="str">
        <f t="shared" si="3"/>
        <v/>
      </c>
    </row>
    <row r="27" spans="2:15" x14ac:dyDescent="0.2">
      <c r="B27" s="28" t="s">
        <v>27</v>
      </c>
      <c r="C27" s="28"/>
      <c r="D27" s="29" t="s">
        <v>28</v>
      </c>
      <c r="E27" s="30"/>
      <c r="F27" s="40">
        <f>+'[3]2012 Existing Rates'!$E$6</f>
        <v>1.2800000000000001E-2</v>
      </c>
      <c r="G27" s="32">
        <f t="shared" ref="G27:G36" si="4">$F$16</f>
        <v>800</v>
      </c>
      <c r="H27" s="33">
        <f t="shared" si="0"/>
        <v>10.24</v>
      </c>
      <c r="I27" s="34"/>
      <c r="J27" s="42">
        <f>+'[3]Distribution Rate Schedule'!$E$9</f>
        <v>1.4E-2</v>
      </c>
      <c r="K27" s="32">
        <f>$F$16</f>
        <v>800</v>
      </c>
      <c r="L27" s="33">
        <f t="shared" si="1"/>
        <v>11.200000000000001</v>
      </c>
      <c r="M27" s="34"/>
      <c r="N27" s="37">
        <f t="shared" si="2"/>
        <v>0.96000000000000085</v>
      </c>
      <c r="O27" s="38">
        <f t="shared" si="3"/>
        <v>9.3750000000000083E-2</v>
      </c>
    </row>
    <row r="28" spans="2:15" x14ac:dyDescent="0.2">
      <c r="B28" s="28" t="s">
        <v>29</v>
      </c>
      <c r="C28" s="28"/>
      <c r="D28" s="29" t="s">
        <v>25</v>
      </c>
      <c r="E28" s="30"/>
      <c r="F28" s="40"/>
      <c r="G28" s="32">
        <v>1</v>
      </c>
      <c r="H28" s="33">
        <f t="shared" si="0"/>
        <v>0</v>
      </c>
      <c r="I28" s="34"/>
      <c r="J28" s="35">
        <f>'[3]2013 Rate Rider'!$B$43</f>
        <v>1.25</v>
      </c>
      <c r="K28" s="32">
        <v>1</v>
      </c>
      <c r="L28" s="33">
        <f t="shared" si="1"/>
        <v>1.25</v>
      </c>
      <c r="M28" s="34"/>
      <c r="N28" s="37">
        <f t="shared" si="2"/>
        <v>1.25</v>
      </c>
      <c r="O28" s="38" t="str">
        <f t="shared" si="3"/>
        <v/>
      </c>
    </row>
    <row r="29" spans="2:15" x14ac:dyDescent="0.2">
      <c r="B29" s="28" t="s">
        <v>30</v>
      </c>
      <c r="C29" s="28"/>
      <c r="D29" s="29" t="s">
        <v>28</v>
      </c>
      <c r="E29" s="30"/>
      <c r="F29" s="40">
        <f>+'[3]2012 Existing Rates'!$B$55</f>
        <v>8.9999999999999998E-4</v>
      </c>
      <c r="G29" s="32">
        <f t="shared" si="4"/>
        <v>800</v>
      </c>
      <c r="H29" s="33">
        <f t="shared" si="0"/>
        <v>0.72</v>
      </c>
      <c r="I29" s="34"/>
      <c r="J29" s="43">
        <f>'[3]LRAM and SSM Rate Rider'!$L$7</f>
        <v>4.9038395879366866E-5</v>
      </c>
      <c r="K29" s="32">
        <f t="shared" ref="K29:K36" si="5">$F$16</f>
        <v>800</v>
      </c>
      <c r="L29" s="33">
        <f t="shared" si="1"/>
        <v>3.9230716703493491E-2</v>
      </c>
      <c r="M29" s="34"/>
      <c r="N29" s="37">
        <f t="shared" si="2"/>
        <v>-0.68076928329650643</v>
      </c>
      <c r="O29" s="38">
        <f t="shared" si="3"/>
        <v>-0.94551289346737011</v>
      </c>
    </row>
    <row r="30" spans="2:15" hidden="1" x14ac:dyDescent="0.2">
      <c r="B30" s="44"/>
      <c r="C30" s="28"/>
      <c r="D30" s="29" t="s">
        <v>25</v>
      </c>
      <c r="E30" s="30"/>
      <c r="F30" s="40"/>
      <c r="G30" s="32">
        <f t="shared" si="4"/>
        <v>800</v>
      </c>
      <c r="H30" s="33">
        <f>G30*F30</f>
        <v>0</v>
      </c>
      <c r="I30" s="34"/>
      <c r="J30" s="42"/>
      <c r="K30" s="32">
        <f t="shared" si="5"/>
        <v>800</v>
      </c>
      <c r="L30" s="33">
        <f>K30*J30</f>
        <v>0</v>
      </c>
      <c r="M30" s="34"/>
      <c r="N30" s="37">
        <f>L30-H30</f>
        <v>0</v>
      </c>
      <c r="O30" s="38" t="str">
        <f>IF((H30)=0,"",(N30/H30))</f>
        <v/>
      </c>
    </row>
    <row r="31" spans="2:15" hidden="1" x14ac:dyDescent="0.2">
      <c r="B31" s="44"/>
      <c r="C31" s="28"/>
      <c r="D31" s="29"/>
      <c r="E31" s="30"/>
      <c r="F31" s="40"/>
      <c r="G31" s="32">
        <f t="shared" si="4"/>
        <v>800</v>
      </c>
      <c r="H31" s="33">
        <f>G31*F31</f>
        <v>0</v>
      </c>
      <c r="I31" s="34"/>
      <c r="J31" s="42"/>
      <c r="K31" s="32">
        <f t="shared" si="5"/>
        <v>800</v>
      </c>
      <c r="L31" s="33">
        <f>K31*J31</f>
        <v>0</v>
      </c>
      <c r="M31" s="34"/>
      <c r="N31" s="37">
        <f>L31-H31</f>
        <v>0</v>
      </c>
      <c r="O31" s="38" t="str">
        <f>IF((H31)=0,"",(N31/H31))</f>
        <v/>
      </c>
    </row>
    <row r="32" spans="2:15" hidden="1" x14ac:dyDescent="0.2">
      <c r="B32" s="44"/>
      <c r="C32" s="28"/>
      <c r="D32" s="29"/>
      <c r="E32" s="30"/>
      <c r="F32" s="40"/>
      <c r="G32" s="32">
        <f t="shared" si="4"/>
        <v>800</v>
      </c>
      <c r="H32" s="33">
        <f>G32*F32</f>
        <v>0</v>
      </c>
      <c r="I32" s="34"/>
      <c r="J32" s="42"/>
      <c r="K32" s="32">
        <f t="shared" si="5"/>
        <v>800</v>
      </c>
      <c r="L32" s="33">
        <f>K32*J32</f>
        <v>0</v>
      </c>
      <c r="M32" s="34"/>
      <c r="N32" s="37">
        <f>L32-H32</f>
        <v>0</v>
      </c>
      <c r="O32" s="38" t="str">
        <f>IF((H32)=0,"",(N32/H32))</f>
        <v/>
      </c>
    </row>
    <row r="33" spans="2:15" hidden="1" x14ac:dyDescent="0.2">
      <c r="B33" s="44"/>
      <c r="C33" s="28"/>
      <c r="D33" s="29"/>
      <c r="E33" s="30"/>
      <c r="F33" s="40"/>
      <c r="G33" s="32">
        <f t="shared" si="4"/>
        <v>800</v>
      </c>
      <c r="H33" s="33">
        <f t="shared" si="0"/>
        <v>0</v>
      </c>
      <c r="I33" s="34"/>
      <c r="J33" s="42"/>
      <c r="K33" s="32">
        <f t="shared" si="5"/>
        <v>800</v>
      </c>
      <c r="L33" s="33">
        <f t="shared" si="1"/>
        <v>0</v>
      </c>
      <c r="M33" s="34"/>
      <c r="N33" s="37">
        <f t="shared" si="2"/>
        <v>0</v>
      </c>
      <c r="O33" s="38" t="str">
        <f t="shared" si="3"/>
        <v/>
      </c>
    </row>
    <row r="34" spans="2:15" hidden="1" x14ac:dyDescent="0.2">
      <c r="B34" s="44"/>
      <c r="C34" s="28"/>
      <c r="D34" s="29"/>
      <c r="E34" s="30"/>
      <c r="F34" s="40"/>
      <c r="G34" s="32">
        <f t="shared" si="4"/>
        <v>800</v>
      </c>
      <c r="H34" s="33">
        <f t="shared" si="0"/>
        <v>0</v>
      </c>
      <c r="I34" s="34"/>
      <c r="J34" s="42"/>
      <c r="K34" s="32">
        <f t="shared" si="5"/>
        <v>800</v>
      </c>
      <c r="L34" s="33">
        <f t="shared" si="1"/>
        <v>0</v>
      </c>
      <c r="M34" s="34"/>
      <c r="N34" s="37">
        <f t="shared" si="2"/>
        <v>0</v>
      </c>
      <c r="O34" s="38" t="str">
        <f t="shared" si="3"/>
        <v/>
      </c>
    </row>
    <row r="35" spans="2:15" hidden="1" x14ac:dyDescent="0.2">
      <c r="B35" s="44"/>
      <c r="C35" s="28"/>
      <c r="D35" s="29"/>
      <c r="E35" s="30"/>
      <c r="F35" s="40"/>
      <c r="G35" s="32">
        <f t="shared" si="4"/>
        <v>800</v>
      </c>
      <c r="H35" s="33">
        <f t="shared" si="0"/>
        <v>0</v>
      </c>
      <c r="I35" s="34"/>
      <c r="J35" s="42"/>
      <c r="K35" s="32">
        <f t="shared" si="5"/>
        <v>800</v>
      </c>
      <c r="L35" s="33">
        <f t="shared" si="1"/>
        <v>0</v>
      </c>
      <c r="M35" s="34"/>
      <c r="N35" s="37">
        <f t="shared" si="2"/>
        <v>0</v>
      </c>
      <c r="O35" s="38" t="str">
        <f t="shared" si="3"/>
        <v/>
      </c>
    </row>
    <row r="36" spans="2:15" hidden="1" x14ac:dyDescent="0.2">
      <c r="B36" s="44"/>
      <c r="C36" s="28"/>
      <c r="D36" s="29"/>
      <c r="E36" s="30"/>
      <c r="F36" s="40"/>
      <c r="G36" s="32">
        <f t="shared" si="4"/>
        <v>800</v>
      </c>
      <c r="H36" s="33">
        <f t="shared" si="0"/>
        <v>0</v>
      </c>
      <c r="I36" s="34"/>
      <c r="J36" s="42"/>
      <c r="K36" s="32">
        <f t="shared" si="5"/>
        <v>800</v>
      </c>
      <c r="L36" s="33">
        <f t="shared" si="1"/>
        <v>0</v>
      </c>
      <c r="M36" s="34"/>
      <c r="N36" s="37">
        <f t="shared" si="2"/>
        <v>0</v>
      </c>
      <c r="O36" s="38" t="str">
        <f t="shared" si="3"/>
        <v/>
      </c>
    </row>
    <row r="37" spans="2:15" x14ac:dyDescent="0.2">
      <c r="B37" s="45" t="s">
        <v>31</v>
      </c>
      <c r="C37" s="46"/>
      <c r="D37" s="47"/>
      <c r="E37" s="46"/>
      <c r="F37" s="48"/>
      <c r="G37" s="49"/>
      <c r="H37" s="50">
        <f>SUM(H21:H36)</f>
        <v>24.84</v>
      </c>
      <c r="I37" s="51"/>
      <c r="J37" s="52"/>
      <c r="K37" s="53"/>
      <c r="L37" s="50">
        <f>SUM(L21:L36)</f>
        <v>28.685760869708716</v>
      </c>
      <c r="M37" s="51"/>
      <c r="N37" s="54">
        <f t="shared" si="2"/>
        <v>3.845760869708716</v>
      </c>
      <c r="O37" s="55">
        <f t="shared" si="3"/>
        <v>0.15482129105107553</v>
      </c>
    </row>
    <row r="38" spans="2:15" ht="25.5" x14ac:dyDescent="0.2">
      <c r="B38" s="56" t="s">
        <v>32</v>
      </c>
      <c r="C38" s="28"/>
      <c r="D38" s="57" t="s">
        <v>28</v>
      </c>
      <c r="E38" s="30"/>
      <c r="F38" s="40">
        <f>+'[3]2012 Existing Rates'!$B$19</f>
        <v>-1.5E-3</v>
      </c>
      <c r="G38" s="32">
        <f>$F$16</f>
        <v>800</v>
      </c>
      <c r="H38" s="33">
        <f>G38*F38</f>
        <v>-1.2</v>
      </c>
      <c r="I38" s="34"/>
      <c r="J38" s="42">
        <f>[4]Sheet1!$F$20</f>
        <v>-2.4842935040906584E-3</v>
      </c>
      <c r="K38" s="32">
        <f>$F$16</f>
        <v>800</v>
      </c>
      <c r="L38" s="33">
        <f t="shared" ref="L38:L43" si="6">K38*J38</f>
        <v>-1.9874348032725266</v>
      </c>
      <c r="M38" s="34"/>
      <c r="N38" s="37">
        <f>L38-H38</f>
        <v>-0.78743480327252668</v>
      </c>
      <c r="O38" s="38">
        <f>IF((H38)=0,"",(N38/H38))</f>
        <v>0.65619566939377227</v>
      </c>
    </row>
    <row r="39" spans="2:15" x14ac:dyDescent="0.2">
      <c r="B39" s="56" t="s">
        <v>33</v>
      </c>
      <c r="C39" s="28"/>
      <c r="D39" s="29" t="s">
        <v>25</v>
      </c>
      <c r="E39" s="30"/>
      <c r="F39" s="40"/>
      <c r="G39" s="32">
        <v>1</v>
      </c>
      <c r="H39" s="33">
        <f>G39*F39</f>
        <v>0</v>
      </c>
      <c r="I39" s="58"/>
      <c r="J39" s="42"/>
      <c r="K39" s="32">
        <f>$F$16</f>
        <v>800</v>
      </c>
      <c r="L39" s="33">
        <f t="shared" si="6"/>
        <v>0</v>
      </c>
      <c r="M39" s="59"/>
      <c r="N39" s="37">
        <f t="shared" si="2"/>
        <v>0</v>
      </c>
      <c r="O39" s="38" t="str">
        <f>IF((H39)=0,"",(N39/H39))</f>
        <v/>
      </c>
    </row>
    <row r="40" spans="2:15" x14ac:dyDescent="0.2">
      <c r="B40" s="56" t="s">
        <v>34</v>
      </c>
      <c r="C40" s="28"/>
      <c r="D40" s="29" t="s">
        <v>28</v>
      </c>
      <c r="E40" s="30"/>
      <c r="F40" s="40">
        <v>-1.9E-3</v>
      </c>
      <c r="G40" s="32">
        <f>$F$16</f>
        <v>800</v>
      </c>
      <c r="H40" s="33">
        <f>G40*F40</f>
        <v>-1.52</v>
      </c>
      <c r="I40" s="58"/>
      <c r="J40" s="42">
        <f>+F40</f>
        <v>-1.9E-3</v>
      </c>
      <c r="K40" s="32">
        <f>$F$16</f>
        <v>800</v>
      </c>
      <c r="L40" s="33">
        <f t="shared" si="6"/>
        <v>-1.52</v>
      </c>
      <c r="M40" s="59"/>
      <c r="N40" s="37">
        <f t="shared" si="2"/>
        <v>0</v>
      </c>
      <c r="O40" s="38">
        <f>IF((H40)=0,"",(N40/H40))</f>
        <v>0</v>
      </c>
    </row>
    <row r="41" spans="2:15" x14ac:dyDescent="0.2">
      <c r="B41" s="56" t="s">
        <v>35</v>
      </c>
      <c r="C41" s="28"/>
      <c r="D41" s="29" t="s">
        <v>28</v>
      </c>
      <c r="E41" s="30"/>
      <c r="F41" s="40">
        <v>1.4E-3</v>
      </c>
      <c r="G41" s="32">
        <f>$F$16</f>
        <v>800</v>
      </c>
      <c r="H41" s="33">
        <f>G41*F41</f>
        <v>1.1199999999999999</v>
      </c>
      <c r="I41" s="58"/>
      <c r="J41" s="42"/>
      <c r="K41" s="32">
        <f>$F$16</f>
        <v>800</v>
      </c>
      <c r="L41" s="33">
        <f t="shared" si="6"/>
        <v>0</v>
      </c>
      <c r="M41" s="59"/>
      <c r="N41" s="37">
        <f t="shared" si="2"/>
        <v>-1.1199999999999999</v>
      </c>
      <c r="O41" s="38">
        <f>IF((H41)=0,"",(N41/H41))</f>
        <v>-1</v>
      </c>
    </row>
    <row r="42" spans="2:15" x14ac:dyDescent="0.2">
      <c r="B42" s="39" t="s">
        <v>36</v>
      </c>
      <c r="C42" s="28"/>
      <c r="D42" s="29" t="s">
        <v>28</v>
      </c>
      <c r="E42" s="30"/>
      <c r="F42" s="40">
        <f>+'[3]2012 Existing Rates'!$B$31</f>
        <v>5.9999999999999995E-4</v>
      </c>
      <c r="G42" s="32">
        <f>$F$16</f>
        <v>800</v>
      </c>
      <c r="H42" s="33">
        <f>G42*F42</f>
        <v>0.48</v>
      </c>
      <c r="I42" s="34"/>
      <c r="J42" s="42">
        <f>+'[3]Distribution Rate Schedule'!$E$20</f>
        <v>1.8E-3</v>
      </c>
      <c r="K42" s="32">
        <f>$F$16</f>
        <v>800</v>
      </c>
      <c r="L42" s="33">
        <f t="shared" si="6"/>
        <v>1.44</v>
      </c>
      <c r="M42" s="34"/>
      <c r="N42" s="37">
        <f t="shared" si="2"/>
        <v>0.96</v>
      </c>
      <c r="O42" s="38">
        <f>IF((H42)=0,"",(N42/H42))</f>
        <v>2</v>
      </c>
    </row>
    <row r="43" spans="2:15" x14ac:dyDescent="0.2">
      <c r="B43" s="39" t="s">
        <v>37</v>
      </c>
      <c r="C43" s="28"/>
      <c r="D43" s="29" t="s">
        <v>25</v>
      </c>
      <c r="E43" s="30"/>
      <c r="F43" s="60"/>
      <c r="G43" s="61"/>
      <c r="H43" s="62"/>
      <c r="I43" s="34"/>
      <c r="J43" s="42">
        <v>0.79</v>
      </c>
      <c r="K43" s="32">
        <v>1</v>
      </c>
      <c r="L43" s="33">
        <f t="shared" si="6"/>
        <v>0.79</v>
      </c>
      <c r="M43" s="34"/>
      <c r="N43" s="37">
        <f t="shared" si="2"/>
        <v>0.79</v>
      </c>
      <c r="O43" s="38"/>
    </row>
    <row r="44" spans="2:15" ht="25.5" x14ac:dyDescent="0.2">
      <c r="B44" s="63" t="s">
        <v>38</v>
      </c>
      <c r="C44" s="64"/>
      <c r="D44" s="64"/>
      <c r="E44" s="64"/>
      <c r="F44" s="65"/>
      <c r="G44" s="66"/>
      <c r="H44" s="67">
        <f>SUM(H38:H42)+H37</f>
        <v>23.72</v>
      </c>
      <c r="I44" s="51"/>
      <c r="J44" s="68"/>
      <c r="K44" s="69"/>
      <c r="L44" s="67">
        <f>SUM(L38:L43)+L37</f>
        <v>27.408326066436189</v>
      </c>
      <c r="M44" s="51"/>
      <c r="N44" s="54">
        <f t="shared" si="2"/>
        <v>3.6883260664361899</v>
      </c>
      <c r="O44" s="55">
        <f t="shared" ref="O44:O68" si="7">IF((H44)=0,"",(N44/H44))</f>
        <v>0.15549435355970448</v>
      </c>
    </row>
    <row r="45" spans="2:15" x14ac:dyDescent="0.2">
      <c r="B45" s="34" t="s">
        <v>39</v>
      </c>
      <c r="C45" s="34"/>
      <c r="D45" s="70" t="s">
        <v>28</v>
      </c>
      <c r="E45" s="71"/>
      <c r="F45" s="42">
        <f>+'[5]3. Rate Classes'!$J$24</f>
        <v>5.3E-3</v>
      </c>
      <c r="G45" s="72">
        <f>F16*(1+F71)</f>
        <v>835.92</v>
      </c>
      <c r="H45" s="33">
        <f>G45*F45</f>
        <v>4.4303759999999999</v>
      </c>
      <c r="I45" s="34"/>
      <c r="J45" s="42">
        <f>+'[5]13. Final 2013 RTS Rates'!$F$26</f>
        <v>7.2350102338292321E-3</v>
      </c>
      <c r="K45" s="73">
        <f>F16*(1+J71)</f>
        <v>839.7983999999999</v>
      </c>
      <c r="L45" s="33">
        <f>K45*J45</f>
        <v>6.0759500183534145</v>
      </c>
      <c r="M45" s="34"/>
      <c r="N45" s="37">
        <f t="shared" si="2"/>
        <v>1.6455740183534147</v>
      </c>
      <c r="O45" s="38">
        <f t="shared" si="7"/>
        <v>0.37142987826618207</v>
      </c>
    </row>
    <row r="46" spans="2:15" ht="25.5" x14ac:dyDescent="0.2">
      <c r="B46" s="74" t="s">
        <v>40</v>
      </c>
      <c r="C46" s="34"/>
      <c r="D46" s="70" t="s">
        <v>28</v>
      </c>
      <c r="E46" s="71"/>
      <c r="F46" s="42">
        <f>+'[5]3. Rate Classes'!$M$24</f>
        <v>4.4000000000000003E-3</v>
      </c>
      <c r="G46" s="72">
        <f>G45</f>
        <v>835.92</v>
      </c>
      <c r="H46" s="33">
        <f>G46*F46</f>
        <v>3.678048</v>
      </c>
      <c r="I46" s="34"/>
      <c r="J46" s="42">
        <f>+'[5]13. Final 2013 RTS Rates'!$H$26</f>
        <v>5.4533654852084888E-3</v>
      </c>
      <c r="K46" s="73">
        <f>K45</f>
        <v>839.7983999999999</v>
      </c>
      <c r="L46" s="33">
        <f>K46*J46</f>
        <v>4.5797276090933119</v>
      </c>
      <c r="M46" s="34"/>
      <c r="N46" s="37">
        <f t="shared" si="2"/>
        <v>0.90167960909331191</v>
      </c>
      <c r="O46" s="38">
        <f t="shared" si="7"/>
        <v>0.24515166987850945</v>
      </c>
    </row>
    <row r="47" spans="2:15" ht="25.5" x14ac:dyDescent="0.2">
      <c r="B47" s="63" t="s">
        <v>41</v>
      </c>
      <c r="C47" s="46"/>
      <c r="D47" s="46"/>
      <c r="E47" s="46"/>
      <c r="F47" s="75"/>
      <c r="G47" s="66"/>
      <c r="H47" s="67">
        <f>SUM(H44:H46)</f>
        <v>31.828423999999998</v>
      </c>
      <c r="I47" s="76"/>
      <c r="J47" s="77"/>
      <c r="K47" s="78"/>
      <c r="L47" s="67">
        <f>SUM(L44:L46)</f>
        <v>38.064003693882917</v>
      </c>
      <c r="M47" s="76"/>
      <c r="N47" s="54">
        <f t="shared" si="2"/>
        <v>6.2355796938829187</v>
      </c>
      <c r="O47" s="55">
        <f t="shared" si="7"/>
        <v>0.19591229819870815</v>
      </c>
    </row>
    <row r="48" spans="2:15" ht="25.5" x14ac:dyDescent="0.2">
      <c r="B48" s="79" t="s">
        <v>42</v>
      </c>
      <c r="C48" s="28"/>
      <c r="D48" s="29"/>
      <c r="E48" s="30"/>
      <c r="F48" s="80">
        <v>5.1999999999999998E-3</v>
      </c>
      <c r="G48" s="72">
        <f>G46</f>
        <v>835.92</v>
      </c>
      <c r="H48" s="81">
        <f t="shared" ref="H48:H56" si="8">G48*F48</f>
        <v>4.3467839999999995</v>
      </c>
      <c r="I48" s="34"/>
      <c r="J48" s="80">
        <v>4.4000000000000003E-3</v>
      </c>
      <c r="K48" s="73">
        <f>K46</f>
        <v>839.7983999999999</v>
      </c>
      <c r="L48" s="81">
        <f t="shared" ref="L48:L56" si="9">K48*J48</f>
        <v>3.6951129599999999</v>
      </c>
      <c r="M48" s="34"/>
      <c r="N48" s="37">
        <f t="shared" si="2"/>
        <v>-0.65167103999999965</v>
      </c>
      <c r="O48" s="82">
        <f t="shared" si="7"/>
        <v>-0.14992027209081465</v>
      </c>
    </row>
    <row r="49" spans="2:15" ht="25.5" x14ac:dyDescent="0.2">
      <c r="B49" s="79" t="s">
        <v>43</v>
      </c>
      <c r="C49" s="28"/>
      <c r="D49" s="29"/>
      <c r="E49" s="30"/>
      <c r="F49" s="80">
        <v>1.1000000000000001E-3</v>
      </c>
      <c r="G49" s="72">
        <f>G46</f>
        <v>835.92</v>
      </c>
      <c r="H49" s="81">
        <f t="shared" si="8"/>
        <v>0.919512</v>
      </c>
      <c r="I49" s="34"/>
      <c r="J49" s="80">
        <v>1.1999999999999999E-3</v>
      </c>
      <c r="K49" s="73">
        <f>K46</f>
        <v>839.7983999999999</v>
      </c>
      <c r="L49" s="81">
        <f t="shared" si="9"/>
        <v>1.0077580799999999</v>
      </c>
      <c r="M49" s="34"/>
      <c r="N49" s="37">
        <f t="shared" si="2"/>
        <v>8.8246079999999893E-2</v>
      </c>
      <c r="O49" s="82">
        <f t="shared" si="7"/>
        <v>9.5970558296139583E-2</v>
      </c>
    </row>
    <row r="50" spans="2:15" x14ac:dyDescent="0.2">
      <c r="B50" s="28" t="s">
        <v>44</v>
      </c>
      <c r="C50" s="28"/>
      <c r="D50" s="29"/>
      <c r="E50" s="30"/>
      <c r="F50" s="83">
        <v>0.25</v>
      </c>
      <c r="G50" s="32">
        <v>1</v>
      </c>
      <c r="H50" s="81">
        <f t="shared" si="8"/>
        <v>0.25</v>
      </c>
      <c r="I50" s="34"/>
      <c r="J50" s="80">
        <v>0.25</v>
      </c>
      <c r="K50" s="36">
        <v>1</v>
      </c>
      <c r="L50" s="81">
        <f t="shared" si="9"/>
        <v>0.25</v>
      </c>
      <c r="M50" s="34"/>
      <c r="N50" s="37">
        <f t="shared" si="2"/>
        <v>0</v>
      </c>
      <c r="O50" s="82">
        <f t="shared" si="7"/>
        <v>0</v>
      </c>
    </row>
    <row r="51" spans="2:15" x14ac:dyDescent="0.2">
      <c r="B51" s="28" t="s">
        <v>45</v>
      </c>
      <c r="C51" s="28"/>
      <c r="D51" s="29"/>
      <c r="E51" s="30"/>
      <c r="F51" s="83">
        <v>7.0000000000000001E-3</v>
      </c>
      <c r="G51" s="72">
        <f>F16</f>
        <v>800</v>
      </c>
      <c r="H51" s="81">
        <f t="shared" si="8"/>
        <v>5.6000000000000005</v>
      </c>
      <c r="I51" s="34"/>
      <c r="J51" s="80">
        <v>7.0000000000000001E-3</v>
      </c>
      <c r="K51" s="73">
        <f>+F16</f>
        <v>800</v>
      </c>
      <c r="L51" s="81">
        <f t="shared" si="9"/>
        <v>5.6000000000000005</v>
      </c>
      <c r="M51" s="34"/>
      <c r="N51" s="37">
        <f t="shared" si="2"/>
        <v>0</v>
      </c>
      <c r="O51" s="82">
        <f t="shared" si="7"/>
        <v>0</v>
      </c>
    </row>
    <row r="52" spans="2:15" x14ac:dyDescent="0.2">
      <c r="B52" s="39" t="s">
        <v>46</v>
      </c>
      <c r="C52" s="28"/>
      <c r="D52" s="29"/>
      <c r="E52" s="30"/>
      <c r="F52" s="84">
        <v>7.4999999999999997E-2</v>
      </c>
      <c r="G52" s="72">
        <f>IF($T$1=1,IF($F$16&gt;=600,600,IF($F$16&lt;600,$F$16*(1+$F$71),$F$16-600)),IF($T$1=2,IF($F$16&gt;=1000,1000,IF($F$16&lt;1000,$F$16*(1+$F$71),$F$16-1000))))</f>
        <v>600</v>
      </c>
      <c r="H52" s="81">
        <f>G52*F52</f>
        <v>45</v>
      </c>
      <c r="I52" s="34"/>
      <c r="J52" s="83">
        <f>+F52</f>
        <v>7.4999999999999997E-2</v>
      </c>
      <c r="K52" s="72">
        <f>IF($T$1=1,IF($F$16&gt;=600,600,IF($F$16&lt;600,$F$16*(1+$J$71),$F$16-600)),IF($T$1=2,IF($F$16&gt;=1000,1000,IF($F$16&lt;1000,$F$16*(1+$J$71),$F$16-1000))))</f>
        <v>600</v>
      </c>
      <c r="L52" s="81">
        <f>K52*J52</f>
        <v>45</v>
      </c>
      <c r="M52" s="34"/>
      <c r="N52" s="37">
        <f t="shared" si="2"/>
        <v>0</v>
      </c>
      <c r="O52" s="82">
        <f t="shared" si="7"/>
        <v>0</v>
      </c>
    </row>
    <row r="53" spans="2:15" x14ac:dyDescent="0.2">
      <c r="B53" s="39" t="s">
        <v>47</v>
      </c>
      <c r="C53" s="28"/>
      <c r="D53" s="29"/>
      <c r="E53" s="30"/>
      <c r="F53" s="84">
        <v>8.7999999999999995E-2</v>
      </c>
      <c r="G53" s="72">
        <f>IF($T$1=1,IF($F$16&gt;=600,$F$16*(1+$F$71)-600,IF($F$16&lt;600,0,)), IF($T$1=2,IF($F$16&gt;=1000,$F$16*(1+$F$71)-1000,IF($F$16&lt;1000,0))))</f>
        <v>235.91999999999996</v>
      </c>
      <c r="H53" s="81">
        <f>G53*F53</f>
        <v>20.760959999999994</v>
      </c>
      <c r="I53" s="34"/>
      <c r="J53" s="83">
        <f>+F53</f>
        <v>8.7999999999999995E-2</v>
      </c>
      <c r="K53" s="72">
        <f>IF($T$1=1,IF($F$16&gt;=600,$F$16*(1+$J$71)-600,IF($F$16&lt;600,0,)), IF($T$1=2,IF($F$16&gt;=1000,$F$16*(1+$J$71)-1000,IF($F$16&lt;1000,0))))</f>
        <v>239.7983999999999</v>
      </c>
      <c r="L53" s="81">
        <f>K53*J53</f>
        <v>21.102259199999992</v>
      </c>
      <c r="M53" s="34"/>
      <c r="N53" s="37">
        <f t="shared" si="2"/>
        <v>0.34129919999999814</v>
      </c>
      <c r="O53" s="82">
        <f t="shared" si="7"/>
        <v>1.6439471007120975E-2</v>
      </c>
    </row>
    <row r="54" spans="2:15" x14ac:dyDescent="0.2">
      <c r="B54" s="39" t="s">
        <v>48</v>
      </c>
      <c r="C54" s="28"/>
      <c r="D54" s="29"/>
      <c r="E54" s="30"/>
      <c r="F54" s="84">
        <v>6.5000000000000002E-2</v>
      </c>
      <c r="G54" s="85">
        <f>0.64*$F$16*(1+$F$71)</f>
        <v>534.98879999999997</v>
      </c>
      <c r="H54" s="81">
        <f t="shared" si="8"/>
        <v>34.774271999999996</v>
      </c>
      <c r="I54" s="34"/>
      <c r="J54" s="83">
        <f>+F54</f>
        <v>6.5000000000000002E-2</v>
      </c>
      <c r="K54" s="86">
        <f>0.64*$F$16*(1+$J$71)</f>
        <v>537.47097599999995</v>
      </c>
      <c r="L54" s="81">
        <f t="shared" si="9"/>
        <v>34.935613439999997</v>
      </c>
      <c r="M54" s="34"/>
      <c r="N54" s="37">
        <f t="shared" si="2"/>
        <v>0.16134144000000106</v>
      </c>
      <c r="O54" s="82">
        <f t="shared" si="7"/>
        <v>4.6396784381280811E-3</v>
      </c>
    </row>
    <row r="55" spans="2:15" x14ac:dyDescent="0.2">
      <c r="B55" s="39" t="s">
        <v>49</v>
      </c>
      <c r="C55" s="28"/>
      <c r="D55" s="29"/>
      <c r="E55" s="30"/>
      <c r="F55" s="84">
        <v>0.1</v>
      </c>
      <c r="G55" s="85">
        <f>0.18*$F$16*(1+$F$71)</f>
        <v>150.46559999999999</v>
      </c>
      <c r="H55" s="81">
        <f t="shared" si="8"/>
        <v>15.046559999999999</v>
      </c>
      <c r="I55" s="34"/>
      <c r="J55" s="83">
        <f>+F55</f>
        <v>0.1</v>
      </c>
      <c r="K55" s="86">
        <f>0.18*$F$16*(1+$J$71)</f>
        <v>151.16371199999998</v>
      </c>
      <c r="L55" s="81">
        <f t="shared" si="9"/>
        <v>15.116371199999998</v>
      </c>
      <c r="M55" s="34"/>
      <c r="N55" s="37">
        <f t="shared" si="2"/>
        <v>6.9811199999998408E-2</v>
      </c>
      <c r="O55" s="82">
        <f t="shared" si="7"/>
        <v>4.6396784381279449E-3</v>
      </c>
    </row>
    <row r="56" spans="2:15" ht="13.5" thickBot="1" x14ac:dyDescent="0.25">
      <c r="B56" s="19" t="s">
        <v>50</v>
      </c>
      <c r="C56" s="28"/>
      <c r="D56" s="29"/>
      <c r="E56" s="30"/>
      <c r="F56" s="84">
        <v>0.11700000000000001</v>
      </c>
      <c r="G56" s="85">
        <f>0.18*$F$16*(1+$F$71)</f>
        <v>150.46559999999999</v>
      </c>
      <c r="H56" s="81">
        <f t="shared" si="8"/>
        <v>17.6044752</v>
      </c>
      <c r="I56" s="34"/>
      <c r="J56" s="83">
        <f>+F56</f>
        <v>0.11700000000000001</v>
      </c>
      <c r="K56" s="86">
        <f>0.18*$F$16*(1+$J$71)</f>
        <v>151.16371199999998</v>
      </c>
      <c r="L56" s="81">
        <f t="shared" si="9"/>
        <v>17.686154303999999</v>
      </c>
      <c r="M56" s="34"/>
      <c r="N56" s="37">
        <f t="shared" si="2"/>
        <v>8.1679103999999114E-2</v>
      </c>
      <c r="O56" s="82">
        <f t="shared" si="7"/>
        <v>4.6396784381280004E-3</v>
      </c>
    </row>
    <row r="57" spans="2:15" ht="13.5" thickBot="1" x14ac:dyDescent="0.25">
      <c r="B57" s="87"/>
      <c r="C57" s="88"/>
      <c r="D57" s="89"/>
      <c r="E57" s="88"/>
      <c r="F57" s="90"/>
      <c r="G57" s="91"/>
      <c r="H57" s="92"/>
      <c r="I57" s="93"/>
      <c r="J57" s="90"/>
      <c r="K57" s="94"/>
      <c r="L57" s="92"/>
      <c r="M57" s="93"/>
      <c r="N57" s="95"/>
      <c r="O57" s="96"/>
    </row>
    <row r="58" spans="2:15" x14ac:dyDescent="0.2">
      <c r="B58" s="97" t="s">
        <v>51</v>
      </c>
      <c r="C58" s="28"/>
      <c r="D58" s="28"/>
      <c r="E58" s="28"/>
      <c r="F58" s="98"/>
      <c r="G58" s="99"/>
      <c r="H58" s="100">
        <f>SUM(H47:H53)</f>
        <v>108.70567999999999</v>
      </c>
      <c r="I58" s="101"/>
      <c r="J58" s="102"/>
      <c r="K58" s="103"/>
      <c r="L58" s="104">
        <f>SUM(L47:L53)</f>
        <v>114.71913393388292</v>
      </c>
      <c r="M58" s="105"/>
      <c r="N58" s="106">
        <f t="shared" si="2"/>
        <v>6.0134539338829285</v>
      </c>
      <c r="O58" s="107">
        <f t="shared" si="7"/>
        <v>5.5318672712253207E-2</v>
      </c>
    </row>
    <row r="59" spans="2:15" x14ac:dyDescent="0.2">
      <c r="B59" s="108" t="s">
        <v>52</v>
      </c>
      <c r="C59" s="28"/>
      <c r="D59" s="28"/>
      <c r="E59" s="28"/>
      <c r="F59" s="109">
        <v>0.13</v>
      </c>
      <c r="G59" s="99"/>
      <c r="H59" s="110">
        <f>H58*F59</f>
        <v>14.131738399999998</v>
      </c>
      <c r="I59" s="111"/>
      <c r="J59" s="112">
        <v>0.13</v>
      </c>
      <c r="K59" s="113"/>
      <c r="L59" s="114">
        <f>L58*J59</f>
        <v>14.913487411404779</v>
      </c>
      <c r="M59" s="115"/>
      <c r="N59" s="116">
        <f>L59-H59</f>
        <v>0.7817490114047807</v>
      </c>
      <c r="O59" s="117">
        <f>IF((H59)=0,"",(N59/H59))</f>
        <v>5.5318672712253207E-2</v>
      </c>
    </row>
    <row r="60" spans="2:15" x14ac:dyDescent="0.2">
      <c r="B60" s="118" t="s">
        <v>53</v>
      </c>
      <c r="C60" s="28"/>
      <c r="D60" s="28"/>
      <c r="E60" s="28"/>
      <c r="F60" s="119"/>
      <c r="G60" s="120"/>
      <c r="H60" s="110">
        <f>H58+H59</f>
        <v>122.83741839999999</v>
      </c>
      <c r="I60" s="111"/>
      <c r="J60" s="111"/>
      <c r="K60" s="121"/>
      <c r="L60" s="114">
        <f>L58+L59</f>
        <v>129.6326213452877</v>
      </c>
      <c r="M60" s="115"/>
      <c r="N60" s="116">
        <f>L60-H60</f>
        <v>6.7952029452877127</v>
      </c>
      <c r="O60" s="117">
        <f>IF((H60)=0,"",(N60/H60))</f>
        <v>5.5318672712253235E-2</v>
      </c>
    </row>
    <row r="61" spans="2:15" ht="16.899999999999999" customHeight="1" x14ac:dyDescent="0.2">
      <c r="B61" s="213" t="s">
        <v>54</v>
      </c>
      <c r="C61" s="213"/>
      <c r="D61" s="213"/>
      <c r="E61" s="28"/>
      <c r="F61" s="119"/>
      <c r="G61" s="120"/>
      <c r="H61" s="122">
        <f>ROUND(-H60*10%,2)</f>
        <v>-12.28</v>
      </c>
      <c r="I61" s="111"/>
      <c r="J61" s="111"/>
      <c r="K61" s="121"/>
      <c r="L61" s="123">
        <f>ROUND(-L60*10%,2)</f>
        <v>-12.96</v>
      </c>
      <c r="M61" s="115"/>
      <c r="N61" s="124">
        <f>L61-H61</f>
        <v>-0.68000000000000149</v>
      </c>
      <c r="O61" s="125">
        <f>IF((H61)=0,"",(N61/H61))</f>
        <v>5.5374592833876343E-2</v>
      </c>
    </row>
    <row r="62" spans="2:15" ht="13.5" thickBot="1" x14ac:dyDescent="0.25">
      <c r="B62" s="206" t="s">
        <v>55</v>
      </c>
      <c r="C62" s="206"/>
      <c r="D62" s="206"/>
      <c r="E62" s="126"/>
      <c r="F62" s="127"/>
      <c r="G62" s="128"/>
      <c r="H62" s="129">
        <f>SUM(H60:H61)</f>
        <v>110.55741839999999</v>
      </c>
      <c r="I62" s="130"/>
      <c r="J62" s="130"/>
      <c r="K62" s="131"/>
      <c r="L62" s="132">
        <f>SUM(L60:L61)</f>
        <v>116.67262134528769</v>
      </c>
      <c r="M62" s="133"/>
      <c r="N62" s="134">
        <f>L62-H62</f>
        <v>6.1152029452877059</v>
      </c>
      <c r="O62" s="135">
        <f>IF((H62)=0,"",(N62/H62))</f>
        <v>5.5312461468327002E-2</v>
      </c>
    </row>
    <row r="63" spans="2:15" ht="13.5" thickBot="1" x14ac:dyDescent="0.25">
      <c r="B63" s="87"/>
      <c r="C63" s="88"/>
      <c r="D63" s="89"/>
      <c r="E63" s="88"/>
      <c r="F63" s="136"/>
      <c r="G63" s="137"/>
      <c r="H63" s="138"/>
      <c r="I63" s="139"/>
      <c r="J63" s="136"/>
      <c r="K63" s="91"/>
      <c r="L63" s="140"/>
      <c r="M63" s="93"/>
      <c r="N63" s="141"/>
      <c r="O63" s="96"/>
    </row>
    <row r="64" spans="2:15" x14ac:dyDescent="0.2">
      <c r="B64" s="97" t="s">
        <v>56</v>
      </c>
      <c r="C64" s="28"/>
      <c r="D64" s="28"/>
      <c r="E64" s="28"/>
      <c r="F64" s="98"/>
      <c r="G64" s="99"/>
      <c r="H64" s="100">
        <f>SUM(H47:H51,H54:H56)</f>
        <v>110.37002719999998</v>
      </c>
      <c r="I64" s="101"/>
      <c r="J64" s="102"/>
      <c r="K64" s="103"/>
      <c r="L64" s="142">
        <f>SUM(L47:L51,L54:L56)</f>
        <v>116.35501367788292</v>
      </c>
      <c r="M64" s="105"/>
      <c r="N64" s="106">
        <f>L64-H64</f>
        <v>5.9849864778829414</v>
      </c>
      <c r="O64" s="107">
        <f>IF((H64)=0,"",(N64/H64))</f>
        <v>5.422655615584502E-2</v>
      </c>
    </row>
    <row r="65" spans="1:15" x14ac:dyDescent="0.2">
      <c r="A65" s="20"/>
      <c r="B65" s="108" t="s">
        <v>52</v>
      </c>
      <c r="C65" s="28"/>
      <c r="D65" s="28"/>
      <c r="E65" s="28"/>
      <c r="F65" s="109">
        <v>0.13</v>
      </c>
      <c r="G65" s="120"/>
      <c r="H65" s="110">
        <f>H64*F65</f>
        <v>14.348103535999998</v>
      </c>
      <c r="I65" s="111"/>
      <c r="J65" s="143">
        <v>0.13</v>
      </c>
      <c r="K65" s="121"/>
      <c r="L65" s="114">
        <f>L64*J65</f>
        <v>15.126151778124781</v>
      </c>
      <c r="M65" s="115"/>
      <c r="N65" s="116">
        <f t="shared" si="2"/>
        <v>0.77804824212478252</v>
      </c>
      <c r="O65" s="117">
        <f t="shared" si="7"/>
        <v>5.4226556155845027E-2</v>
      </c>
    </row>
    <row r="66" spans="1:15" x14ac:dyDescent="0.2">
      <c r="A66" s="20"/>
      <c r="B66" s="118" t="s">
        <v>53</v>
      </c>
      <c r="C66" s="28"/>
      <c r="D66" s="28"/>
      <c r="E66" s="28"/>
      <c r="F66" s="119"/>
      <c r="G66" s="120"/>
      <c r="H66" s="110">
        <f>H64+H65</f>
        <v>124.71813073599998</v>
      </c>
      <c r="I66" s="111"/>
      <c r="J66" s="111"/>
      <c r="K66" s="121"/>
      <c r="L66" s="114">
        <f>L64+L65</f>
        <v>131.48116545600772</v>
      </c>
      <c r="M66" s="115"/>
      <c r="N66" s="116">
        <f t="shared" si="2"/>
        <v>6.7630347200077381</v>
      </c>
      <c r="O66" s="117">
        <f t="shared" si="7"/>
        <v>5.4226556155845138E-2</v>
      </c>
    </row>
    <row r="67" spans="1:15" ht="15.6" customHeight="1" x14ac:dyDescent="0.2">
      <c r="A67" s="20"/>
      <c r="B67" s="213" t="s">
        <v>54</v>
      </c>
      <c r="C67" s="213"/>
      <c r="D67" s="213"/>
      <c r="E67" s="28"/>
      <c r="F67" s="119"/>
      <c r="G67" s="120"/>
      <c r="H67" s="122">
        <f>ROUND(-H66*10%,2)</f>
        <v>-12.47</v>
      </c>
      <c r="I67" s="111"/>
      <c r="J67" s="111"/>
      <c r="K67" s="121"/>
      <c r="L67" s="123">
        <f>ROUND(-L66*10%,2)</f>
        <v>-13.15</v>
      </c>
      <c r="M67" s="115"/>
      <c r="N67" s="124">
        <f t="shared" si="2"/>
        <v>-0.67999999999999972</v>
      </c>
      <c r="O67" s="125">
        <f t="shared" si="7"/>
        <v>5.4530874097834775E-2</v>
      </c>
    </row>
    <row r="68" spans="1:15" ht="13.5" thickBot="1" x14ac:dyDescent="0.25">
      <c r="A68" s="20"/>
      <c r="B68" s="206" t="s">
        <v>57</v>
      </c>
      <c r="C68" s="206"/>
      <c r="D68" s="206"/>
      <c r="E68" s="126"/>
      <c r="F68" s="144"/>
      <c r="G68" s="145"/>
      <c r="H68" s="146">
        <f>H66+H67</f>
        <v>112.24813073599998</v>
      </c>
      <c r="I68" s="147"/>
      <c r="J68" s="147"/>
      <c r="K68" s="148"/>
      <c r="L68" s="149">
        <f>L66+L67</f>
        <v>118.33116545600771</v>
      </c>
      <c r="M68" s="150"/>
      <c r="N68" s="151">
        <f t="shared" si="2"/>
        <v>6.0830347200077313</v>
      </c>
      <c r="O68" s="152">
        <f t="shared" si="7"/>
        <v>5.4192748512798115E-2</v>
      </c>
    </row>
    <row r="69" spans="1:15" ht="13.5" thickBot="1" x14ac:dyDescent="0.25">
      <c r="A69" s="20"/>
      <c r="B69" s="87"/>
      <c r="C69" s="88"/>
      <c r="D69" s="89"/>
      <c r="E69" s="88"/>
      <c r="F69" s="136"/>
      <c r="G69" s="153"/>
      <c r="H69" s="138"/>
      <c r="I69" s="139"/>
      <c r="J69" s="136"/>
      <c r="K69" s="154"/>
      <c r="L69" s="140"/>
      <c r="M69" s="93"/>
      <c r="N69" s="141"/>
      <c r="O69" s="96"/>
    </row>
    <row r="70" spans="1:15" x14ac:dyDescent="0.2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155"/>
      <c r="M70" s="20"/>
      <c r="N70" s="20"/>
      <c r="O70" s="20"/>
    </row>
    <row r="71" spans="1:15" x14ac:dyDescent="0.2">
      <c r="A71" s="20"/>
      <c r="B71" s="156" t="s">
        <v>58</v>
      </c>
      <c r="C71" s="20"/>
      <c r="D71" s="20"/>
      <c r="E71" s="20"/>
      <c r="F71" s="157">
        <v>4.4900000000000002E-2</v>
      </c>
      <c r="G71" s="20"/>
      <c r="H71" s="20"/>
      <c r="I71" s="20"/>
      <c r="J71" s="158">
        <v>4.9748000000000001E-2</v>
      </c>
      <c r="K71" s="20"/>
      <c r="L71" s="20"/>
      <c r="M71" s="20"/>
      <c r="N71" s="20"/>
      <c r="O71" s="20"/>
    </row>
    <row r="72" spans="1:15" x14ac:dyDescent="0.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5" ht="14.25" x14ac:dyDescent="0.2">
      <c r="A73" s="159" t="s">
        <v>59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5" x14ac:dyDescent="0.2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</row>
    <row r="75" spans="1:15" x14ac:dyDescent="0.2">
      <c r="A75" s="160" t="s">
        <v>60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  <row r="76" spans="1:15" x14ac:dyDescent="0.2">
      <c r="A76" s="160" t="s">
        <v>61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</row>
    <row r="78" spans="1:15" x14ac:dyDescent="0.2">
      <c r="A78" s="160" t="s">
        <v>62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</row>
    <row r="79" spans="1:15" x14ac:dyDescent="0.2">
      <c r="A79" s="160" t="s">
        <v>63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1" spans="1:18" x14ac:dyDescent="0.2">
      <c r="A81" s="160" t="s">
        <v>64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</row>
    <row r="82" spans="1:18" x14ac:dyDescent="0.2">
      <c r="A82" s="160" t="s">
        <v>65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</row>
    <row r="83" spans="1:18" x14ac:dyDescent="0.2">
      <c r="A83" s="160" t="s">
        <v>66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</row>
    <row r="84" spans="1:18" x14ac:dyDescent="0.2">
      <c r="A84" s="160" t="s">
        <v>67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</row>
    <row r="85" spans="1:18" x14ac:dyDescent="0.2">
      <c r="A85" s="160" t="s">
        <v>68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</row>
  </sheetData>
  <mergeCells count="14">
    <mergeCell ref="A3:K3"/>
    <mergeCell ref="B10:O10"/>
    <mergeCell ref="B11:O11"/>
    <mergeCell ref="D14:O14"/>
    <mergeCell ref="F18:H18"/>
    <mergeCell ref="J18:L18"/>
    <mergeCell ref="N18:O18"/>
    <mergeCell ref="B68:D68"/>
    <mergeCell ref="D19:D20"/>
    <mergeCell ref="N19:N20"/>
    <mergeCell ref="O19:O20"/>
    <mergeCell ref="B61:D61"/>
    <mergeCell ref="B62:D62"/>
    <mergeCell ref="B67:D67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1"/>
  <sheetViews>
    <sheetView topLeftCell="A14" zoomScale="70" zoomScaleNormal="70" workbookViewId="0">
      <selection activeCell="J39" sqref="J39"/>
    </sheetView>
  </sheetViews>
  <sheetFormatPr defaultRowHeight="12.75" x14ac:dyDescent="0.2"/>
  <cols>
    <col min="2" max="2" width="28.5703125" customWidth="1"/>
    <col min="3" max="3" width="1.7109375" customWidth="1"/>
    <col min="5" max="5" width="3.7109375" customWidth="1"/>
    <col min="6" max="6" width="9.7109375" bestFit="1" customWidth="1"/>
    <col min="8" max="8" width="15" customWidth="1"/>
    <col min="9" max="9" width="1.28515625" customWidth="1"/>
    <col min="10" max="10" width="12.85546875" bestFit="1" customWidth="1"/>
    <col min="12" max="12" width="12.28515625" bestFit="1" customWidth="1"/>
    <col min="13" max="13" width="1" customWidth="1"/>
    <col min="14" max="14" width="12.7109375" bestFit="1" customWidth="1"/>
    <col min="15" max="15" width="10.28515625" customWidth="1"/>
    <col min="16" max="16" width="1.140625" customWidth="1"/>
  </cols>
  <sheetData>
    <row r="1" spans="1:20" s="2" customFormat="1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">
        <v>1</v>
      </c>
      <c r="P1"/>
      <c r="T1" s="2">
        <v>1</v>
      </c>
    </row>
    <row r="2" spans="1:20" ht="18" x14ac:dyDescent="0.25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66"/>
      <c r="M2" s="166"/>
      <c r="N2" s="3" t="s">
        <v>2</v>
      </c>
      <c r="O2" s="6">
        <v>8</v>
      </c>
      <c r="P2" s="20"/>
      <c r="Q2" s="166"/>
      <c r="R2" s="166"/>
      <c r="S2" s="166"/>
      <c r="T2" s="166"/>
    </row>
    <row r="3" spans="1:20" ht="18" x14ac:dyDescent="0.25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166"/>
      <c r="M3" s="166"/>
      <c r="N3" s="3" t="s">
        <v>3</v>
      </c>
      <c r="O3" s="6" t="s">
        <v>4</v>
      </c>
      <c r="P3" s="20"/>
      <c r="Q3" s="166"/>
      <c r="R3" s="166"/>
      <c r="S3" s="166"/>
      <c r="T3" s="166"/>
    </row>
    <row r="4" spans="1:20" ht="18" x14ac:dyDescent="0.25">
      <c r="A4" s="171"/>
      <c r="B4" s="171"/>
      <c r="C4" s="171"/>
      <c r="D4" s="171"/>
      <c r="E4" s="171"/>
      <c r="F4" s="171"/>
      <c r="G4" s="171"/>
      <c r="H4" s="171"/>
      <c r="I4" s="170"/>
      <c r="J4" s="170"/>
      <c r="K4" s="170"/>
      <c r="L4" s="166"/>
      <c r="M4" s="166"/>
      <c r="N4" s="3" t="s">
        <v>5</v>
      </c>
      <c r="O4" s="6"/>
      <c r="P4" s="20"/>
      <c r="Q4" s="166"/>
      <c r="R4" s="166"/>
      <c r="S4" s="166"/>
      <c r="T4" s="166"/>
    </row>
    <row r="5" spans="1:20" ht="15.75" x14ac:dyDescent="0.25">
      <c r="A5" s="166"/>
      <c r="B5" s="166"/>
      <c r="C5" s="169"/>
      <c r="D5" s="169"/>
      <c r="E5" s="169"/>
      <c r="F5" s="166"/>
      <c r="G5" s="166"/>
      <c r="H5" s="166"/>
      <c r="I5" s="166"/>
      <c r="J5" s="166"/>
      <c r="K5" s="166"/>
      <c r="L5" s="166"/>
      <c r="M5" s="166"/>
      <c r="N5" s="3" t="s">
        <v>6</v>
      </c>
      <c r="O5" s="9">
        <v>4</v>
      </c>
      <c r="P5" s="20"/>
      <c r="Q5" s="166"/>
      <c r="R5" s="166"/>
      <c r="S5" s="166"/>
      <c r="T5" s="166"/>
    </row>
    <row r="6" spans="1:20" x14ac:dyDescent="0.2">
      <c r="A6" s="166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8"/>
      <c r="O6" s="4"/>
      <c r="P6" s="20"/>
      <c r="Q6" s="166"/>
      <c r="R6" s="166"/>
      <c r="S6" s="166"/>
      <c r="T6" s="166"/>
    </row>
    <row r="7" spans="1:20" x14ac:dyDescent="0.2">
      <c r="A7" s="166"/>
      <c r="B7" s="166"/>
      <c r="C7" s="166"/>
      <c r="D7" s="166"/>
      <c r="E7" s="166"/>
      <c r="F7" s="166"/>
      <c r="G7" s="166"/>
      <c r="H7" s="166"/>
      <c r="I7" s="166"/>
      <c r="J7" s="10"/>
      <c r="K7" s="166"/>
      <c r="L7" s="166"/>
      <c r="M7" s="166"/>
      <c r="N7" s="168" t="s">
        <v>7</v>
      </c>
      <c r="O7" s="11">
        <v>41199</v>
      </c>
      <c r="P7" s="20"/>
      <c r="Q7" s="166"/>
      <c r="R7" s="166"/>
      <c r="S7" s="166"/>
      <c r="T7" s="166"/>
    </row>
    <row r="8" spans="1:20" x14ac:dyDescent="0.2">
      <c r="A8" s="166"/>
      <c r="B8" s="166"/>
      <c r="C8" s="166"/>
      <c r="D8" s="166"/>
      <c r="E8" s="166"/>
      <c r="F8" s="166"/>
      <c r="G8" s="166"/>
      <c r="H8" s="167" t="s">
        <v>70</v>
      </c>
      <c r="I8" s="166"/>
      <c r="J8" s="166"/>
      <c r="K8" s="166"/>
      <c r="L8" s="166"/>
      <c r="M8" s="166"/>
      <c r="N8" s="160"/>
      <c r="O8" s="20"/>
      <c r="P8" s="20"/>
      <c r="Q8" s="166"/>
      <c r="R8" s="166"/>
      <c r="S8" s="166"/>
      <c r="T8" s="166"/>
    </row>
    <row r="9" spans="1:20" x14ac:dyDescent="0.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x14ac:dyDescent="0.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4" spans="1:20" ht="15.75" x14ac:dyDescent="0.2">
      <c r="A14" s="20"/>
      <c r="B14" s="165" t="s">
        <v>10</v>
      </c>
      <c r="C14" s="20"/>
      <c r="D14" s="224" t="s">
        <v>69</v>
      </c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0"/>
      <c r="Q14" s="20"/>
      <c r="R14" s="156"/>
    </row>
    <row r="15" spans="1:20" ht="15.75" x14ac:dyDescent="0.25">
      <c r="A15" s="20"/>
      <c r="B15" s="164"/>
      <c r="C15" s="20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20"/>
      <c r="Q15" s="20"/>
      <c r="R15" s="20"/>
    </row>
    <row r="16" spans="1:20" x14ac:dyDescent="0.2">
      <c r="A16" s="20"/>
      <c r="B16" s="19"/>
      <c r="C16" s="20"/>
      <c r="D16" s="156" t="s">
        <v>12</v>
      </c>
      <c r="E16" s="156"/>
      <c r="F16" s="162">
        <v>2000</v>
      </c>
      <c r="G16" s="156" t="s">
        <v>13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</row>
    <row r="17" spans="1:18" x14ac:dyDescent="0.2">
      <c r="A17" s="20"/>
      <c r="B17" s="1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</row>
    <row r="18" spans="1:18" x14ac:dyDescent="0.2">
      <c r="A18" s="20"/>
      <c r="B18" s="19"/>
      <c r="C18" s="20"/>
      <c r="D18" s="21"/>
      <c r="E18" s="21"/>
      <c r="F18" s="217" t="s">
        <v>14</v>
      </c>
      <c r="G18" s="218"/>
      <c r="H18" s="219"/>
      <c r="I18" s="20"/>
      <c r="J18" s="217" t="s">
        <v>15</v>
      </c>
      <c r="K18" s="218"/>
      <c r="L18" s="219"/>
      <c r="M18" s="20"/>
      <c r="N18" s="217" t="s">
        <v>16</v>
      </c>
      <c r="O18" s="219"/>
      <c r="P18" s="20"/>
      <c r="Q18" s="20"/>
      <c r="R18" s="20"/>
    </row>
    <row r="19" spans="1:18" ht="12.75" customHeight="1" x14ac:dyDescent="0.2">
      <c r="B19" s="19"/>
      <c r="C19" s="20"/>
      <c r="D19" s="207" t="s">
        <v>17</v>
      </c>
      <c r="E19" s="22"/>
      <c r="F19" s="23" t="s">
        <v>18</v>
      </c>
      <c r="G19" s="23" t="s">
        <v>19</v>
      </c>
      <c r="H19" s="24" t="s">
        <v>20</v>
      </c>
      <c r="I19" s="20"/>
      <c r="J19" s="23" t="s">
        <v>18</v>
      </c>
      <c r="K19" s="25" t="s">
        <v>19</v>
      </c>
      <c r="L19" s="24" t="s">
        <v>20</v>
      </c>
      <c r="M19" s="20"/>
      <c r="N19" s="220" t="s">
        <v>21</v>
      </c>
      <c r="O19" s="220" t="s">
        <v>22</v>
      </c>
    </row>
    <row r="20" spans="1:18" x14ac:dyDescent="0.2">
      <c r="B20" s="19"/>
      <c r="C20" s="20"/>
      <c r="D20" s="207"/>
      <c r="E20" s="22"/>
      <c r="F20" s="26" t="s">
        <v>23</v>
      </c>
      <c r="G20" s="26"/>
      <c r="H20" s="27" t="s">
        <v>23</v>
      </c>
      <c r="I20" s="20"/>
      <c r="J20" s="26" t="s">
        <v>23</v>
      </c>
      <c r="K20" s="27"/>
      <c r="L20" s="27" t="s">
        <v>23</v>
      </c>
      <c r="M20" s="20"/>
      <c r="N20" s="221"/>
      <c r="O20" s="221"/>
    </row>
    <row r="21" spans="1:18" x14ac:dyDescent="0.2">
      <c r="B21" s="28" t="s">
        <v>24</v>
      </c>
      <c r="C21" s="28"/>
      <c r="D21" s="29" t="s">
        <v>25</v>
      </c>
      <c r="E21" s="30"/>
      <c r="F21" s="31">
        <f>+'[3]2012 Existing Rates'!$C$7</f>
        <v>15.31</v>
      </c>
      <c r="G21" s="32">
        <v>1</v>
      </c>
      <c r="H21" s="33">
        <f t="shared" ref="H21:H36" si="0">G21*F21</f>
        <v>15.31</v>
      </c>
      <c r="I21" s="34"/>
      <c r="J21" s="35">
        <f>+'[3]Distribution Rate Schedule'!$C$10</f>
        <v>17.36</v>
      </c>
      <c r="K21" s="36">
        <v>1</v>
      </c>
      <c r="L21" s="33">
        <f t="shared" ref="L21:L36" si="1">K21*J21</f>
        <v>17.36</v>
      </c>
      <c r="M21" s="34"/>
      <c r="N21" s="37">
        <f t="shared" ref="N21:N56" si="2">L21-H21</f>
        <v>2.0499999999999989</v>
      </c>
      <c r="O21" s="38">
        <f t="shared" ref="O21:O56" si="3">IF((H21)=0,"",(N21/H21))</f>
        <v>0.1338994121489222</v>
      </c>
    </row>
    <row r="22" spans="1:18" x14ac:dyDescent="0.2">
      <c r="B22" s="39" t="s">
        <v>26</v>
      </c>
      <c r="C22" s="28"/>
      <c r="D22" s="29" t="s">
        <v>25</v>
      </c>
      <c r="E22" s="30"/>
      <c r="F22" s="40"/>
      <c r="G22" s="32">
        <v>1</v>
      </c>
      <c r="H22" s="33">
        <f t="shared" si="0"/>
        <v>0</v>
      </c>
      <c r="I22" s="34"/>
      <c r="J22" s="35">
        <f>'[3]2013 Rate Rider'!$D$44</f>
        <v>3.0424057650467704</v>
      </c>
      <c r="K22" s="36">
        <v>1</v>
      </c>
      <c r="L22" s="33">
        <f t="shared" si="1"/>
        <v>3.0424057650467704</v>
      </c>
      <c r="M22" s="34"/>
      <c r="N22" s="37">
        <f t="shared" si="2"/>
        <v>3.0424057650467704</v>
      </c>
      <c r="O22" s="38" t="str">
        <f t="shared" si="3"/>
        <v/>
      </c>
    </row>
    <row r="23" spans="1:18" hidden="1" x14ac:dyDescent="0.2">
      <c r="B23" s="41"/>
      <c r="C23" s="28"/>
      <c r="D23" s="29"/>
      <c r="E23" s="30"/>
      <c r="F23" s="40"/>
      <c r="G23" s="32">
        <v>1</v>
      </c>
      <c r="H23" s="33">
        <f t="shared" si="0"/>
        <v>0</v>
      </c>
      <c r="I23" s="34"/>
      <c r="J23" s="42"/>
      <c r="K23" s="36">
        <v>1</v>
      </c>
      <c r="L23" s="33">
        <f t="shared" si="1"/>
        <v>0</v>
      </c>
      <c r="M23" s="34"/>
      <c r="N23" s="37">
        <f t="shared" si="2"/>
        <v>0</v>
      </c>
      <c r="O23" s="38" t="str">
        <f t="shared" si="3"/>
        <v/>
      </c>
    </row>
    <row r="24" spans="1:18" hidden="1" x14ac:dyDescent="0.2">
      <c r="B24" s="41"/>
      <c r="C24" s="28"/>
      <c r="D24" s="29"/>
      <c r="E24" s="30"/>
      <c r="F24" s="40"/>
      <c r="G24" s="32">
        <v>1</v>
      </c>
      <c r="H24" s="33">
        <f t="shared" si="0"/>
        <v>0</v>
      </c>
      <c r="I24" s="34"/>
      <c r="J24" s="42"/>
      <c r="K24" s="36">
        <v>1</v>
      </c>
      <c r="L24" s="33">
        <f t="shared" si="1"/>
        <v>0</v>
      </c>
      <c r="M24" s="34"/>
      <c r="N24" s="37">
        <f t="shared" si="2"/>
        <v>0</v>
      </c>
      <c r="O24" s="38" t="str">
        <f t="shared" si="3"/>
        <v/>
      </c>
    </row>
    <row r="25" spans="1:18" hidden="1" x14ac:dyDescent="0.2">
      <c r="B25" s="41"/>
      <c r="C25" s="28"/>
      <c r="D25" s="29"/>
      <c r="E25" s="30"/>
      <c r="F25" s="40"/>
      <c r="G25" s="32">
        <v>1</v>
      </c>
      <c r="H25" s="33">
        <f t="shared" si="0"/>
        <v>0</v>
      </c>
      <c r="I25" s="34"/>
      <c r="J25" s="42"/>
      <c r="K25" s="36">
        <v>1</v>
      </c>
      <c r="L25" s="33">
        <f t="shared" si="1"/>
        <v>0</v>
      </c>
      <c r="M25" s="34"/>
      <c r="N25" s="37">
        <f t="shared" si="2"/>
        <v>0</v>
      </c>
      <c r="O25" s="38" t="str">
        <f t="shared" si="3"/>
        <v/>
      </c>
    </row>
    <row r="26" spans="1:18" hidden="1" x14ac:dyDescent="0.2">
      <c r="B26" s="41"/>
      <c r="C26" s="28"/>
      <c r="D26" s="29"/>
      <c r="E26" s="30"/>
      <c r="F26" s="40"/>
      <c r="G26" s="32">
        <v>1</v>
      </c>
      <c r="H26" s="33">
        <f t="shared" si="0"/>
        <v>0</v>
      </c>
      <c r="I26" s="34"/>
      <c r="J26" s="42"/>
      <c r="K26" s="36">
        <v>1</v>
      </c>
      <c r="L26" s="33">
        <f t="shared" si="1"/>
        <v>0</v>
      </c>
      <c r="M26" s="34"/>
      <c r="N26" s="37">
        <f t="shared" si="2"/>
        <v>0</v>
      </c>
      <c r="O26" s="38" t="str">
        <f t="shared" si="3"/>
        <v/>
      </c>
    </row>
    <row r="27" spans="1:18" x14ac:dyDescent="0.2">
      <c r="B27" s="28" t="s">
        <v>27</v>
      </c>
      <c r="C27" s="28"/>
      <c r="D27" s="29" t="s">
        <v>28</v>
      </c>
      <c r="E27" s="30"/>
      <c r="F27" s="40">
        <f>+'[3]2012 Existing Rates'!$E$7</f>
        <v>1.6E-2</v>
      </c>
      <c r="G27" s="32">
        <f>$F$16</f>
        <v>2000</v>
      </c>
      <c r="H27" s="33">
        <f t="shared" si="0"/>
        <v>32</v>
      </c>
      <c r="I27" s="34"/>
      <c r="J27" s="42">
        <f>+'[3]Distribution Rate Schedule'!$E$10</f>
        <v>1.8100000000000002E-2</v>
      </c>
      <c r="K27" s="32">
        <f>$F$16</f>
        <v>2000</v>
      </c>
      <c r="L27" s="33">
        <f t="shared" si="1"/>
        <v>36.200000000000003</v>
      </c>
      <c r="M27" s="34"/>
      <c r="N27" s="37">
        <f t="shared" si="2"/>
        <v>4.2000000000000028</v>
      </c>
      <c r="O27" s="38">
        <f t="shared" si="3"/>
        <v>0.13125000000000009</v>
      </c>
    </row>
    <row r="28" spans="1:18" x14ac:dyDescent="0.2">
      <c r="B28" s="28" t="s">
        <v>29</v>
      </c>
      <c r="C28" s="28"/>
      <c r="D28" s="29" t="s">
        <v>25</v>
      </c>
      <c r="E28" s="30"/>
      <c r="F28" s="40"/>
      <c r="G28" s="32"/>
      <c r="H28" s="33">
        <f t="shared" si="0"/>
        <v>0</v>
      </c>
      <c r="I28" s="34"/>
      <c r="J28" s="42">
        <f>'[3]2013 Rate Rider'!$B$44</f>
        <v>4.26</v>
      </c>
      <c r="K28" s="32">
        <v>1</v>
      </c>
      <c r="L28" s="33">
        <f t="shared" si="1"/>
        <v>4.26</v>
      </c>
      <c r="M28" s="34"/>
      <c r="N28" s="37">
        <f t="shared" si="2"/>
        <v>4.26</v>
      </c>
      <c r="O28" s="38" t="str">
        <f t="shared" si="3"/>
        <v/>
      </c>
    </row>
    <row r="29" spans="1:18" x14ac:dyDescent="0.2">
      <c r="B29" s="28" t="s">
        <v>30</v>
      </c>
      <c r="C29" s="28"/>
      <c r="D29" s="29" t="s">
        <v>28</v>
      </c>
      <c r="E29" s="30"/>
      <c r="F29" s="40">
        <f>+'[3]2012 Existing Rates'!$B$56</f>
        <v>2.0000000000000001E-4</v>
      </c>
      <c r="G29" s="32">
        <f>+F16</f>
        <v>2000</v>
      </c>
      <c r="H29" s="33">
        <f t="shared" si="0"/>
        <v>0.4</v>
      </c>
      <c r="I29" s="34"/>
      <c r="J29" s="43">
        <f>'[3]LRAM and SSM Rate Rider'!$L$8</f>
        <v>2.4255590542302075E-4</v>
      </c>
      <c r="K29" s="32">
        <f>+F16</f>
        <v>2000</v>
      </c>
      <c r="L29" s="33">
        <f t="shared" si="1"/>
        <v>0.48511181084604149</v>
      </c>
      <c r="M29" s="34"/>
      <c r="N29" s="37">
        <f t="shared" si="2"/>
        <v>8.5111810846041469E-2</v>
      </c>
      <c r="O29" s="38">
        <f t="shared" si="3"/>
        <v>0.21277952711510367</v>
      </c>
    </row>
    <row r="30" spans="1:18" hidden="1" x14ac:dyDescent="0.2">
      <c r="B30" s="41"/>
      <c r="C30" s="28"/>
      <c r="D30" s="29" t="s">
        <v>25</v>
      </c>
      <c r="E30" s="30"/>
      <c r="F30" s="40"/>
      <c r="G30" s="32"/>
      <c r="H30" s="33">
        <f t="shared" si="0"/>
        <v>0</v>
      </c>
      <c r="I30" s="34"/>
      <c r="J30" s="42"/>
      <c r="K30" s="32"/>
      <c r="L30" s="33">
        <f t="shared" si="1"/>
        <v>0</v>
      </c>
      <c r="M30" s="34"/>
      <c r="N30" s="37">
        <f t="shared" si="2"/>
        <v>0</v>
      </c>
      <c r="O30" s="38" t="str">
        <f t="shared" si="3"/>
        <v/>
      </c>
    </row>
    <row r="31" spans="1:18" hidden="1" x14ac:dyDescent="0.2">
      <c r="B31" s="41"/>
      <c r="C31" s="28"/>
      <c r="D31" s="29"/>
      <c r="E31" s="30"/>
      <c r="F31" s="40"/>
      <c r="G31" s="32"/>
      <c r="H31" s="33">
        <f t="shared" si="0"/>
        <v>0</v>
      </c>
      <c r="I31" s="34"/>
      <c r="J31" s="42"/>
      <c r="K31" s="32"/>
      <c r="L31" s="33">
        <f t="shared" si="1"/>
        <v>0</v>
      </c>
      <c r="M31" s="34"/>
      <c r="N31" s="37">
        <f t="shared" si="2"/>
        <v>0</v>
      </c>
      <c r="O31" s="38" t="str">
        <f t="shared" si="3"/>
        <v/>
      </c>
    </row>
    <row r="32" spans="1:18" hidden="1" x14ac:dyDescent="0.2">
      <c r="B32" s="41"/>
      <c r="C32" s="28"/>
      <c r="D32" s="29"/>
      <c r="E32" s="30"/>
      <c r="F32" s="40"/>
      <c r="G32" s="32"/>
      <c r="H32" s="33">
        <f t="shared" si="0"/>
        <v>0</v>
      </c>
      <c r="I32" s="34"/>
      <c r="J32" s="42"/>
      <c r="K32" s="32"/>
      <c r="L32" s="33">
        <f t="shared" si="1"/>
        <v>0</v>
      </c>
      <c r="M32" s="34"/>
      <c r="N32" s="37">
        <f t="shared" si="2"/>
        <v>0</v>
      </c>
      <c r="O32" s="38" t="str">
        <f t="shared" si="3"/>
        <v/>
      </c>
    </row>
    <row r="33" spans="2:15" hidden="1" x14ac:dyDescent="0.2">
      <c r="B33" s="41"/>
      <c r="C33" s="28"/>
      <c r="D33" s="29"/>
      <c r="E33" s="30"/>
      <c r="F33" s="40"/>
      <c r="G33" s="32"/>
      <c r="H33" s="33">
        <f t="shared" si="0"/>
        <v>0</v>
      </c>
      <c r="I33" s="34"/>
      <c r="J33" s="42"/>
      <c r="K33" s="32"/>
      <c r="L33" s="33">
        <f t="shared" si="1"/>
        <v>0</v>
      </c>
      <c r="M33" s="34"/>
      <c r="N33" s="37">
        <f t="shared" si="2"/>
        <v>0</v>
      </c>
      <c r="O33" s="38" t="str">
        <f t="shared" si="3"/>
        <v/>
      </c>
    </row>
    <row r="34" spans="2:15" hidden="1" x14ac:dyDescent="0.2">
      <c r="B34" s="41"/>
      <c r="C34" s="28"/>
      <c r="D34" s="29"/>
      <c r="E34" s="30"/>
      <c r="F34" s="40"/>
      <c r="G34" s="32"/>
      <c r="H34" s="33">
        <f t="shared" si="0"/>
        <v>0</v>
      </c>
      <c r="I34" s="34"/>
      <c r="J34" s="42"/>
      <c r="K34" s="32"/>
      <c r="L34" s="33">
        <f t="shared" si="1"/>
        <v>0</v>
      </c>
      <c r="M34" s="34"/>
      <c r="N34" s="37">
        <f t="shared" si="2"/>
        <v>0</v>
      </c>
      <c r="O34" s="38" t="str">
        <f t="shared" si="3"/>
        <v/>
      </c>
    </row>
    <row r="35" spans="2:15" hidden="1" x14ac:dyDescent="0.2">
      <c r="B35" s="41"/>
      <c r="C35" s="28"/>
      <c r="D35" s="29"/>
      <c r="E35" s="30"/>
      <c r="F35" s="40"/>
      <c r="G35" s="32"/>
      <c r="H35" s="33">
        <f t="shared" si="0"/>
        <v>0</v>
      </c>
      <c r="I35" s="34"/>
      <c r="J35" s="42"/>
      <c r="K35" s="32"/>
      <c r="L35" s="33">
        <f t="shared" si="1"/>
        <v>0</v>
      </c>
      <c r="M35" s="34"/>
      <c r="N35" s="37">
        <f t="shared" si="2"/>
        <v>0</v>
      </c>
      <c r="O35" s="38" t="str">
        <f t="shared" si="3"/>
        <v/>
      </c>
    </row>
    <row r="36" spans="2:15" hidden="1" x14ac:dyDescent="0.2">
      <c r="B36" s="41"/>
      <c r="C36" s="28"/>
      <c r="D36" s="29"/>
      <c r="E36" s="30"/>
      <c r="F36" s="40"/>
      <c r="G36" s="32"/>
      <c r="H36" s="33">
        <f t="shared" si="0"/>
        <v>0</v>
      </c>
      <c r="I36" s="34"/>
      <c r="J36" s="42"/>
      <c r="K36" s="32"/>
      <c r="L36" s="33">
        <f t="shared" si="1"/>
        <v>0</v>
      </c>
      <c r="M36" s="34"/>
      <c r="N36" s="37">
        <f t="shared" si="2"/>
        <v>0</v>
      </c>
      <c r="O36" s="38" t="str">
        <f t="shared" si="3"/>
        <v/>
      </c>
    </row>
    <row r="37" spans="2:15" x14ac:dyDescent="0.2">
      <c r="B37" s="45" t="s">
        <v>31</v>
      </c>
      <c r="C37" s="46"/>
      <c r="D37" s="47"/>
      <c r="E37" s="46"/>
      <c r="F37" s="48"/>
      <c r="G37" s="49"/>
      <c r="H37" s="50">
        <f>SUM(H21:H36)</f>
        <v>47.71</v>
      </c>
      <c r="I37" s="51"/>
      <c r="J37" s="52"/>
      <c r="K37" s="53"/>
      <c r="L37" s="50">
        <f>SUM(L21:L36)</f>
        <v>61.347517575892809</v>
      </c>
      <c r="M37" s="51"/>
      <c r="N37" s="54">
        <f t="shared" si="2"/>
        <v>13.637517575892808</v>
      </c>
      <c r="O37" s="55">
        <f t="shared" si="3"/>
        <v>0.28584191104365558</v>
      </c>
    </row>
    <row r="38" spans="2:15" ht="25.5" x14ac:dyDescent="0.2">
      <c r="B38" s="56" t="s">
        <v>32</v>
      </c>
      <c r="C38" s="28"/>
      <c r="D38" s="29" t="s">
        <v>28</v>
      </c>
      <c r="E38" s="30"/>
      <c r="F38" s="40">
        <f>+'[3]2012 Existing Rates'!$B$20</f>
        <v>-1.8E-3</v>
      </c>
      <c r="G38" s="32">
        <f>+F16</f>
        <v>2000</v>
      </c>
      <c r="H38" s="33">
        <f>G38*F38</f>
        <v>-3.6</v>
      </c>
      <c r="I38" s="34"/>
      <c r="J38" s="42">
        <f>[4]Sheet1!$F$21</f>
        <v>-3.1004653558823793E-3</v>
      </c>
      <c r="K38" s="32">
        <f>+F16</f>
        <v>2000</v>
      </c>
      <c r="L38" s="33">
        <f t="shared" ref="L38:L43" si="4">K38*J38</f>
        <v>-6.2009307117647587</v>
      </c>
      <c r="M38" s="34"/>
      <c r="N38" s="37">
        <f t="shared" si="2"/>
        <v>-2.6009307117647587</v>
      </c>
      <c r="O38" s="38">
        <f t="shared" si="3"/>
        <v>0.72248075326798855</v>
      </c>
    </row>
    <row r="39" spans="2:15" x14ac:dyDescent="0.2">
      <c r="B39" s="56"/>
      <c r="C39" s="28"/>
      <c r="D39" s="29" t="s">
        <v>25</v>
      </c>
      <c r="E39" s="30"/>
      <c r="F39" s="40"/>
      <c r="G39" s="32">
        <v>1</v>
      </c>
      <c r="H39" s="33">
        <f>G39*F39</f>
        <v>0</v>
      </c>
      <c r="I39" s="58"/>
      <c r="J39" s="42"/>
      <c r="K39" s="32"/>
      <c r="L39" s="33">
        <f t="shared" si="4"/>
        <v>0</v>
      </c>
      <c r="M39" s="59"/>
      <c r="N39" s="37">
        <f t="shared" si="2"/>
        <v>0</v>
      </c>
      <c r="O39" s="38" t="str">
        <f t="shared" si="3"/>
        <v/>
      </c>
    </row>
    <row r="40" spans="2:15" ht="25.5" x14ac:dyDescent="0.2">
      <c r="B40" s="56" t="s">
        <v>34</v>
      </c>
      <c r="C40" s="28"/>
      <c r="D40" s="57" t="s">
        <v>28</v>
      </c>
      <c r="E40" s="30"/>
      <c r="F40" s="40">
        <f>+'[3]2012 Existing Rates'!$B$82</f>
        <v>-1.1999999999999999E-3</v>
      </c>
      <c r="G40" s="32">
        <f>+F16</f>
        <v>2000</v>
      </c>
      <c r="H40" s="33">
        <f>G40*F40</f>
        <v>-2.4</v>
      </c>
      <c r="I40" s="58"/>
      <c r="J40" s="42">
        <f>+F40</f>
        <v>-1.1999999999999999E-3</v>
      </c>
      <c r="K40" s="32">
        <f>+F16</f>
        <v>2000</v>
      </c>
      <c r="L40" s="33">
        <f t="shared" si="4"/>
        <v>-2.4</v>
      </c>
      <c r="M40" s="59"/>
      <c r="N40" s="37">
        <f t="shared" si="2"/>
        <v>0</v>
      </c>
      <c r="O40" s="38">
        <f t="shared" si="3"/>
        <v>0</v>
      </c>
    </row>
    <row r="41" spans="2:15" x14ac:dyDescent="0.2">
      <c r="B41" s="56" t="s">
        <v>35</v>
      </c>
      <c r="C41" s="28"/>
      <c r="D41" s="57" t="s">
        <v>28</v>
      </c>
      <c r="E41" s="30"/>
      <c r="F41" s="40">
        <f>'[3]2012 Existing Rates'!$B$44</f>
        <v>9.0000000000000006E-5</v>
      </c>
      <c r="G41" s="32">
        <f>+F16</f>
        <v>2000</v>
      </c>
      <c r="H41" s="33">
        <f>G41*F41</f>
        <v>0.18000000000000002</v>
      </c>
      <c r="I41" s="58"/>
      <c r="J41" s="42"/>
      <c r="K41" s="32"/>
      <c r="L41" s="33">
        <f t="shared" si="4"/>
        <v>0</v>
      </c>
      <c r="M41" s="59"/>
      <c r="N41" s="37">
        <f t="shared" si="2"/>
        <v>-0.18000000000000002</v>
      </c>
      <c r="O41" s="38">
        <f t="shared" si="3"/>
        <v>-1</v>
      </c>
    </row>
    <row r="42" spans="2:15" x14ac:dyDescent="0.2">
      <c r="B42" s="39" t="s">
        <v>36</v>
      </c>
      <c r="C42" s="28"/>
      <c r="D42" s="29" t="s">
        <v>28</v>
      </c>
      <c r="E42" s="30"/>
      <c r="F42" s="40">
        <f>+'[3]2012 Existing Rates'!$B$32</f>
        <v>5.9999999999999995E-4</v>
      </c>
      <c r="G42" s="32">
        <f>+F16</f>
        <v>2000</v>
      </c>
      <c r="H42" s="33">
        <f>G42*F42</f>
        <v>1.2</v>
      </c>
      <c r="I42" s="34"/>
      <c r="J42" s="42">
        <f>+'[3]Distribution Rate Schedule'!$E$21</f>
        <v>1.6000000000000001E-3</v>
      </c>
      <c r="K42" s="32">
        <f>+F16</f>
        <v>2000</v>
      </c>
      <c r="L42" s="33">
        <f t="shared" si="4"/>
        <v>3.2</v>
      </c>
      <c r="M42" s="34"/>
      <c r="N42" s="37">
        <f t="shared" si="2"/>
        <v>2</v>
      </c>
      <c r="O42" s="38">
        <f t="shared" si="3"/>
        <v>1.6666666666666667</v>
      </c>
    </row>
    <row r="43" spans="2:15" x14ac:dyDescent="0.2">
      <c r="B43" s="39" t="s">
        <v>37</v>
      </c>
      <c r="C43" s="28"/>
      <c r="D43" s="29" t="s">
        <v>25</v>
      </c>
      <c r="E43" s="30"/>
      <c r="F43" s="60"/>
      <c r="G43" s="61"/>
      <c r="H43" s="62"/>
      <c r="I43" s="34"/>
      <c r="J43" s="42">
        <v>0.79</v>
      </c>
      <c r="K43" s="32">
        <v>1</v>
      </c>
      <c r="L43" s="33">
        <f t="shared" si="4"/>
        <v>0.79</v>
      </c>
      <c r="M43" s="34"/>
      <c r="N43" s="37">
        <f t="shared" si="2"/>
        <v>0.79</v>
      </c>
      <c r="O43" s="38" t="str">
        <f t="shared" si="3"/>
        <v/>
      </c>
    </row>
    <row r="44" spans="2:15" ht="25.5" x14ac:dyDescent="0.2">
      <c r="B44" s="63" t="s">
        <v>38</v>
      </c>
      <c r="C44" s="64"/>
      <c r="D44" s="64"/>
      <c r="E44" s="64"/>
      <c r="F44" s="65"/>
      <c r="G44" s="66"/>
      <c r="H44" s="67">
        <f>SUM(H38:H42)+H37</f>
        <v>43.09</v>
      </c>
      <c r="I44" s="51"/>
      <c r="J44" s="68"/>
      <c r="K44" s="69"/>
      <c r="L44" s="67">
        <f>SUM(L38:L43)+L37</f>
        <v>56.73658686412805</v>
      </c>
      <c r="M44" s="51"/>
      <c r="N44" s="54">
        <f t="shared" si="2"/>
        <v>13.646586864128047</v>
      </c>
      <c r="O44" s="55">
        <f t="shared" si="3"/>
        <v>0.31669962553093628</v>
      </c>
    </row>
    <row r="45" spans="2:15" x14ac:dyDescent="0.2">
      <c r="B45" s="34" t="s">
        <v>39</v>
      </c>
      <c r="C45" s="34"/>
      <c r="D45" s="70" t="s">
        <v>28</v>
      </c>
      <c r="E45" s="71"/>
      <c r="F45" s="42">
        <f>+'[5]3. Rate Classes'!$J$25</f>
        <v>4.8999999999999998E-3</v>
      </c>
      <c r="G45" s="72">
        <f>F16*(1+F71)</f>
        <v>2089.7999999999997</v>
      </c>
      <c r="H45" s="33">
        <f>G45*F45</f>
        <v>10.240019999999998</v>
      </c>
      <c r="I45" s="34"/>
      <c r="J45" s="42">
        <f>+'[5]13. Final 2013 RTS Rates'!$F$27</f>
        <v>6.6889717256157031E-3</v>
      </c>
      <c r="K45" s="73">
        <f>F16*(1+J71)</f>
        <v>2099.4959999999996</v>
      </c>
      <c r="L45" s="33">
        <f>K45*J45</f>
        <v>14.043469382043265</v>
      </c>
      <c r="M45" s="34"/>
      <c r="N45" s="37">
        <f t="shared" si="2"/>
        <v>3.8034493820432669</v>
      </c>
      <c r="O45" s="38">
        <f t="shared" si="3"/>
        <v>0.3714298782661819</v>
      </c>
    </row>
    <row r="46" spans="2:15" ht="25.5" x14ac:dyDescent="0.2">
      <c r="B46" s="74" t="s">
        <v>40</v>
      </c>
      <c r="C46" s="34"/>
      <c r="D46" s="70" t="s">
        <v>28</v>
      </c>
      <c r="E46" s="71"/>
      <c r="F46" s="42">
        <f>+'[5]3. Rate Classes'!$M$25</f>
        <v>3.8999999999999998E-3</v>
      </c>
      <c r="G46" s="72">
        <f>G45</f>
        <v>2089.7999999999997</v>
      </c>
      <c r="H46" s="33">
        <f>G46*F46</f>
        <v>8.1502199999999991</v>
      </c>
      <c r="I46" s="34"/>
      <c r="J46" s="42">
        <f>+'[5]13. Final 2013 RTS Rates'!$H$27</f>
        <v>4.8336648618893426E-3</v>
      </c>
      <c r="K46" s="73">
        <f>K45</f>
        <v>2099.4959999999996</v>
      </c>
      <c r="L46" s="33">
        <f>K46*J46</f>
        <v>10.148260042877226</v>
      </c>
      <c r="M46" s="34"/>
      <c r="N46" s="37">
        <f t="shared" si="2"/>
        <v>1.9980400428772267</v>
      </c>
      <c r="O46" s="38">
        <f t="shared" si="3"/>
        <v>0.24515166987850964</v>
      </c>
    </row>
    <row r="47" spans="2:15" ht="25.5" x14ac:dyDescent="0.2">
      <c r="B47" s="63" t="s">
        <v>41</v>
      </c>
      <c r="C47" s="46"/>
      <c r="D47" s="46"/>
      <c r="E47" s="46"/>
      <c r="F47" s="75"/>
      <c r="G47" s="66"/>
      <c r="H47" s="67">
        <f>SUM(H44:H46)</f>
        <v>61.480240000000002</v>
      </c>
      <c r="I47" s="76"/>
      <c r="J47" s="77"/>
      <c r="K47" s="78"/>
      <c r="L47" s="67">
        <f>SUM(L44:L46)</f>
        <v>80.928316289048539</v>
      </c>
      <c r="M47" s="76"/>
      <c r="N47" s="54">
        <f t="shared" si="2"/>
        <v>19.448076289048537</v>
      </c>
      <c r="O47" s="55">
        <f t="shared" si="3"/>
        <v>0.31633052000201262</v>
      </c>
    </row>
    <row r="48" spans="2:15" ht="25.5" x14ac:dyDescent="0.2">
      <c r="B48" s="79" t="s">
        <v>42</v>
      </c>
      <c r="C48" s="28"/>
      <c r="D48" s="29"/>
      <c r="E48" s="30"/>
      <c r="F48" s="83">
        <v>5.1999999999999998E-3</v>
      </c>
      <c r="G48" s="72">
        <f>G46</f>
        <v>2089.7999999999997</v>
      </c>
      <c r="H48" s="81">
        <f t="shared" ref="H48:H56" si="5">G48*F48</f>
        <v>10.866959999999999</v>
      </c>
      <c r="I48" s="34"/>
      <c r="J48" s="80">
        <v>4.4000000000000003E-3</v>
      </c>
      <c r="K48" s="73">
        <f>K46</f>
        <v>2099.4959999999996</v>
      </c>
      <c r="L48" s="81">
        <f t="shared" ref="L48:L56" si="6">K48*J48</f>
        <v>9.2377823999999986</v>
      </c>
      <c r="M48" s="34"/>
      <c r="N48" s="37">
        <f t="shared" si="2"/>
        <v>-1.6291776000000002</v>
      </c>
      <c r="O48" s="82">
        <f t="shared" si="3"/>
        <v>-0.14992027209081477</v>
      </c>
    </row>
    <row r="49" spans="2:15" ht="25.5" x14ac:dyDescent="0.2">
      <c r="B49" s="79" t="s">
        <v>43</v>
      </c>
      <c r="C49" s="28"/>
      <c r="D49" s="29"/>
      <c r="E49" s="30"/>
      <c r="F49" s="83">
        <v>1.1000000000000001E-3</v>
      </c>
      <c r="G49" s="72">
        <f>G46</f>
        <v>2089.7999999999997</v>
      </c>
      <c r="H49" s="81">
        <f t="shared" si="5"/>
        <v>2.2987799999999998</v>
      </c>
      <c r="I49" s="34"/>
      <c r="J49" s="80">
        <v>1.1999999999999999E-3</v>
      </c>
      <c r="K49" s="73">
        <f>K46</f>
        <v>2099.4959999999996</v>
      </c>
      <c r="L49" s="81">
        <f t="shared" si="6"/>
        <v>2.5193951999999995</v>
      </c>
      <c r="M49" s="34"/>
      <c r="N49" s="37">
        <f t="shared" si="2"/>
        <v>0.22061519999999968</v>
      </c>
      <c r="O49" s="82">
        <f t="shared" si="3"/>
        <v>9.5970558296139555E-2</v>
      </c>
    </row>
    <row r="50" spans="2:15" x14ac:dyDescent="0.2">
      <c r="B50" s="28" t="s">
        <v>44</v>
      </c>
      <c r="C50" s="28"/>
      <c r="D50" s="29"/>
      <c r="E50" s="30"/>
      <c r="F50" s="83">
        <v>0.25</v>
      </c>
      <c r="G50" s="32">
        <v>1</v>
      </c>
      <c r="H50" s="81">
        <f t="shared" si="5"/>
        <v>0.25</v>
      </c>
      <c r="I50" s="34"/>
      <c r="J50" s="80">
        <v>0.25</v>
      </c>
      <c r="K50" s="36">
        <v>1</v>
      </c>
      <c r="L50" s="81">
        <f t="shared" si="6"/>
        <v>0.25</v>
      </c>
      <c r="M50" s="34"/>
      <c r="N50" s="37">
        <f t="shared" si="2"/>
        <v>0</v>
      </c>
      <c r="O50" s="82">
        <f t="shared" si="3"/>
        <v>0</v>
      </c>
    </row>
    <row r="51" spans="2:15" x14ac:dyDescent="0.2">
      <c r="B51" s="28" t="s">
        <v>45</v>
      </c>
      <c r="C51" s="28"/>
      <c r="D51" s="29"/>
      <c r="E51" s="30"/>
      <c r="F51" s="83">
        <v>7.0000000000000001E-3</v>
      </c>
      <c r="G51" s="72">
        <f>F16</f>
        <v>2000</v>
      </c>
      <c r="H51" s="81">
        <f t="shared" si="5"/>
        <v>14</v>
      </c>
      <c r="I51" s="34"/>
      <c r="J51" s="80">
        <v>7.0000000000000001E-3</v>
      </c>
      <c r="K51" s="73">
        <f>F16</f>
        <v>2000</v>
      </c>
      <c r="L51" s="81">
        <f t="shared" si="6"/>
        <v>14</v>
      </c>
      <c r="M51" s="34"/>
      <c r="N51" s="37">
        <f t="shared" si="2"/>
        <v>0</v>
      </c>
      <c r="O51" s="82">
        <f t="shared" si="3"/>
        <v>0</v>
      </c>
    </row>
    <row r="52" spans="2:15" x14ac:dyDescent="0.2">
      <c r="B52" s="39" t="s">
        <v>46</v>
      </c>
      <c r="C52" s="28"/>
      <c r="D52" s="29"/>
      <c r="E52" s="30"/>
      <c r="F52" s="161">
        <v>7.4999999999999997E-2</v>
      </c>
      <c r="G52" s="72">
        <f>IF($T$1=1,IF($F$16&gt;=600,600,IF($F$16&lt;600,$F$16*(1+$F$71),$F$16-600)),IF($T$1=2,IF($F$16&gt;=1000,1000,IF($F$16&lt;1000,$F$16*(1+$F$71),$F$16-1000))))</f>
        <v>600</v>
      </c>
      <c r="H52" s="81">
        <f t="shared" si="5"/>
        <v>45</v>
      </c>
      <c r="I52" s="34"/>
      <c r="J52" s="161">
        <v>7.4999999999999997E-2</v>
      </c>
      <c r="K52" s="72">
        <f>IF($T$1=1,IF($F$16&gt;=600,600,IF($F$16&lt;600,$F$16*(1+$J$71),$F$16-600)),IF($T$1=2,IF($F$16&gt;=1000,1000,IF($F$16&lt;1000,$F$16*(1+$J$71),$F$16-1000))))</f>
        <v>600</v>
      </c>
      <c r="L52" s="81">
        <f t="shared" si="6"/>
        <v>45</v>
      </c>
      <c r="M52" s="34"/>
      <c r="N52" s="37">
        <f t="shared" si="2"/>
        <v>0</v>
      </c>
      <c r="O52" s="82">
        <f t="shared" si="3"/>
        <v>0</v>
      </c>
    </row>
    <row r="53" spans="2:15" x14ac:dyDescent="0.2">
      <c r="B53" s="39" t="s">
        <v>47</v>
      </c>
      <c r="C53" s="28"/>
      <c r="D53" s="29"/>
      <c r="E53" s="30"/>
      <c r="F53" s="161">
        <v>8.7999999999999995E-2</v>
      </c>
      <c r="G53" s="72">
        <f>IF($T$1=1,IF($F$16&gt;=600,$F$16*(1+$F$71)-600,IF($F$16&lt;600,0,)), IF($T$1=2,IF($F$16&gt;=1000,$F$16*(1+$F$71)-1000,IF($F$16&lt;1000,0))))</f>
        <v>1489.7999999999997</v>
      </c>
      <c r="H53" s="81">
        <f t="shared" si="5"/>
        <v>131.10239999999996</v>
      </c>
      <c r="I53" s="34"/>
      <c r="J53" s="161">
        <v>8.7999999999999995E-2</v>
      </c>
      <c r="K53" s="72">
        <f>IF($T$1=1,IF($F$16&gt;=600,$F$16*(1+$J$71)-600,IF($F$16&lt;600,0,)), IF($T$1=2,IF($F$16&gt;=1000,$F$16*(1+$J$71)-1000,IF($F$16&lt;1000,0))))</f>
        <v>1499.4959999999996</v>
      </c>
      <c r="L53" s="81">
        <f t="shared" si="6"/>
        <v>131.95564799999997</v>
      </c>
      <c r="M53" s="34"/>
      <c r="N53" s="37">
        <f t="shared" si="2"/>
        <v>0.85324800000000778</v>
      </c>
      <c r="O53" s="82">
        <f t="shared" si="3"/>
        <v>6.5082561417640567E-3</v>
      </c>
    </row>
    <row r="54" spans="2:15" x14ac:dyDescent="0.2">
      <c r="B54" s="39" t="s">
        <v>48</v>
      </c>
      <c r="C54" s="28"/>
      <c r="D54" s="29"/>
      <c r="E54" s="30"/>
      <c r="F54" s="161">
        <v>6.5000000000000002E-2</v>
      </c>
      <c r="G54" s="85">
        <f>0.64*$F$16*(1+$F$71)</f>
        <v>1337.472</v>
      </c>
      <c r="H54" s="81">
        <f t="shared" si="5"/>
        <v>86.935680000000005</v>
      </c>
      <c r="I54" s="34"/>
      <c r="J54" s="161">
        <v>6.5000000000000002E-2</v>
      </c>
      <c r="K54" s="85">
        <f>0.64*$F$16*(1+$J$71)</f>
        <v>1343.6774399999999</v>
      </c>
      <c r="L54" s="81">
        <f t="shared" si="6"/>
        <v>87.339033599999993</v>
      </c>
      <c r="M54" s="34"/>
      <c r="N54" s="37">
        <f t="shared" si="2"/>
        <v>0.40335359999998843</v>
      </c>
      <c r="O54" s="82">
        <f t="shared" si="3"/>
        <v>4.6396784381279171E-3</v>
      </c>
    </row>
    <row r="55" spans="2:15" x14ac:dyDescent="0.2">
      <c r="B55" s="39" t="s">
        <v>49</v>
      </c>
      <c r="C55" s="28"/>
      <c r="D55" s="29"/>
      <c r="E55" s="30"/>
      <c r="F55" s="161">
        <v>0.1</v>
      </c>
      <c r="G55" s="85">
        <f>0.18*$F$16*(1+$F$71)</f>
        <v>376.16399999999999</v>
      </c>
      <c r="H55" s="81">
        <f t="shared" si="5"/>
        <v>37.616399999999999</v>
      </c>
      <c r="I55" s="34"/>
      <c r="J55" s="161">
        <v>0.1</v>
      </c>
      <c r="K55" s="85">
        <f>0.18*$F$16*(1+$J$71)</f>
        <v>377.90927999999997</v>
      </c>
      <c r="L55" s="81">
        <f t="shared" si="6"/>
        <v>37.790928000000001</v>
      </c>
      <c r="M55" s="34"/>
      <c r="N55" s="37">
        <f t="shared" si="2"/>
        <v>0.17452800000000224</v>
      </c>
      <c r="O55" s="82">
        <f t="shared" si="3"/>
        <v>4.6396784381281106E-3</v>
      </c>
    </row>
    <row r="56" spans="2:15" ht="13.5" thickBot="1" x14ac:dyDescent="0.25">
      <c r="B56" s="19" t="s">
        <v>50</v>
      </c>
      <c r="C56" s="28"/>
      <c r="D56" s="29"/>
      <c r="E56" s="30"/>
      <c r="F56" s="161">
        <v>0.11700000000000001</v>
      </c>
      <c r="G56" s="85">
        <f>0.18*$F$16*(1+$F$71)</f>
        <v>376.16399999999999</v>
      </c>
      <c r="H56" s="81">
        <f t="shared" si="5"/>
        <v>44.011188000000004</v>
      </c>
      <c r="I56" s="34"/>
      <c r="J56" s="161">
        <v>0.11700000000000001</v>
      </c>
      <c r="K56" s="85">
        <f>0.18*$F$16*(1+$J$71)</f>
        <v>377.90927999999997</v>
      </c>
      <c r="L56" s="81">
        <f t="shared" si="6"/>
        <v>44.215385759999997</v>
      </c>
      <c r="M56" s="34"/>
      <c r="N56" s="37">
        <f t="shared" si="2"/>
        <v>0.20419775999999246</v>
      </c>
      <c r="O56" s="82">
        <f t="shared" si="3"/>
        <v>4.639678438127879E-3</v>
      </c>
    </row>
    <row r="57" spans="2:15" ht="13.5" thickBot="1" x14ac:dyDescent="0.25">
      <c r="B57" s="87"/>
      <c r="C57" s="88"/>
      <c r="D57" s="89"/>
      <c r="E57" s="88"/>
      <c r="F57" s="90"/>
      <c r="G57" s="91"/>
      <c r="H57" s="92"/>
      <c r="I57" s="93"/>
      <c r="J57" s="90"/>
      <c r="K57" s="94"/>
      <c r="L57" s="92"/>
      <c r="M57" s="93"/>
      <c r="N57" s="95"/>
      <c r="O57" s="96"/>
    </row>
    <row r="58" spans="2:15" x14ac:dyDescent="0.2">
      <c r="B58" s="97" t="s">
        <v>51</v>
      </c>
      <c r="C58" s="28"/>
      <c r="D58" s="28"/>
      <c r="E58" s="28"/>
      <c r="F58" s="98"/>
      <c r="G58" s="99"/>
      <c r="H58" s="100">
        <f>SUM(H47:H53)</f>
        <v>264.99838</v>
      </c>
      <c r="I58" s="101"/>
      <c r="J58" s="102"/>
      <c r="K58" s="103"/>
      <c r="L58" s="104">
        <f>SUM(L47:L53)</f>
        <v>283.89114188904853</v>
      </c>
      <c r="M58" s="105"/>
      <c r="N58" s="106">
        <f>L58-H58</f>
        <v>18.892761889048529</v>
      </c>
      <c r="O58" s="107">
        <f>IF((H58)=0,"",(N58/H58))</f>
        <v>7.1293876925015653E-2</v>
      </c>
    </row>
    <row r="59" spans="2:15" x14ac:dyDescent="0.2">
      <c r="B59" s="108" t="s">
        <v>52</v>
      </c>
      <c r="C59" s="28"/>
      <c r="D59" s="28"/>
      <c r="E59" s="28"/>
      <c r="F59" s="109">
        <v>0.13</v>
      </c>
      <c r="G59" s="99"/>
      <c r="H59" s="110">
        <f>H58*F59</f>
        <v>34.4497894</v>
      </c>
      <c r="I59" s="111"/>
      <c r="J59" s="112">
        <v>0.13</v>
      </c>
      <c r="K59" s="113"/>
      <c r="L59" s="114">
        <f>L58*J59</f>
        <v>36.905848445576311</v>
      </c>
      <c r="M59" s="115"/>
      <c r="N59" s="116">
        <f>L59-H59</f>
        <v>2.4560590455763105</v>
      </c>
      <c r="O59" s="117">
        <f>IF((H59)=0,"",(N59/H59))</f>
        <v>7.1293876925015695E-2</v>
      </c>
    </row>
    <row r="60" spans="2:15" x14ac:dyDescent="0.2">
      <c r="B60" s="118" t="s">
        <v>53</v>
      </c>
      <c r="C60" s="28"/>
      <c r="D60" s="28"/>
      <c r="E60" s="28"/>
      <c r="F60" s="119"/>
      <c r="G60" s="120"/>
      <c r="H60" s="110">
        <f>H58+H59</f>
        <v>299.44816939999998</v>
      </c>
      <c r="I60" s="111"/>
      <c r="J60" s="111"/>
      <c r="K60" s="121"/>
      <c r="L60" s="114">
        <f>L58+L59</f>
        <v>320.79699033462487</v>
      </c>
      <c r="M60" s="115"/>
      <c r="N60" s="116">
        <f>L60-H60</f>
        <v>21.348820934624882</v>
      </c>
      <c r="O60" s="117">
        <f>IF((H60)=0,"",(N60/H60))</f>
        <v>7.1293876925015806E-2</v>
      </c>
    </row>
    <row r="61" spans="2:15" ht="16.149999999999999" customHeight="1" x14ac:dyDescent="0.2">
      <c r="B61" s="213" t="s">
        <v>54</v>
      </c>
      <c r="C61" s="213"/>
      <c r="D61" s="213"/>
      <c r="E61" s="28"/>
      <c r="F61" s="119"/>
      <c r="G61" s="120"/>
      <c r="H61" s="122">
        <f>ROUND(-H60*10%,2)</f>
        <v>-29.94</v>
      </c>
      <c r="I61" s="111"/>
      <c r="J61" s="111"/>
      <c r="K61" s="121"/>
      <c r="L61" s="123">
        <f>ROUND(-L60*10%,2)</f>
        <v>-32.08</v>
      </c>
      <c r="M61" s="115"/>
      <c r="N61" s="124">
        <f>L61-H61</f>
        <v>-2.139999999999997</v>
      </c>
      <c r="O61" s="125">
        <f>IF((H61)=0,"",(N61/H61))</f>
        <v>7.1476285905143516E-2</v>
      </c>
    </row>
    <row r="62" spans="2:15" ht="13.5" customHeight="1" thickBot="1" x14ac:dyDescent="0.25">
      <c r="B62" s="223" t="s">
        <v>55</v>
      </c>
      <c r="C62" s="223"/>
      <c r="D62" s="223"/>
      <c r="E62" s="126"/>
      <c r="F62" s="127"/>
      <c r="G62" s="128"/>
      <c r="H62" s="129">
        <f>SUM(H60:H61)</f>
        <v>269.50816939999999</v>
      </c>
      <c r="I62" s="130"/>
      <c r="J62" s="130"/>
      <c r="K62" s="131"/>
      <c r="L62" s="132">
        <f>SUM(L60:L61)</f>
        <v>288.71699033462488</v>
      </c>
      <c r="M62" s="133"/>
      <c r="N62" s="134">
        <f>L62-H62</f>
        <v>19.208820934624896</v>
      </c>
      <c r="O62" s="135">
        <f>IF((H62)=0,"",(N62/H62))</f>
        <v>7.1273612883012288E-2</v>
      </c>
    </row>
    <row r="63" spans="2:15" ht="13.5" thickBot="1" x14ac:dyDescent="0.25">
      <c r="B63" s="87"/>
      <c r="C63" s="88"/>
      <c r="D63" s="89"/>
      <c r="E63" s="88"/>
      <c r="F63" s="136"/>
      <c r="G63" s="137"/>
      <c r="H63" s="138"/>
      <c r="I63" s="139"/>
      <c r="J63" s="136"/>
      <c r="K63" s="91"/>
      <c r="L63" s="140"/>
      <c r="M63" s="93"/>
      <c r="N63" s="141"/>
      <c r="O63" s="96"/>
    </row>
    <row r="64" spans="2:15" x14ac:dyDescent="0.2">
      <c r="B64" s="97" t="s">
        <v>56</v>
      </c>
      <c r="C64" s="28"/>
      <c r="D64" s="28"/>
      <c r="E64" s="28"/>
      <c r="F64" s="98"/>
      <c r="G64" s="99"/>
      <c r="H64" s="100">
        <f>SUM(H47:H51,H54:H56)</f>
        <v>257.459248</v>
      </c>
      <c r="I64" s="101"/>
      <c r="J64" s="102"/>
      <c r="K64" s="103"/>
      <c r="L64" s="142">
        <f>SUM(L47:L51,L54:L56)</f>
        <v>276.28084124904854</v>
      </c>
      <c r="M64" s="105"/>
      <c r="N64" s="106">
        <f>L64-H64</f>
        <v>18.821593249048533</v>
      </c>
      <c r="O64" s="107">
        <f>IF((H64)=0,"",(N64/H64))</f>
        <v>7.3105135648685385E-2</v>
      </c>
    </row>
    <row r="65" spans="2:15" x14ac:dyDescent="0.2">
      <c r="B65" s="108" t="s">
        <v>52</v>
      </c>
      <c r="C65" s="28"/>
      <c r="D65" s="28"/>
      <c r="E65" s="28"/>
      <c r="F65" s="109">
        <v>0.13</v>
      </c>
      <c r="G65" s="120"/>
      <c r="H65" s="110">
        <f>H64*F65</f>
        <v>33.469702240000004</v>
      </c>
      <c r="I65" s="111"/>
      <c r="J65" s="143">
        <v>0.13</v>
      </c>
      <c r="K65" s="121"/>
      <c r="L65" s="114">
        <f>L64*J65</f>
        <v>35.91650936237631</v>
      </c>
      <c r="M65" s="115"/>
      <c r="N65" s="116">
        <f>L65-H65</f>
        <v>2.4468071223763062</v>
      </c>
      <c r="O65" s="117">
        <f>IF((H65)=0,"",(N65/H65))</f>
        <v>7.3105135648685288E-2</v>
      </c>
    </row>
    <row r="66" spans="2:15" x14ac:dyDescent="0.2">
      <c r="B66" s="118" t="s">
        <v>53</v>
      </c>
      <c r="C66" s="28"/>
      <c r="D66" s="28"/>
      <c r="E66" s="28"/>
      <c r="F66" s="119"/>
      <c r="G66" s="120"/>
      <c r="H66" s="110">
        <f>H64+H65</f>
        <v>290.92895024000001</v>
      </c>
      <c r="I66" s="111"/>
      <c r="J66" s="111"/>
      <c r="K66" s="121"/>
      <c r="L66" s="114">
        <f>L64+L65</f>
        <v>312.19735061142484</v>
      </c>
      <c r="M66" s="115"/>
      <c r="N66" s="116">
        <f>L66-H66</f>
        <v>21.268400371424832</v>
      </c>
      <c r="O66" s="117">
        <f>IF((H66)=0,"",(N66/H66))</f>
        <v>7.3105135648685357E-2</v>
      </c>
    </row>
    <row r="67" spans="2:15" ht="12.75" customHeight="1" x14ac:dyDescent="0.2">
      <c r="B67" s="213" t="s">
        <v>54</v>
      </c>
      <c r="C67" s="213"/>
      <c r="D67" s="213"/>
      <c r="E67" s="28"/>
      <c r="F67" s="119"/>
      <c r="G67" s="120"/>
      <c r="H67" s="122">
        <f>ROUND(-H66*10%,2)</f>
        <v>-29.09</v>
      </c>
      <c r="I67" s="111"/>
      <c r="J67" s="111"/>
      <c r="K67" s="121"/>
      <c r="L67" s="123">
        <f>ROUND(-L66*10%,2)</f>
        <v>-31.22</v>
      </c>
      <c r="M67" s="115"/>
      <c r="N67" s="124">
        <f>L67-H67</f>
        <v>-2.129999999999999</v>
      </c>
      <c r="O67" s="125">
        <f>IF((H67)=0,"",(N67/H67))</f>
        <v>7.3221038157442381E-2</v>
      </c>
    </row>
    <row r="68" spans="2:15" ht="13.5" customHeight="1" thickBot="1" x14ac:dyDescent="0.25">
      <c r="B68" s="223" t="s">
        <v>57</v>
      </c>
      <c r="C68" s="223"/>
      <c r="D68" s="223"/>
      <c r="E68" s="126"/>
      <c r="F68" s="144"/>
      <c r="G68" s="145"/>
      <c r="H68" s="146">
        <f>H66+H67</f>
        <v>261.83895024000003</v>
      </c>
      <c r="I68" s="147"/>
      <c r="J68" s="147"/>
      <c r="K68" s="148"/>
      <c r="L68" s="149">
        <f>L66+L67</f>
        <v>280.97735061142487</v>
      </c>
      <c r="M68" s="150"/>
      <c r="N68" s="151">
        <f>L68-H68</f>
        <v>19.138400371424837</v>
      </c>
      <c r="O68" s="152">
        <f>IF((H68)=0,"",(N68/H68))</f>
        <v>7.3092259016019928E-2</v>
      </c>
    </row>
    <row r="69" spans="2:15" ht="13.5" thickBot="1" x14ac:dyDescent="0.25">
      <c r="B69" s="87"/>
      <c r="C69" s="88"/>
      <c r="D69" s="89"/>
      <c r="E69" s="88"/>
      <c r="F69" s="136"/>
      <c r="G69" s="153"/>
      <c r="H69" s="138"/>
      <c r="I69" s="139"/>
      <c r="J69" s="136"/>
      <c r="K69" s="154"/>
      <c r="L69" s="140"/>
      <c r="M69" s="93"/>
      <c r="N69" s="141"/>
      <c r="O69" s="96"/>
    </row>
    <row r="70" spans="2:15" x14ac:dyDescent="0.2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155"/>
      <c r="M70" s="20"/>
      <c r="N70" s="20"/>
      <c r="O70" s="20"/>
    </row>
    <row r="71" spans="2:15" x14ac:dyDescent="0.2">
      <c r="B71" s="156" t="s">
        <v>58</v>
      </c>
      <c r="C71" s="20"/>
      <c r="D71" s="20"/>
      <c r="E71" s="20"/>
      <c r="F71" s="157">
        <f>+'[2]Bill Impacts App 2-W Residentia'!F71</f>
        <v>4.4900000000000002E-2</v>
      </c>
      <c r="G71" s="20"/>
      <c r="H71" s="20"/>
      <c r="I71" s="20"/>
      <c r="J71" s="158">
        <f>+'[2]Bill Impacts App 2-W Residentia'!J71</f>
        <v>4.9748000000000001E-2</v>
      </c>
      <c r="K71" s="20"/>
      <c r="L71" s="20"/>
      <c r="M71" s="20"/>
      <c r="N71" s="20"/>
      <c r="O71" s="20"/>
    </row>
  </sheetData>
  <mergeCells count="12">
    <mergeCell ref="B67:D67"/>
    <mergeCell ref="B68:D68"/>
    <mergeCell ref="D14:O14"/>
    <mergeCell ref="F18:H18"/>
    <mergeCell ref="J18:L18"/>
    <mergeCell ref="N18:O18"/>
    <mergeCell ref="D19:D20"/>
    <mergeCell ref="N19:N20"/>
    <mergeCell ref="O19:O20"/>
    <mergeCell ref="A3:K3"/>
    <mergeCell ref="B61:D61"/>
    <mergeCell ref="B62:D62"/>
  </mergeCells>
  <pageMargins left="0.70866141732283472" right="0.70866141732283472" top="0.74803149606299213" bottom="0.74803149606299213" header="0.31496062992125984" footer="0.31496062992125984"/>
  <pageSetup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5"/>
  <sheetViews>
    <sheetView topLeftCell="A9" zoomScale="70" zoomScaleNormal="70" workbookViewId="0">
      <selection activeCell="J39" sqref="J39"/>
    </sheetView>
  </sheetViews>
  <sheetFormatPr defaultRowHeight="12.75" x14ac:dyDescent="0.2"/>
  <cols>
    <col min="2" max="2" width="29.5703125" customWidth="1"/>
    <col min="3" max="3" width="2.28515625" customWidth="1"/>
    <col min="4" max="4" width="10.85546875" customWidth="1"/>
    <col min="5" max="5" width="2.28515625" customWidth="1"/>
    <col min="6" max="6" width="11.7109375" bestFit="1" customWidth="1"/>
    <col min="8" max="8" width="16.140625" customWidth="1"/>
    <col min="9" max="9" width="1.85546875" customWidth="1"/>
    <col min="10" max="10" width="12.85546875" bestFit="1" customWidth="1"/>
    <col min="12" max="12" width="14" bestFit="1" customWidth="1"/>
    <col min="13" max="13" width="4.140625" customWidth="1"/>
    <col min="14" max="14" width="12.7109375" bestFit="1" customWidth="1"/>
    <col min="15" max="15" width="10.85546875" bestFit="1" customWidth="1"/>
    <col min="16" max="16" width="1.5703125" customWidth="1"/>
  </cols>
  <sheetData>
    <row r="1" spans="1:20" s="2" customFormat="1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">
        <v>1</v>
      </c>
      <c r="P1"/>
      <c r="T1" s="2">
        <v>1</v>
      </c>
    </row>
    <row r="2" spans="1:20" ht="18" x14ac:dyDescent="0.25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66"/>
      <c r="M2" s="166"/>
      <c r="N2" s="3" t="s">
        <v>2</v>
      </c>
      <c r="O2" s="6">
        <v>8</v>
      </c>
      <c r="P2" s="20"/>
      <c r="Q2" s="166"/>
      <c r="R2" s="166"/>
      <c r="S2" s="166"/>
      <c r="T2" s="166"/>
    </row>
    <row r="3" spans="1:20" ht="18" x14ac:dyDescent="0.25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166"/>
      <c r="M3" s="166"/>
      <c r="N3" s="3" t="s">
        <v>3</v>
      </c>
      <c r="O3" s="6" t="s">
        <v>4</v>
      </c>
      <c r="P3" s="20"/>
      <c r="Q3" s="166"/>
      <c r="R3" s="166"/>
      <c r="S3" s="166"/>
      <c r="T3" s="166"/>
    </row>
    <row r="4" spans="1:20" ht="18" x14ac:dyDescent="0.25">
      <c r="A4" s="171"/>
      <c r="B4" s="171"/>
      <c r="C4" s="171"/>
      <c r="D4" s="171"/>
      <c r="E4" s="171"/>
      <c r="F4" s="171"/>
      <c r="G4" s="171"/>
      <c r="H4" s="171"/>
      <c r="I4" s="170"/>
      <c r="J4" s="170"/>
      <c r="K4" s="170"/>
      <c r="L4" s="166"/>
      <c r="M4" s="166"/>
      <c r="N4" s="3" t="s">
        <v>5</v>
      </c>
      <c r="O4" s="6"/>
      <c r="P4" s="20"/>
      <c r="Q4" s="166"/>
      <c r="R4" s="166"/>
      <c r="S4" s="166"/>
      <c r="T4" s="166"/>
    </row>
    <row r="5" spans="1:20" ht="15.75" x14ac:dyDescent="0.25">
      <c r="A5" s="166"/>
      <c r="B5" s="166"/>
      <c r="C5" s="169"/>
      <c r="D5" s="169"/>
      <c r="E5" s="169"/>
      <c r="F5" s="166"/>
      <c r="G5" s="166"/>
      <c r="H5" s="166"/>
      <c r="I5" s="166"/>
      <c r="J5" s="166"/>
      <c r="K5" s="166"/>
      <c r="L5" s="166"/>
      <c r="M5" s="166"/>
      <c r="N5" s="3" t="s">
        <v>6</v>
      </c>
      <c r="O5" s="9">
        <v>5</v>
      </c>
      <c r="P5" s="20"/>
      <c r="Q5" s="166"/>
      <c r="R5" s="166"/>
      <c r="S5" s="166"/>
      <c r="T5" s="166"/>
    </row>
    <row r="6" spans="1:20" x14ac:dyDescent="0.2">
      <c r="A6" s="166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8"/>
      <c r="O6" s="172"/>
      <c r="P6" s="20"/>
      <c r="Q6" s="166"/>
      <c r="R6" s="166"/>
      <c r="S6" s="166"/>
      <c r="T6" s="166"/>
    </row>
    <row r="7" spans="1:20" x14ac:dyDescent="0.2">
      <c r="A7" s="166"/>
      <c r="B7" s="166"/>
      <c r="C7" s="166"/>
      <c r="D7" s="166"/>
      <c r="E7" s="166"/>
      <c r="F7" s="166"/>
      <c r="G7" s="166"/>
      <c r="H7" s="166"/>
      <c r="I7" s="166"/>
      <c r="J7" s="10"/>
      <c r="K7" s="166"/>
      <c r="L7" s="166"/>
      <c r="M7" s="166"/>
      <c r="N7" s="168" t="s">
        <v>7</v>
      </c>
      <c r="O7" s="173">
        <v>41199</v>
      </c>
      <c r="P7" s="20"/>
      <c r="Q7" s="166"/>
      <c r="R7" s="166"/>
      <c r="S7" s="166"/>
      <c r="T7" s="166"/>
    </row>
    <row r="8" spans="1:20" x14ac:dyDescent="0.2">
      <c r="A8" s="166"/>
      <c r="B8" s="166"/>
      <c r="C8" s="166"/>
      <c r="D8" s="166"/>
      <c r="E8" s="166"/>
      <c r="F8" s="166"/>
      <c r="G8" s="166"/>
      <c r="H8" s="167" t="s">
        <v>70</v>
      </c>
      <c r="I8" s="166"/>
      <c r="J8" s="166"/>
      <c r="K8" s="166"/>
      <c r="L8" s="166"/>
      <c r="M8" s="166"/>
      <c r="N8" s="160"/>
      <c r="O8" s="20"/>
      <c r="P8" s="20"/>
      <c r="Q8" s="166"/>
      <c r="R8" s="166"/>
      <c r="S8" s="166"/>
      <c r="T8" s="166"/>
    </row>
    <row r="9" spans="1:20" x14ac:dyDescent="0.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x14ac:dyDescent="0.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4" spans="1:20" ht="15.75" x14ac:dyDescent="0.2">
      <c r="B14" s="165" t="s">
        <v>10</v>
      </c>
      <c r="C14" s="20"/>
      <c r="D14" s="224" t="s">
        <v>82</v>
      </c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</row>
    <row r="15" spans="1:20" ht="15.75" x14ac:dyDescent="0.25">
      <c r="B15" s="164"/>
      <c r="C15" s="20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</row>
    <row r="16" spans="1:20" x14ac:dyDescent="0.2">
      <c r="B16" s="19"/>
      <c r="C16" s="20"/>
      <c r="D16" s="156" t="s">
        <v>12</v>
      </c>
      <c r="E16" s="156"/>
      <c r="F16" s="162">
        <v>1095000</v>
      </c>
      <c r="G16" s="156" t="s">
        <v>13</v>
      </c>
      <c r="H16" s="20"/>
      <c r="I16" s="20"/>
      <c r="J16" s="156" t="s">
        <v>12</v>
      </c>
      <c r="K16" s="156"/>
      <c r="L16" s="162">
        <v>2500</v>
      </c>
      <c r="M16" s="156" t="s">
        <v>72</v>
      </c>
      <c r="N16" s="20"/>
      <c r="O16" s="20"/>
    </row>
    <row r="17" spans="2:15" x14ac:dyDescent="0.2">
      <c r="B17" s="1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2:15" x14ac:dyDescent="0.2">
      <c r="B18" s="19"/>
      <c r="C18" s="20"/>
      <c r="D18" s="21"/>
      <c r="E18" s="21"/>
      <c r="F18" s="217" t="s">
        <v>14</v>
      </c>
      <c r="G18" s="218"/>
      <c r="H18" s="219"/>
      <c r="I18" s="20"/>
      <c r="J18" s="217" t="s">
        <v>15</v>
      </c>
      <c r="K18" s="218"/>
      <c r="L18" s="219"/>
      <c r="M18" s="20"/>
      <c r="N18" s="217" t="s">
        <v>16</v>
      </c>
      <c r="O18" s="219"/>
    </row>
    <row r="19" spans="2:15" ht="12.75" customHeight="1" x14ac:dyDescent="0.2">
      <c r="B19" s="19"/>
      <c r="C19" s="20"/>
      <c r="D19" s="207" t="s">
        <v>17</v>
      </c>
      <c r="E19" s="22"/>
      <c r="F19" s="23" t="s">
        <v>18</v>
      </c>
      <c r="G19" s="23" t="s">
        <v>19</v>
      </c>
      <c r="H19" s="24" t="s">
        <v>20</v>
      </c>
      <c r="I19" s="20"/>
      <c r="J19" s="23" t="s">
        <v>18</v>
      </c>
      <c r="K19" s="25" t="s">
        <v>19</v>
      </c>
      <c r="L19" s="24" t="s">
        <v>20</v>
      </c>
      <c r="M19" s="20"/>
      <c r="N19" s="220" t="s">
        <v>21</v>
      </c>
      <c r="O19" s="220" t="s">
        <v>22</v>
      </c>
    </row>
    <row r="20" spans="2:15" x14ac:dyDescent="0.2">
      <c r="B20" s="19"/>
      <c r="C20" s="20"/>
      <c r="D20" s="207"/>
      <c r="E20" s="22"/>
      <c r="F20" s="26" t="s">
        <v>23</v>
      </c>
      <c r="G20" s="26"/>
      <c r="H20" s="27" t="s">
        <v>23</v>
      </c>
      <c r="I20" s="20"/>
      <c r="J20" s="26" t="s">
        <v>23</v>
      </c>
      <c r="K20" s="27"/>
      <c r="L20" s="27" t="s">
        <v>23</v>
      </c>
      <c r="M20" s="20"/>
      <c r="N20" s="221"/>
      <c r="O20" s="221"/>
    </row>
    <row r="21" spans="2:15" x14ac:dyDescent="0.2">
      <c r="B21" s="28" t="s">
        <v>24</v>
      </c>
      <c r="C21" s="28"/>
      <c r="D21" s="29" t="s">
        <v>25</v>
      </c>
      <c r="E21" s="30"/>
      <c r="F21" s="31">
        <f>+'[3]2012 Existing Rates'!$C$8</f>
        <v>131.15</v>
      </c>
      <c r="G21" s="32">
        <v>1</v>
      </c>
      <c r="H21" s="33">
        <f t="shared" ref="H21:H36" si="0">G21*F21</f>
        <v>131.15</v>
      </c>
      <c r="I21" s="34"/>
      <c r="J21" s="35">
        <f>+'[3]Distribution Rate Schedule'!$C$11</f>
        <v>160.19999999999999</v>
      </c>
      <c r="K21" s="36">
        <v>1</v>
      </c>
      <c r="L21" s="33">
        <f t="shared" ref="L21:L36" si="1">K21*J21</f>
        <v>160.19999999999999</v>
      </c>
      <c r="M21" s="34"/>
      <c r="N21" s="37">
        <f t="shared" ref="N21:N56" si="2">L21-H21</f>
        <v>29.049999999999983</v>
      </c>
      <c r="O21" s="38">
        <f t="shared" ref="O21:O42" si="3">IF((H21)=0,"",(N21/H21))</f>
        <v>0.2215020968356842</v>
      </c>
    </row>
    <row r="22" spans="2:15" hidden="1" x14ac:dyDescent="0.2">
      <c r="B22" s="28" t="s">
        <v>73</v>
      </c>
      <c r="C22" s="28"/>
      <c r="D22" s="29"/>
      <c r="E22" s="30"/>
      <c r="F22" s="40"/>
      <c r="G22" s="32">
        <v>1</v>
      </c>
      <c r="H22" s="33">
        <f t="shared" si="0"/>
        <v>0</v>
      </c>
      <c r="I22" s="34"/>
      <c r="J22" s="42"/>
      <c r="K22" s="36">
        <v>1</v>
      </c>
      <c r="L22" s="33">
        <f t="shared" si="1"/>
        <v>0</v>
      </c>
      <c r="M22" s="34"/>
      <c r="N22" s="37">
        <f t="shared" si="2"/>
        <v>0</v>
      </c>
      <c r="O22" s="38" t="str">
        <f t="shared" si="3"/>
        <v/>
      </c>
    </row>
    <row r="23" spans="2:15" hidden="1" x14ac:dyDescent="0.2">
      <c r="B23" s="41"/>
      <c r="C23" s="28"/>
      <c r="D23" s="29"/>
      <c r="E23" s="30"/>
      <c r="F23" s="40"/>
      <c r="G23" s="32">
        <v>1</v>
      </c>
      <c r="H23" s="33">
        <f t="shared" si="0"/>
        <v>0</v>
      </c>
      <c r="I23" s="34"/>
      <c r="J23" s="42"/>
      <c r="K23" s="36">
        <v>1</v>
      </c>
      <c r="L23" s="33">
        <f t="shared" si="1"/>
        <v>0</v>
      </c>
      <c r="M23" s="34"/>
      <c r="N23" s="37">
        <f t="shared" si="2"/>
        <v>0</v>
      </c>
      <c r="O23" s="38" t="str">
        <f t="shared" si="3"/>
        <v/>
      </c>
    </row>
    <row r="24" spans="2:15" hidden="1" x14ac:dyDescent="0.2">
      <c r="B24" s="41"/>
      <c r="C24" s="28"/>
      <c r="D24" s="29"/>
      <c r="E24" s="30"/>
      <c r="F24" s="40"/>
      <c r="G24" s="32">
        <v>1</v>
      </c>
      <c r="H24" s="33">
        <f t="shared" si="0"/>
        <v>0</v>
      </c>
      <c r="I24" s="34"/>
      <c r="J24" s="42"/>
      <c r="K24" s="36">
        <v>1</v>
      </c>
      <c r="L24" s="33">
        <f t="shared" si="1"/>
        <v>0</v>
      </c>
      <c r="M24" s="34"/>
      <c r="N24" s="37">
        <f t="shared" si="2"/>
        <v>0</v>
      </c>
      <c r="O24" s="38" t="str">
        <f t="shared" si="3"/>
        <v/>
      </c>
    </row>
    <row r="25" spans="2:15" hidden="1" x14ac:dyDescent="0.2">
      <c r="B25" s="41"/>
      <c r="C25" s="28"/>
      <c r="D25" s="29"/>
      <c r="E25" s="30"/>
      <c r="F25" s="40"/>
      <c r="G25" s="32">
        <v>1</v>
      </c>
      <c r="H25" s="33">
        <f t="shared" si="0"/>
        <v>0</v>
      </c>
      <c r="I25" s="34"/>
      <c r="J25" s="42"/>
      <c r="K25" s="36">
        <v>1</v>
      </c>
      <c r="L25" s="33">
        <f t="shared" si="1"/>
        <v>0</v>
      </c>
      <c r="M25" s="34"/>
      <c r="N25" s="37">
        <f t="shared" si="2"/>
        <v>0</v>
      </c>
      <c r="O25" s="38" t="str">
        <f t="shared" si="3"/>
        <v/>
      </c>
    </row>
    <row r="26" spans="2:15" hidden="1" x14ac:dyDescent="0.2">
      <c r="B26" s="41"/>
      <c r="C26" s="28"/>
      <c r="D26" s="29"/>
      <c r="E26" s="30"/>
      <c r="F26" s="40"/>
      <c r="G26" s="32">
        <v>1</v>
      </c>
      <c r="H26" s="33">
        <f t="shared" si="0"/>
        <v>0</v>
      </c>
      <c r="I26" s="34"/>
      <c r="J26" s="42"/>
      <c r="K26" s="36">
        <v>1</v>
      </c>
      <c r="L26" s="33">
        <f t="shared" si="1"/>
        <v>0</v>
      </c>
      <c r="M26" s="34"/>
      <c r="N26" s="37">
        <f t="shared" si="2"/>
        <v>0</v>
      </c>
      <c r="O26" s="38" t="str">
        <f t="shared" si="3"/>
        <v/>
      </c>
    </row>
    <row r="27" spans="2:15" x14ac:dyDescent="0.2">
      <c r="B27" s="28" t="s">
        <v>27</v>
      </c>
      <c r="C27" s="28"/>
      <c r="D27" s="29" t="s">
        <v>74</v>
      </c>
      <c r="E27" s="30"/>
      <c r="F27" s="40">
        <f>+'[3]2012 Existing Rates'!$D$8</f>
        <v>2.9144000000000001</v>
      </c>
      <c r="G27" s="32">
        <f t="shared" ref="G27:G36" si="4">+$L$16</f>
        <v>2500</v>
      </c>
      <c r="H27" s="33">
        <f t="shared" si="0"/>
        <v>7286</v>
      </c>
      <c r="I27" s="34"/>
      <c r="J27" s="42">
        <f>+'[3]Distribution Rate Schedule'!$D$11</f>
        <v>3.4933999999999998</v>
      </c>
      <c r="K27" s="32">
        <f t="shared" ref="K27:K36" si="5">+$L$16</f>
        <v>2500</v>
      </c>
      <c r="L27" s="33">
        <f t="shared" si="1"/>
        <v>8733.5</v>
      </c>
      <c r="M27" s="34"/>
      <c r="N27" s="37">
        <f t="shared" si="2"/>
        <v>1447.5</v>
      </c>
      <c r="O27" s="38">
        <f t="shared" si="3"/>
        <v>0.19866867965962118</v>
      </c>
    </row>
    <row r="28" spans="2:15" hidden="1" x14ac:dyDescent="0.2">
      <c r="B28" s="28"/>
      <c r="C28" s="28"/>
      <c r="D28" s="29"/>
      <c r="E28" s="30"/>
      <c r="F28" s="40"/>
      <c r="G28" s="32">
        <f t="shared" si="4"/>
        <v>2500</v>
      </c>
      <c r="H28" s="33">
        <f t="shared" si="0"/>
        <v>0</v>
      </c>
      <c r="I28" s="34"/>
      <c r="J28" s="42"/>
      <c r="K28" s="32">
        <f t="shared" si="5"/>
        <v>2500</v>
      </c>
      <c r="L28" s="33">
        <f t="shared" si="1"/>
        <v>0</v>
      </c>
      <c r="M28" s="34"/>
      <c r="N28" s="37">
        <f t="shared" si="2"/>
        <v>0</v>
      </c>
      <c r="O28" s="38" t="str">
        <f t="shared" si="3"/>
        <v/>
      </c>
    </row>
    <row r="29" spans="2:15" x14ac:dyDescent="0.2">
      <c r="B29" s="28" t="s">
        <v>30</v>
      </c>
      <c r="C29" s="28"/>
      <c r="D29" s="29" t="s">
        <v>74</v>
      </c>
      <c r="E29" s="30"/>
      <c r="F29" s="40">
        <f>+'[3]2012 Existing Rates'!$D$57</f>
        <v>3.7600000000000001E-2</v>
      </c>
      <c r="G29" s="32">
        <f t="shared" si="4"/>
        <v>2500</v>
      </c>
      <c r="H29" s="33">
        <f t="shared" si="0"/>
        <v>94</v>
      </c>
      <c r="I29" s="34"/>
      <c r="J29" s="42"/>
      <c r="K29" s="32">
        <f t="shared" si="5"/>
        <v>2500</v>
      </c>
      <c r="L29" s="33">
        <f t="shared" si="1"/>
        <v>0</v>
      </c>
      <c r="M29" s="34"/>
      <c r="N29" s="37">
        <f t="shared" si="2"/>
        <v>-94</v>
      </c>
      <c r="O29" s="38">
        <f t="shared" si="3"/>
        <v>-1</v>
      </c>
    </row>
    <row r="30" spans="2:15" hidden="1" x14ac:dyDescent="0.2">
      <c r="B30" s="41"/>
      <c r="C30" s="28"/>
      <c r="D30" s="29"/>
      <c r="E30" s="30"/>
      <c r="F30" s="40"/>
      <c r="G30" s="32">
        <f t="shared" si="4"/>
        <v>2500</v>
      </c>
      <c r="H30" s="33">
        <f t="shared" si="0"/>
        <v>0</v>
      </c>
      <c r="I30" s="34"/>
      <c r="J30" s="42"/>
      <c r="K30" s="32">
        <f t="shared" si="5"/>
        <v>2500</v>
      </c>
      <c r="L30" s="33">
        <f t="shared" si="1"/>
        <v>0</v>
      </c>
      <c r="M30" s="34"/>
      <c r="N30" s="37">
        <f t="shared" si="2"/>
        <v>0</v>
      </c>
      <c r="O30" s="38" t="str">
        <f t="shared" si="3"/>
        <v/>
      </c>
    </row>
    <row r="31" spans="2:15" hidden="1" x14ac:dyDescent="0.2">
      <c r="B31" s="41"/>
      <c r="C31" s="28"/>
      <c r="D31" s="29"/>
      <c r="E31" s="30"/>
      <c r="F31" s="40"/>
      <c r="G31" s="32">
        <f t="shared" si="4"/>
        <v>2500</v>
      </c>
      <c r="H31" s="33">
        <f t="shared" si="0"/>
        <v>0</v>
      </c>
      <c r="I31" s="34"/>
      <c r="J31" s="42"/>
      <c r="K31" s="32">
        <f t="shared" si="5"/>
        <v>2500</v>
      </c>
      <c r="L31" s="33">
        <f t="shared" si="1"/>
        <v>0</v>
      </c>
      <c r="M31" s="34"/>
      <c r="N31" s="37">
        <f t="shared" si="2"/>
        <v>0</v>
      </c>
      <c r="O31" s="38" t="str">
        <f t="shared" si="3"/>
        <v/>
      </c>
    </row>
    <row r="32" spans="2:15" hidden="1" x14ac:dyDescent="0.2">
      <c r="B32" s="41"/>
      <c r="C32" s="28"/>
      <c r="D32" s="29"/>
      <c r="E32" s="30"/>
      <c r="F32" s="40"/>
      <c r="G32" s="32">
        <f t="shared" si="4"/>
        <v>2500</v>
      </c>
      <c r="H32" s="33">
        <f t="shared" si="0"/>
        <v>0</v>
      </c>
      <c r="I32" s="34"/>
      <c r="J32" s="42"/>
      <c r="K32" s="32">
        <f t="shared" si="5"/>
        <v>2500</v>
      </c>
      <c r="L32" s="33">
        <f t="shared" si="1"/>
        <v>0</v>
      </c>
      <c r="M32" s="34"/>
      <c r="N32" s="37">
        <f t="shared" si="2"/>
        <v>0</v>
      </c>
      <c r="O32" s="38" t="str">
        <f t="shared" si="3"/>
        <v/>
      </c>
    </row>
    <row r="33" spans="2:15" hidden="1" x14ac:dyDescent="0.2">
      <c r="B33" s="41"/>
      <c r="C33" s="28"/>
      <c r="D33" s="29"/>
      <c r="E33" s="30"/>
      <c r="F33" s="40"/>
      <c r="G33" s="32">
        <f t="shared" si="4"/>
        <v>2500</v>
      </c>
      <c r="H33" s="33">
        <f t="shared" si="0"/>
        <v>0</v>
      </c>
      <c r="I33" s="34"/>
      <c r="J33" s="42"/>
      <c r="K33" s="32">
        <f t="shared" si="5"/>
        <v>2500</v>
      </c>
      <c r="L33" s="33">
        <f t="shared" si="1"/>
        <v>0</v>
      </c>
      <c r="M33" s="34"/>
      <c r="N33" s="37">
        <f t="shared" si="2"/>
        <v>0</v>
      </c>
      <c r="O33" s="38" t="str">
        <f t="shared" si="3"/>
        <v/>
      </c>
    </row>
    <row r="34" spans="2:15" hidden="1" x14ac:dyDescent="0.2">
      <c r="B34" s="41"/>
      <c r="C34" s="28"/>
      <c r="D34" s="29"/>
      <c r="E34" s="30"/>
      <c r="F34" s="40"/>
      <c r="G34" s="32">
        <f t="shared" si="4"/>
        <v>2500</v>
      </c>
      <c r="H34" s="33">
        <f t="shared" si="0"/>
        <v>0</v>
      </c>
      <c r="I34" s="34"/>
      <c r="J34" s="42"/>
      <c r="K34" s="32">
        <f t="shared" si="5"/>
        <v>2500</v>
      </c>
      <c r="L34" s="33">
        <f t="shared" si="1"/>
        <v>0</v>
      </c>
      <c r="M34" s="34"/>
      <c r="N34" s="37">
        <f t="shared" si="2"/>
        <v>0</v>
      </c>
      <c r="O34" s="38" t="str">
        <f t="shared" si="3"/>
        <v/>
      </c>
    </row>
    <row r="35" spans="2:15" hidden="1" x14ac:dyDescent="0.2">
      <c r="B35" s="41"/>
      <c r="C35" s="28"/>
      <c r="D35" s="29"/>
      <c r="E35" s="30"/>
      <c r="F35" s="40"/>
      <c r="G35" s="32">
        <f t="shared" si="4"/>
        <v>2500</v>
      </c>
      <c r="H35" s="33">
        <f t="shared" si="0"/>
        <v>0</v>
      </c>
      <c r="I35" s="34"/>
      <c r="J35" s="42"/>
      <c r="K35" s="32">
        <f t="shared" si="5"/>
        <v>2500</v>
      </c>
      <c r="L35" s="33">
        <f t="shared" si="1"/>
        <v>0</v>
      </c>
      <c r="M35" s="34"/>
      <c r="N35" s="37">
        <f t="shared" si="2"/>
        <v>0</v>
      </c>
      <c r="O35" s="38" t="str">
        <f t="shared" si="3"/>
        <v/>
      </c>
    </row>
    <row r="36" spans="2:15" hidden="1" x14ac:dyDescent="0.2">
      <c r="B36" s="41"/>
      <c r="C36" s="28"/>
      <c r="D36" s="29"/>
      <c r="E36" s="30"/>
      <c r="F36" s="40"/>
      <c r="G36" s="32">
        <f t="shared" si="4"/>
        <v>2500</v>
      </c>
      <c r="H36" s="33">
        <f t="shared" si="0"/>
        <v>0</v>
      </c>
      <c r="I36" s="34"/>
      <c r="J36" s="42"/>
      <c r="K36" s="32">
        <f t="shared" si="5"/>
        <v>2500</v>
      </c>
      <c r="L36" s="33">
        <f t="shared" si="1"/>
        <v>0</v>
      </c>
      <c r="M36" s="34"/>
      <c r="N36" s="37">
        <f t="shared" si="2"/>
        <v>0</v>
      </c>
      <c r="O36" s="38" t="str">
        <f t="shared" si="3"/>
        <v/>
      </c>
    </row>
    <row r="37" spans="2:15" x14ac:dyDescent="0.2">
      <c r="B37" s="45" t="s">
        <v>31</v>
      </c>
      <c r="C37" s="46"/>
      <c r="D37" s="47"/>
      <c r="E37" s="46"/>
      <c r="F37" s="48"/>
      <c r="G37" s="49"/>
      <c r="H37" s="50">
        <f>SUM(H21:H36)</f>
        <v>7511.15</v>
      </c>
      <c r="I37" s="51"/>
      <c r="J37" s="52"/>
      <c r="K37" s="53"/>
      <c r="L37" s="50">
        <f>SUM(L21:L36)</f>
        <v>8893.7000000000007</v>
      </c>
      <c r="M37" s="51"/>
      <c r="N37" s="54">
        <f t="shared" si="2"/>
        <v>1382.5500000000011</v>
      </c>
      <c r="O37" s="55">
        <f t="shared" si="3"/>
        <v>0.18406635468603358</v>
      </c>
    </row>
    <row r="38" spans="2:15" ht="25.5" x14ac:dyDescent="0.2">
      <c r="B38" s="56" t="s">
        <v>32</v>
      </c>
      <c r="C38" s="28"/>
      <c r="D38" s="29" t="s">
        <v>74</v>
      </c>
      <c r="E38" s="30"/>
      <c r="F38" s="177">
        <f>+'[3]2012 Existing Rates'!$D$21</f>
        <v>-0.7631</v>
      </c>
      <c r="G38" s="32">
        <f>+$L$16</f>
        <v>2500</v>
      </c>
      <c r="H38" s="33">
        <f>G38*F38</f>
        <v>-1907.75</v>
      </c>
      <c r="I38" s="34"/>
      <c r="J38" s="42">
        <f>[4]Sheet1!$F$22</f>
        <v>-1.2547938719804999</v>
      </c>
      <c r="K38" s="32">
        <f>+$L$16</f>
        <v>2500</v>
      </c>
      <c r="L38" s="33">
        <f t="shared" ref="L38:L43" si="6">K38*J38</f>
        <v>-3136.9846799512497</v>
      </c>
      <c r="M38" s="34"/>
      <c r="N38" s="37">
        <f t="shared" si="2"/>
        <v>-1229.2346799512497</v>
      </c>
      <c r="O38" s="38">
        <f t="shared" si="3"/>
        <v>0.64433740267396133</v>
      </c>
    </row>
    <row r="39" spans="2:15" x14ac:dyDescent="0.2">
      <c r="B39" s="175" t="s">
        <v>34</v>
      </c>
      <c r="C39" s="28"/>
      <c r="D39" s="57" t="s">
        <v>74</v>
      </c>
      <c r="E39" s="30"/>
      <c r="F39" s="40">
        <f>+'[3]2012 Existing Rates'!$D$83</f>
        <v>-0.17810000000000001</v>
      </c>
      <c r="G39" s="32">
        <f>+$L$16</f>
        <v>2500</v>
      </c>
      <c r="H39" s="33">
        <f>G39*F39</f>
        <v>-445.25</v>
      </c>
      <c r="I39" s="58"/>
      <c r="J39" s="42">
        <f>+F39</f>
        <v>-0.17810000000000001</v>
      </c>
      <c r="K39" s="32">
        <f>+$L$16</f>
        <v>2500</v>
      </c>
      <c r="L39" s="33">
        <f t="shared" si="6"/>
        <v>-445.25</v>
      </c>
      <c r="M39" s="59"/>
      <c r="N39" s="37">
        <f t="shared" si="2"/>
        <v>0</v>
      </c>
      <c r="O39" s="38">
        <f t="shared" si="3"/>
        <v>0</v>
      </c>
    </row>
    <row r="40" spans="2:15" x14ac:dyDescent="0.2">
      <c r="B40" s="175" t="s">
        <v>35</v>
      </c>
      <c r="C40" s="28"/>
      <c r="D40" s="57" t="s">
        <v>74</v>
      </c>
      <c r="E40" s="30"/>
      <c r="F40" s="40">
        <f>'[3]2012 Existing Rates'!$C$45</f>
        <v>0.13669999999999999</v>
      </c>
      <c r="G40" s="32">
        <f>+$L$16</f>
        <v>2500</v>
      </c>
      <c r="H40" s="33">
        <f>G40*F40</f>
        <v>341.74999999999994</v>
      </c>
      <c r="I40" s="58"/>
      <c r="J40" s="42"/>
      <c r="K40" s="32">
        <f>+$L$16</f>
        <v>2500</v>
      </c>
      <c r="L40" s="33">
        <f t="shared" si="6"/>
        <v>0</v>
      </c>
      <c r="M40" s="59"/>
      <c r="N40" s="37">
        <f t="shared" si="2"/>
        <v>-341.74999999999994</v>
      </c>
      <c r="O40" s="38">
        <f t="shared" si="3"/>
        <v>-1</v>
      </c>
    </row>
    <row r="41" spans="2:15" x14ac:dyDescent="0.2">
      <c r="B41" s="41"/>
      <c r="C41" s="28"/>
      <c r="D41" s="29"/>
      <c r="E41" s="30"/>
      <c r="F41" s="40"/>
      <c r="G41" s="32">
        <f>+$L$16</f>
        <v>2500</v>
      </c>
      <c r="H41" s="33">
        <f>G41*F41</f>
        <v>0</v>
      </c>
      <c r="I41" s="58"/>
      <c r="J41" s="42"/>
      <c r="K41" s="32">
        <f>+$L$16</f>
        <v>2500</v>
      </c>
      <c r="L41" s="33">
        <f t="shared" si="6"/>
        <v>0</v>
      </c>
      <c r="M41" s="59"/>
      <c r="N41" s="37">
        <f t="shared" si="2"/>
        <v>0</v>
      </c>
      <c r="O41" s="38" t="str">
        <f t="shared" si="3"/>
        <v/>
      </c>
    </row>
    <row r="42" spans="2:15" x14ac:dyDescent="0.2">
      <c r="B42" s="39" t="s">
        <v>36</v>
      </c>
      <c r="C42" s="28"/>
      <c r="D42" s="29" t="s">
        <v>74</v>
      </c>
      <c r="E42" s="30"/>
      <c r="F42" s="40">
        <f>+'[3]2012 Existing Rates'!$D$33</f>
        <v>0.21690000000000001</v>
      </c>
      <c r="G42" s="32">
        <f>+$L$16</f>
        <v>2500</v>
      </c>
      <c r="H42" s="33">
        <f>G42*F42</f>
        <v>542.25</v>
      </c>
      <c r="I42" s="34"/>
      <c r="J42" s="42">
        <f>+'[3]Distribution Rate Schedule'!$D$22</f>
        <v>0.63019999999999998</v>
      </c>
      <c r="K42" s="32">
        <f>+$L$16</f>
        <v>2500</v>
      </c>
      <c r="L42" s="33">
        <f t="shared" si="6"/>
        <v>1575.5</v>
      </c>
      <c r="M42" s="34"/>
      <c r="N42" s="37">
        <f t="shared" si="2"/>
        <v>1033.25</v>
      </c>
      <c r="O42" s="38">
        <f t="shared" si="3"/>
        <v>1.9054863992623328</v>
      </c>
    </row>
    <row r="43" spans="2:15" x14ac:dyDescent="0.2">
      <c r="B43" s="39" t="s">
        <v>37</v>
      </c>
      <c r="C43" s="28"/>
      <c r="D43" s="29" t="s">
        <v>25</v>
      </c>
      <c r="E43" s="30"/>
      <c r="F43" s="60"/>
      <c r="G43" s="61"/>
      <c r="H43" s="62"/>
      <c r="I43" s="34"/>
      <c r="J43" s="42"/>
      <c r="K43" s="32">
        <v>1</v>
      </c>
      <c r="L43" s="33">
        <f t="shared" si="6"/>
        <v>0</v>
      </c>
      <c r="M43" s="34"/>
      <c r="N43" s="37">
        <f t="shared" si="2"/>
        <v>0</v>
      </c>
      <c r="O43" s="38"/>
    </row>
    <row r="44" spans="2:15" ht="25.5" x14ac:dyDescent="0.2">
      <c r="B44" s="63" t="s">
        <v>38</v>
      </c>
      <c r="C44" s="64"/>
      <c r="D44" s="64"/>
      <c r="E44" s="64"/>
      <c r="F44" s="65"/>
      <c r="G44" s="66"/>
      <c r="H44" s="67">
        <f>SUM(H38:H42)+H37</f>
        <v>6042.15</v>
      </c>
      <c r="I44" s="51"/>
      <c r="J44" s="68"/>
      <c r="K44" s="69"/>
      <c r="L44" s="67">
        <f>SUM(L38:L42)+L37</f>
        <v>6886.965320048751</v>
      </c>
      <c r="M44" s="51"/>
      <c r="N44" s="54">
        <f t="shared" si="2"/>
        <v>844.81532004875135</v>
      </c>
      <c r="O44" s="55">
        <f t="shared" ref="O44:O56" si="7">IF((H44)=0,"",(N44/H44))</f>
        <v>0.13982031562419858</v>
      </c>
    </row>
    <row r="45" spans="2:15" x14ac:dyDescent="0.2">
      <c r="B45" s="34" t="s">
        <v>39</v>
      </c>
      <c r="C45" s="34"/>
      <c r="D45" s="70" t="s">
        <v>74</v>
      </c>
      <c r="E45" s="71"/>
      <c r="F45" s="42">
        <f>+'[5]3. Rate Classes'!$J$26</f>
        <v>1.9796</v>
      </c>
      <c r="G45" s="72">
        <f>+L16</f>
        <v>2500</v>
      </c>
      <c r="H45" s="33">
        <f>G45*F45</f>
        <v>4949</v>
      </c>
      <c r="I45" s="34"/>
      <c r="J45" s="42">
        <f>+'[5]13. Final 2013 RTS Rates'!$F$28</f>
        <v>2.7023445771487449</v>
      </c>
      <c r="K45" s="73">
        <f>+L16</f>
        <v>2500</v>
      </c>
      <c r="L45" s="33">
        <f>K45*J45</f>
        <v>6755.861442871862</v>
      </c>
      <c r="M45" s="34"/>
      <c r="N45" s="37">
        <f t="shared" si="2"/>
        <v>1806.861442871862</v>
      </c>
      <c r="O45" s="38">
        <f t="shared" si="7"/>
        <v>0.36509627053381732</v>
      </c>
    </row>
    <row r="46" spans="2:15" ht="25.5" x14ac:dyDescent="0.2">
      <c r="B46" s="74" t="s">
        <v>40</v>
      </c>
      <c r="C46" s="34"/>
      <c r="D46" s="70" t="s">
        <v>74</v>
      </c>
      <c r="E46" s="71"/>
      <c r="F46" s="42">
        <f>+'[5]3. Rate Classes'!$M$26</f>
        <v>1.5570999999999999</v>
      </c>
      <c r="G46" s="72">
        <f>G45</f>
        <v>2500</v>
      </c>
      <c r="H46" s="33">
        <f>G46*F46</f>
        <v>3892.75</v>
      </c>
      <c r="I46" s="34"/>
      <c r="J46" s="42">
        <f>+'[5]13. Final 2013 RTS Rates'!$H$28</f>
        <v>1.9298716811404859</v>
      </c>
      <c r="K46" s="73">
        <f>K45</f>
        <v>2500</v>
      </c>
      <c r="L46" s="33">
        <f>K46*J46</f>
        <v>4824.6792028512145</v>
      </c>
      <c r="M46" s="34"/>
      <c r="N46" s="37">
        <f t="shared" si="2"/>
        <v>931.92920285121454</v>
      </c>
      <c r="O46" s="38">
        <f t="shared" si="7"/>
        <v>0.23940124663829287</v>
      </c>
    </row>
    <row r="47" spans="2:15" ht="25.5" x14ac:dyDescent="0.2">
      <c r="B47" s="63" t="s">
        <v>41</v>
      </c>
      <c r="C47" s="46"/>
      <c r="D47" s="46"/>
      <c r="E47" s="46"/>
      <c r="F47" s="75"/>
      <c r="G47" s="66"/>
      <c r="H47" s="67">
        <f>SUM(H44:H46)</f>
        <v>14883.9</v>
      </c>
      <c r="I47" s="76"/>
      <c r="J47" s="77"/>
      <c r="K47" s="78"/>
      <c r="L47" s="67">
        <f>SUM(L44:L46)</f>
        <v>18467.505965771827</v>
      </c>
      <c r="M47" s="76"/>
      <c r="N47" s="54">
        <f t="shared" si="2"/>
        <v>3583.605965771827</v>
      </c>
      <c r="O47" s="55">
        <f t="shared" si="7"/>
        <v>0.24077062905366384</v>
      </c>
    </row>
    <row r="48" spans="2:15" ht="25.5" x14ac:dyDescent="0.2">
      <c r="B48" s="79" t="s">
        <v>42</v>
      </c>
      <c r="C48" s="28"/>
      <c r="D48" s="29" t="s">
        <v>28</v>
      </c>
      <c r="E48" s="30"/>
      <c r="F48" s="83">
        <v>5.1999999999999998E-3</v>
      </c>
      <c r="G48" s="72">
        <f>+$F$16*(1+$F$65)</f>
        <v>1144165.5</v>
      </c>
      <c r="H48" s="81">
        <f t="shared" ref="H48:H56" si="8">G48*F48</f>
        <v>5949.6606000000002</v>
      </c>
      <c r="I48" s="34"/>
      <c r="J48" s="80">
        <v>4.4000000000000003E-3</v>
      </c>
      <c r="K48" s="72">
        <f>+$F$16*(1+$J$65)</f>
        <v>1149474.0599999998</v>
      </c>
      <c r="L48" s="81">
        <f t="shared" ref="L48:L56" si="9">K48*J48</f>
        <v>5057.6858639999991</v>
      </c>
      <c r="M48" s="34"/>
      <c r="N48" s="37">
        <f t="shared" si="2"/>
        <v>-891.97473600000103</v>
      </c>
      <c r="O48" s="82">
        <f t="shared" si="7"/>
        <v>-0.1499202720908149</v>
      </c>
    </row>
    <row r="49" spans="2:15" ht="25.5" x14ac:dyDescent="0.2">
      <c r="B49" s="79" t="s">
        <v>43</v>
      </c>
      <c r="C49" s="28"/>
      <c r="D49" s="29" t="s">
        <v>28</v>
      </c>
      <c r="E49" s="30"/>
      <c r="F49" s="83">
        <v>1.1000000000000001E-3</v>
      </c>
      <c r="G49" s="72">
        <f>+$F$16*(1+$F$65)</f>
        <v>1144165.5</v>
      </c>
      <c r="H49" s="81">
        <f t="shared" si="8"/>
        <v>1258.58205</v>
      </c>
      <c r="I49" s="34"/>
      <c r="J49" s="80">
        <v>1.1999999999999999E-3</v>
      </c>
      <c r="K49" s="72">
        <f>+$F$16*(1+$J$65)</f>
        <v>1149474.0599999998</v>
      </c>
      <c r="L49" s="81">
        <f t="shared" si="9"/>
        <v>1379.3688719999996</v>
      </c>
      <c r="M49" s="34"/>
      <c r="N49" s="37">
        <f t="shared" si="2"/>
        <v>120.78682199999957</v>
      </c>
      <c r="O49" s="82">
        <f t="shared" si="7"/>
        <v>9.5970558296139361E-2</v>
      </c>
    </row>
    <row r="50" spans="2:15" x14ac:dyDescent="0.2">
      <c r="B50" s="28" t="s">
        <v>44</v>
      </c>
      <c r="C50" s="28"/>
      <c r="D50" s="29" t="s">
        <v>25</v>
      </c>
      <c r="E50" s="30"/>
      <c r="F50" s="83">
        <v>0.25</v>
      </c>
      <c r="G50" s="32">
        <v>1</v>
      </c>
      <c r="H50" s="81">
        <f t="shared" si="8"/>
        <v>0.25</v>
      </c>
      <c r="I50" s="34"/>
      <c r="J50" s="80">
        <v>0.25</v>
      </c>
      <c r="K50" s="36">
        <v>1</v>
      </c>
      <c r="L50" s="81">
        <f t="shared" si="9"/>
        <v>0.25</v>
      </c>
      <c r="M50" s="34"/>
      <c r="N50" s="37">
        <f t="shared" si="2"/>
        <v>0</v>
      </c>
      <c r="O50" s="82">
        <f t="shared" si="7"/>
        <v>0</v>
      </c>
    </row>
    <row r="51" spans="2:15" x14ac:dyDescent="0.2">
      <c r="B51" s="28" t="s">
        <v>45</v>
      </c>
      <c r="C51" s="28"/>
      <c r="D51" s="29" t="s">
        <v>28</v>
      </c>
      <c r="E51" s="30"/>
      <c r="F51" s="83">
        <v>7.0000000000000001E-3</v>
      </c>
      <c r="G51" s="72">
        <f>F16</f>
        <v>1095000</v>
      </c>
      <c r="H51" s="81">
        <f t="shared" si="8"/>
        <v>7665</v>
      </c>
      <c r="I51" s="34"/>
      <c r="J51" s="80">
        <v>7.0000000000000001E-3</v>
      </c>
      <c r="K51" s="73">
        <f>+F16</f>
        <v>1095000</v>
      </c>
      <c r="L51" s="81">
        <f t="shared" si="9"/>
        <v>7665</v>
      </c>
      <c r="M51" s="34"/>
      <c r="N51" s="37">
        <f t="shared" si="2"/>
        <v>0</v>
      </c>
      <c r="O51" s="82">
        <f t="shared" si="7"/>
        <v>0</v>
      </c>
    </row>
    <row r="52" spans="2:15" x14ac:dyDescent="0.2">
      <c r="B52" s="39" t="s">
        <v>46</v>
      </c>
      <c r="C52" s="28"/>
      <c r="D52" s="29"/>
      <c r="E52" s="30"/>
      <c r="F52" s="84">
        <v>7.4999999999999997E-2</v>
      </c>
      <c r="G52" s="72">
        <f>IF($T$1=1,IF($F$16&gt;=600,600,IF($F$16&lt;600,$F$16*(1+$F$65),$F$16-600)),IF($T$1=2,IF($F$16&gt;=1000,1000,IF($F$16&lt;1000,$F$16*(1+$F$65),$F$16-1000))))</f>
        <v>600</v>
      </c>
      <c r="H52" s="81">
        <f t="shared" si="8"/>
        <v>45</v>
      </c>
      <c r="I52" s="34"/>
      <c r="J52" s="83">
        <v>7.4999999999999997E-2</v>
      </c>
      <c r="K52" s="72">
        <f>IF($T$1=1,IF($F$16&gt;=600,600,IF($F$16&lt;600,$F$16*(1+$J$65),$F$16-600)),IF($T$1=2,IF($F$16&gt;=1000,1000,IF($F$16&lt;1000,$F$16*(1+$J$65),$F$16-1000))))</f>
        <v>600</v>
      </c>
      <c r="L52" s="81">
        <f t="shared" si="9"/>
        <v>45</v>
      </c>
      <c r="M52" s="34"/>
      <c r="N52" s="37">
        <f t="shared" si="2"/>
        <v>0</v>
      </c>
      <c r="O52" s="82">
        <f t="shared" si="7"/>
        <v>0</v>
      </c>
    </row>
    <row r="53" spans="2:15" x14ac:dyDescent="0.2">
      <c r="B53" s="39" t="s">
        <v>47</v>
      </c>
      <c r="C53" s="28"/>
      <c r="D53" s="29"/>
      <c r="E53" s="30"/>
      <c r="F53" s="84">
        <v>8.7999999999999995E-2</v>
      </c>
      <c r="G53" s="72">
        <f>IF($T$1=1,IF($F$16&gt;=600,$F$16*(1+$F$65)-600,IF($F$16&lt;600,0,)), IF($T$1=2,IF($F$16&gt;=1000,$F$16*(1+$F$65)-1000,IF($F$16&lt;1000,0))))</f>
        <v>1143565.5</v>
      </c>
      <c r="H53" s="81">
        <f t="shared" si="8"/>
        <v>100633.764</v>
      </c>
      <c r="I53" s="34"/>
      <c r="J53" s="83">
        <v>8.7999999999999995E-2</v>
      </c>
      <c r="K53" s="72">
        <f>IF($T$1=1,IF($F$16&gt;=600,$F$16*(1+$J$65)-600,IF($F$16&lt;600,0,)), IF($T$1=2,IF($F$16&gt;=1000,$F$16*(1+$J$65)-1000,IF($F$16&lt;1000,0))))</f>
        <v>1148874.0599999998</v>
      </c>
      <c r="L53" s="81">
        <f t="shared" si="9"/>
        <v>101100.91727999998</v>
      </c>
      <c r="M53" s="34"/>
      <c r="N53" s="37">
        <f t="shared" si="2"/>
        <v>467.15327999998408</v>
      </c>
      <c r="O53" s="82">
        <f t="shared" si="7"/>
        <v>4.6421127604844839E-3</v>
      </c>
    </row>
    <row r="54" spans="2:15" x14ac:dyDescent="0.2">
      <c r="B54" s="39" t="s">
        <v>76</v>
      </c>
      <c r="C54" s="28"/>
      <c r="D54" s="29" t="s">
        <v>28</v>
      </c>
      <c r="E54" s="30"/>
      <c r="F54" s="83">
        <v>8.0689999999999998E-2</v>
      </c>
      <c r="G54" s="85">
        <f>+($F$16*(1+$F$65))</f>
        <v>1144165.5</v>
      </c>
      <c r="H54" s="81">
        <f t="shared" si="8"/>
        <v>92322.714194999993</v>
      </c>
      <c r="I54" s="34"/>
      <c r="J54" s="83">
        <v>8.0689999999999998E-2</v>
      </c>
      <c r="K54" s="85">
        <f>+($F$16*(1+$J$65))</f>
        <v>1149474.0599999998</v>
      </c>
      <c r="L54" s="81">
        <f t="shared" si="9"/>
        <v>92751.061901399982</v>
      </c>
      <c r="M54" s="34"/>
      <c r="N54" s="37">
        <f t="shared" si="2"/>
        <v>428.34770639998897</v>
      </c>
      <c r="O54" s="82">
        <f t="shared" si="7"/>
        <v>4.639678438127931E-3</v>
      </c>
    </row>
    <row r="55" spans="2:15" x14ac:dyDescent="0.2">
      <c r="B55" s="39" t="s">
        <v>77</v>
      </c>
      <c r="C55" s="28"/>
      <c r="D55" s="29"/>
      <c r="E55" s="30"/>
      <c r="F55" s="84"/>
      <c r="G55" s="85"/>
      <c r="H55" s="81">
        <f t="shared" si="8"/>
        <v>0</v>
      </c>
      <c r="I55" s="34"/>
      <c r="J55" s="83">
        <v>0.1</v>
      </c>
      <c r="K55" s="86"/>
      <c r="L55" s="81">
        <f t="shared" si="9"/>
        <v>0</v>
      </c>
      <c r="M55" s="34"/>
      <c r="N55" s="37">
        <f t="shared" si="2"/>
        <v>0</v>
      </c>
      <c r="O55" s="82" t="str">
        <f t="shared" si="7"/>
        <v/>
      </c>
    </row>
    <row r="56" spans="2:15" ht="13.5" thickBot="1" x14ac:dyDescent="0.25">
      <c r="B56" s="19" t="s">
        <v>77</v>
      </c>
      <c r="C56" s="28"/>
      <c r="D56" s="29"/>
      <c r="E56" s="30"/>
      <c r="F56" s="84"/>
      <c r="G56" s="85"/>
      <c r="H56" s="81">
        <f t="shared" si="8"/>
        <v>0</v>
      </c>
      <c r="I56" s="34"/>
      <c r="J56" s="83">
        <v>0.11700000000000001</v>
      </c>
      <c r="K56" s="86"/>
      <c r="L56" s="81">
        <f t="shared" si="9"/>
        <v>0</v>
      </c>
      <c r="M56" s="34"/>
      <c r="N56" s="37">
        <f t="shared" si="2"/>
        <v>0</v>
      </c>
      <c r="O56" s="82" t="str">
        <f t="shared" si="7"/>
        <v/>
      </c>
    </row>
    <row r="57" spans="2:15" ht="13.5" thickBot="1" x14ac:dyDescent="0.25">
      <c r="B57" s="87"/>
      <c r="C57" s="88"/>
      <c r="D57" s="89"/>
      <c r="E57" s="88"/>
      <c r="F57" s="136"/>
      <c r="G57" s="91"/>
      <c r="H57" s="92"/>
      <c r="I57" s="139"/>
      <c r="J57" s="136"/>
      <c r="K57" s="94"/>
      <c r="L57" s="92"/>
      <c r="M57" s="93"/>
      <c r="N57" s="95"/>
      <c r="O57" s="96"/>
    </row>
    <row r="58" spans="2:15" x14ac:dyDescent="0.2">
      <c r="B58" s="97" t="s">
        <v>78</v>
      </c>
      <c r="C58" s="28"/>
      <c r="D58" s="28"/>
      <c r="E58" s="28"/>
      <c r="F58" s="98"/>
      <c r="G58" s="99"/>
      <c r="H58" s="100">
        <f>SUM(H47:H53)</f>
        <v>130436.15664999999</v>
      </c>
      <c r="I58" s="101"/>
      <c r="J58" s="102"/>
      <c r="K58" s="103"/>
      <c r="L58" s="104">
        <f>SUM(L47:L53)</f>
        <v>133715.72798177181</v>
      </c>
      <c r="M58" s="105"/>
      <c r="N58" s="106">
        <f>L58-H58</f>
        <v>3279.5713317718182</v>
      </c>
      <c r="O58" s="107">
        <f>IF((H58)=0,"",(N58/H58))</f>
        <v>2.5143115344711579E-2</v>
      </c>
    </row>
    <row r="59" spans="2:15" x14ac:dyDescent="0.2">
      <c r="B59" s="108" t="s">
        <v>52</v>
      </c>
      <c r="C59" s="28"/>
      <c r="D59" s="28"/>
      <c r="E59" s="28"/>
      <c r="F59" s="109">
        <v>0.13</v>
      </c>
      <c r="G59" s="99"/>
      <c r="H59" s="110">
        <f>H58*F59</f>
        <v>16956.7003645</v>
      </c>
      <c r="I59" s="111"/>
      <c r="J59" s="143">
        <v>0.13</v>
      </c>
      <c r="K59" s="113"/>
      <c r="L59" s="114">
        <f>L58*J59</f>
        <v>17383.044637630337</v>
      </c>
      <c r="M59" s="115"/>
      <c r="N59" s="116">
        <f>L59-H59</f>
        <v>426.34427313033666</v>
      </c>
      <c r="O59" s="117">
        <f>IF((H59)=0,"",(N59/H59))</f>
        <v>2.5143115344711597E-2</v>
      </c>
    </row>
    <row r="60" spans="2:15" x14ac:dyDescent="0.2">
      <c r="B60" s="118" t="s">
        <v>53</v>
      </c>
      <c r="C60" s="28"/>
      <c r="D60" s="28"/>
      <c r="E60" s="28"/>
      <c r="F60" s="119"/>
      <c r="G60" s="120"/>
      <c r="H60" s="110">
        <f>H58+H59</f>
        <v>147392.85701449998</v>
      </c>
      <c r="I60" s="111"/>
      <c r="J60" s="111"/>
      <c r="K60" s="121"/>
      <c r="L60" s="114">
        <f>L58+L59</f>
        <v>151098.77261940215</v>
      </c>
      <c r="M60" s="115"/>
      <c r="N60" s="116">
        <f>L60-H60</f>
        <v>3705.9156049021694</v>
      </c>
      <c r="O60" s="117">
        <f>IF((H60)=0,"",(N60/H60))</f>
        <v>2.5143115344711683E-2</v>
      </c>
    </row>
    <row r="61" spans="2:15" ht="17.45" customHeight="1" x14ac:dyDescent="0.2">
      <c r="B61" s="213" t="s">
        <v>54</v>
      </c>
      <c r="C61" s="213"/>
      <c r="D61" s="213"/>
      <c r="E61" s="28"/>
      <c r="F61" s="119"/>
      <c r="G61" s="120"/>
      <c r="H61" s="122">
        <f>ROUND(-H60*10%,2)</f>
        <v>-14739.29</v>
      </c>
      <c r="I61" s="111"/>
      <c r="J61" s="111"/>
      <c r="K61" s="121"/>
      <c r="L61" s="123">
        <f>ROUND(-L60*10%,2)</f>
        <v>-15109.88</v>
      </c>
      <c r="M61" s="115"/>
      <c r="N61" s="124">
        <f>L61-H61</f>
        <v>-370.58999999999833</v>
      </c>
      <c r="O61" s="125">
        <f>IF((H61)=0,"",(N61/H61))</f>
        <v>2.5143002139180266E-2</v>
      </c>
    </row>
    <row r="62" spans="2:15" ht="13.5" customHeight="1" thickBot="1" x14ac:dyDescent="0.25">
      <c r="B62" s="223" t="s">
        <v>57</v>
      </c>
      <c r="C62" s="223"/>
      <c r="D62" s="223"/>
      <c r="E62" s="126"/>
      <c r="F62" s="144"/>
      <c r="G62" s="128"/>
      <c r="H62" s="129">
        <f>SUM(H60:H61)</f>
        <v>132653.56701449997</v>
      </c>
      <c r="I62" s="147"/>
      <c r="J62" s="147"/>
      <c r="K62" s="131"/>
      <c r="L62" s="132">
        <f>SUM(L60:L61)</f>
        <v>135988.89261940215</v>
      </c>
      <c r="M62" s="150"/>
      <c r="N62" s="134">
        <f>L62-H62</f>
        <v>3335.3256049021729</v>
      </c>
      <c r="O62" s="135">
        <f>IF((H62)=0,"",(N62/H62))</f>
        <v>2.5143127923108154E-2</v>
      </c>
    </row>
    <row r="63" spans="2:15" ht="13.5" thickBot="1" x14ac:dyDescent="0.25">
      <c r="B63" s="87"/>
      <c r="C63" s="88"/>
      <c r="D63" s="89"/>
      <c r="E63" s="88"/>
      <c r="F63" s="136"/>
      <c r="G63" s="137"/>
      <c r="H63" s="138"/>
      <c r="I63" s="139"/>
      <c r="J63" s="136"/>
      <c r="K63" s="91"/>
      <c r="L63" s="140"/>
      <c r="M63" s="93"/>
      <c r="N63" s="141"/>
      <c r="O63" s="96"/>
    </row>
    <row r="64" spans="2:15" x14ac:dyDescent="0.2">
      <c r="B64" s="20"/>
      <c r="C64" s="20"/>
      <c r="D64" s="20"/>
      <c r="E64" s="20"/>
      <c r="F64" s="20"/>
      <c r="I64" s="20"/>
      <c r="J64" s="20"/>
    </row>
    <row r="65" spans="2:10" x14ac:dyDescent="0.2">
      <c r="B65" s="156" t="s">
        <v>58</v>
      </c>
      <c r="C65" s="20"/>
      <c r="D65" s="20"/>
      <c r="E65" s="20"/>
      <c r="F65" s="157">
        <v>4.4900000000000002E-2</v>
      </c>
      <c r="I65" s="20"/>
      <c r="J65" s="158">
        <f>+'Bill Impacts App 2-W GS&lt;50'!J71</f>
        <v>4.9748000000000001E-2</v>
      </c>
    </row>
  </sheetData>
  <mergeCells count="10">
    <mergeCell ref="B62:D62"/>
    <mergeCell ref="D14:O14"/>
    <mergeCell ref="F18:H18"/>
    <mergeCell ref="J18:L18"/>
    <mergeCell ref="N18:O18"/>
    <mergeCell ref="A3:K3"/>
    <mergeCell ref="D19:D20"/>
    <mergeCell ref="N19:N20"/>
    <mergeCell ref="O19:O20"/>
    <mergeCell ref="B61:D61"/>
  </mergeCells>
  <pageMargins left="0.70866141732283472" right="0.70866141732283472" top="0.74803149606299213" bottom="0.74803149606299213" header="0.31496062992125984" footer="0.31496062992125984"/>
  <pageSetup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2"/>
  <sheetViews>
    <sheetView topLeftCell="A6" zoomScale="70" zoomScaleNormal="70" workbookViewId="0">
      <selection activeCell="J38" sqref="J38"/>
    </sheetView>
  </sheetViews>
  <sheetFormatPr defaultRowHeight="12.75" x14ac:dyDescent="0.2"/>
  <cols>
    <col min="2" max="2" width="28.42578125" customWidth="1"/>
    <col min="3" max="3" width="1.85546875" customWidth="1"/>
    <col min="4" max="4" width="11.28515625" customWidth="1"/>
    <col min="5" max="5" width="1.7109375" customWidth="1"/>
    <col min="6" max="6" width="12.85546875" bestFit="1" customWidth="1"/>
    <col min="8" max="8" width="16" customWidth="1"/>
    <col min="9" max="9" width="1.85546875" customWidth="1"/>
    <col min="10" max="10" width="12.85546875" bestFit="1" customWidth="1"/>
    <col min="12" max="12" width="16" customWidth="1"/>
    <col min="13" max="13" width="3.85546875" customWidth="1"/>
    <col min="14" max="14" width="14.5703125" customWidth="1"/>
    <col min="16" max="16" width="1.7109375" customWidth="1"/>
  </cols>
  <sheetData>
    <row r="1" spans="1:20" s="2" customFormat="1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">
        <v>1</v>
      </c>
      <c r="P1"/>
    </row>
    <row r="2" spans="1:20" ht="18" x14ac:dyDescent="0.25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66"/>
      <c r="M2" s="166"/>
      <c r="N2" s="3" t="s">
        <v>2</v>
      </c>
      <c r="O2" s="6">
        <v>8</v>
      </c>
      <c r="P2" s="20"/>
      <c r="Q2" s="166"/>
      <c r="R2" s="166"/>
      <c r="S2" s="166"/>
      <c r="T2" s="166"/>
    </row>
    <row r="3" spans="1:20" ht="18" x14ac:dyDescent="0.25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166"/>
      <c r="M3" s="166"/>
      <c r="N3" s="3" t="s">
        <v>3</v>
      </c>
      <c r="O3" s="6" t="s">
        <v>4</v>
      </c>
      <c r="P3" s="20"/>
      <c r="Q3" s="166"/>
      <c r="R3" s="166"/>
      <c r="S3" s="166"/>
      <c r="T3" s="166"/>
    </row>
    <row r="4" spans="1:20" ht="18" x14ac:dyDescent="0.25">
      <c r="A4" s="171"/>
      <c r="B4" s="171"/>
      <c r="C4" s="171"/>
      <c r="D4" s="171"/>
      <c r="E4" s="171"/>
      <c r="F4" s="171"/>
      <c r="G4" s="171"/>
      <c r="H4" s="171"/>
      <c r="I4" s="170"/>
      <c r="J4" s="170"/>
      <c r="K4" s="170"/>
      <c r="L4" s="166"/>
      <c r="M4" s="166"/>
      <c r="N4" s="3" t="s">
        <v>5</v>
      </c>
      <c r="O4" s="6"/>
      <c r="P4" s="20"/>
      <c r="Q4" s="166"/>
      <c r="R4" s="166"/>
      <c r="S4" s="166"/>
      <c r="T4" s="166"/>
    </row>
    <row r="5" spans="1:20" ht="15.75" x14ac:dyDescent="0.25">
      <c r="A5" s="166"/>
      <c r="B5" s="166"/>
      <c r="C5" s="169"/>
      <c r="D5" s="169"/>
      <c r="E5" s="169"/>
      <c r="F5" s="166"/>
      <c r="G5" s="166"/>
      <c r="H5" s="166"/>
      <c r="I5" s="166"/>
      <c r="J5" s="166"/>
      <c r="K5" s="166"/>
      <c r="L5" s="166"/>
      <c r="M5" s="166"/>
      <c r="N5" s="3" t="s">
        <v>6</v>
      </c>
      <c r="O5" s="9">
        <v>6</v>
      </c>
      <c r="P5" s="20"/>
      <c r="Q5" s="166"/>
      <c r="R5" s="166"/>
      <c r="S5" s="166"/>
      <c r="T5" s="166"/>
    </row>
    <row r="6" spans="1:20" x14ac:dyDescent="0.2">
      <c r="A6" s="166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8"/>
      <c r="O6" s="172"/>
      <c r="P6" s="20"/>
      <c r="Q6" s="166"/>
      <c r="R6" s="166"/>
      <c r="S6" s="166"/>
      <c r="T6" s="166"/>
    </row>
    <row r="7" spans="1:20" x14ac:dyDescent="0.2">
      <c r="A7" s="166"/>
      <c r="B7" s="166"/>
      <c r="C7" s="166"/>
      <c r="D7" s="166"/>
      <c r="E7" s="166"/>
      <c r="F7" s="166"/>
      <c r="G7" s="166"/>
      <c r="H7" s="166"/>
      <c r="I7" s="166"/>
      <c r="J7" s="10"/>
      <c r="K7" s="166"/>
      <c r="L7" s="166"/>
      <c r="M7" s="166"/>
      <c r="N7" s="168" t="s">
        <v>7</v>
      </c>
      <c r="O7" s="173">
        <v>41199</v>
      </c>
      <c r="P7" s="20"/>
      <c r="Q7" s="166"/>
      <c r="R7" s="166"/>
      <c r="S7" s="166"/>
      <c r="T7" s="166"/>
    </row>
    <row r="8" spans="1:20" x14ac:dyDescent="0.2">
      <c r="A8" s="166"/>
      <c r="B8" s="166"/>
      <c r="C8" s="166"/>
      <c r="D8" s="166"/>
      <c r="E8" s="166"/>
      <c r="F8" s="166"/>
      <c r="G8" s="166"/>
      <c r="H8" s="167" t="s">
        <v>70</v>
      </c>
      <c r="I8" s="166"/>
      <c r="J8" s="166"/>
      <c r="K8" s="166"/>
      <c r="L8" s="166"/>
      <c r="M8" s="166"/>
      <c r="N8" s="160"/>
      <c r="O8" s="20"/>
      <c r="P8" s="20"/>
      <c r="Q8" s="166"/>
      <c r="R8" s="166"/>
      <c r="S8" s="166"/>
      <c r="T8" s="166"/>
    </row>
    <row r="9" spans="1:20" x14ac:dyDescent="0.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1" spans="1:20" ht="15.75" x14ac:dyDescent="0.2">
      <c r="B11" s="165" t="s">
        <v>10</v>
      </c>
      <c r="C11" s="20"/>
      <c r="D11" s="224" t="s">
        <v>71</v>
      </c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</row>
    <row r="12" spans="1:20" ht="15.75" x14ac:dyDescent="0.25">
      <c r="B12" s="164"/>
      <c r="C12" s="20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</row>
    <row r="13" spans="1:20" x14ac:dyDescent="0.2">
      <c r="B13" s="19"/>
      <c r="C13" s="20"/>
      <c r="D13" s="156" t="s">
        <v>12</v>
      </c>
      <c r="E13" s="156"/>
      <c r="F13" s="174">
        <v>1600000</v>
      </c>
      <c r="G13" s="156" t="s">
        <v>13</v>
      </c>
      <c r="H13" s="20"/>
      <c r="I13" s="20"/>
      <c r="J13" s="156" t="s">
        <v>12</v>
      </c>
      <c r="K13" s="156"/>
      <c r="L13" s="162">
        <v>3500</v>
      </c>
      <c r="M13" s="156" t="s">
        <v>72</v>
      </c>
      <c r="N13" s="20"/>
      <c r="O13" s="20"/>
    </row>
    <row r="14" spans="1:20" x14ac:dyDescent="0.2"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20" x14ac:dyDescent="0.2">
      <c r="B15" s="19"/>
      <c r="C15" s="20"/>
      <c r="D15" s="21"/>
      <c r="E15" s="21"/>
      <c r="F15" s="217" t="s">
        <v>14</v>
      </c>
      <c r="G15" s="218"/>
      <c r="H15" s="219"/>
      <c r="I15" s="20"/>
      <c r="J15" s="217" t="s">
        <v>15</v>
      </c>
      <c r="K15" s="218"/>
      <c r="L15" s="219"/>
      <c r="M15" s="20"/>
      <c r="N15" s="217" t="s">
        <v>16</v>
      </c>
      <c r="O15" s="219"/>
    </row>
    <row r="16" spans="1:20" ht="12.75" customHeight="1" x14ac:dyDescent="0.2">
      <c r="B16" s="19"/>
      <c r="C16" s="20"/>
      <c r="D16" s="207" t="s">
        <v>17</v>
      </c>
      <c r="E16" s="22"/>
      <c r="F16" s="23" t="s">
        <v>18</v>
      </c>
      <c r="G16" s="23" t="s">
        <v>19</v>
      </c>
      <c r="H16" s="24" t="s">
        <v>20</v>
      </c>
      <c r="I16" s="20"/>
      <c r="J16" s="23" t="s">
        <v>18</v>
      </c>
      <c r="K16" s="25" t="s">
        <v>19</v>
      </c>
      <c r="L16" s="24" t="s">
        <v>20</v>
      </c>
      <c r="M16" s="20"/>
      <c r="N16" s="220" t="s">
        <v>21</v>
      </c>
      <c r="O16" s="220" t="s">
        <v>22</v>
      </c>
    </row>
    <row r="17" spans="2:15" x14ac:dyDescent="0.2">
      <c r="B17" s="19"/>
      <c r="C17" s="20"/>
      <c r="D17" s="207"/>
      <c r="E17" s="22"/>
      <c r="F17" s="26" t="s">
        <v>23</v>
      </c>
      <c r="G17" s="26"/>
      <c r="H17" s="27" t="s">
        <v>23</v>
      </c>
      <c r="I17" s="20"/>
      <c r="J17" s="26" t="s">
        <v>23</v>
      </c>
      <c r="K17" s="27"/>
      <c r="L17" s="27" t="s">
        <v>23</v>
      </c>
      <c r="M17" s="20"/>
      <c r="N17" s="221"/>
      <c r="O17" s="221"/>
    </row>
    <row r="18" spans="2:15" x14ac:dyDescent="0.2">
      <c r="B18" s="28" t="s">
        <v>24</v>
      </c>
      <c r="C18" s="28"/>
      <c r="D18" s="29" t="s">
        <v>25</v>
      </c>
      <c r="E18" s="30"/>
      <c r="F18" s="31">
        <f>+'[3]2012 Existing Rates'!$C$9</f>
        <v>561.62</v>
      </c>
      <c r="G18" s="32">
        <v>1</v>
      </c>
      <c r="H18" s="33">
        <f>G18*F18</f>
        <v>561.62</v>
      </c>
      <c r="I18" s="34"/>
      <c r="J18" s="35">
        <f>+'[3]Distribution Rate Schedule'!$C$12</f>
        <v>645.57000000000005</v>
      </c>
      <c r="K18" s="36">
        <v>1</v>
      </c>
      <c r="L18" s="33">
        <f>K18*J18</f>
        <v>645.57000000000005</v>
      </c>
      <c r="M18" s="34"/>
      <c r="N18" s="37">
        <f>L18-H18</f>
        <v>83.950000000000045</v>
      </c>
      <c r="O18" s="38">
        <f>IF((H18)=0,"",(N18/H18))</f>
        <v>0.14947829493251671</v>
      </c>
    </row>
    <row r="19" spans="2:15" hidden="1" x14ac:dyDescent="0.2">
      <c r="B19" s="28" t="s">
        <v>73</v>
      </c>
      <c r="C19" s="28"/>
      <c r="D19" s="29"/>
      <c r="E19" s="30"/>
      <c r="F19" s="40"/>
      <c r="G19" s="32">
        <v>1</v>
      </c>
      <c r="H19" s="33">
        <f t="shared" ref="H19:H33" si="0">G19*F19</f>
        <v>0</v>
      </c>
      <c r="I19" s="34"/>
      <c r="J19" s="42"/>
      <c r="K19" s="36">
        <v>1</v>
      </c>
      <c r="L19" s="33">
        <f>K19*J19</f>
        <v>0</v>
      </c>
      <c r="M19" s="34"/>
      <c r="N19" s="37">
        <f>L19-H19</f>
        <v>0</v>
      </c>
      <c r="O19" s="38" t="str">
        <f>IF((H19)=0,"",(N19/H19))</f>
        <v/>
      </c>
    </row>
    <row r="20" spans="2:15" hidden="1" x14ac:dyDescent="0.2">
      <c r="B20" s="41"/>
      <c r="C20" s="28"/>
      <c r="D20" s="29"/>
      <c r="E20" s="30"/>
      <c r="F20" s="40"/>
      <c r="G20" s="32">
        <v>1</v>
      </c>
      <c r="H20" s="33">
        <f t="shared" si="0"/>
        <v>0</v>
      </c>
      <c r="I20" s="34"/>
      <c r="J20" s="42"/>
      <c r="K20" s="36">
        <v>1</v>
      </c>
      <c r="L20" s="33">
        <f t="shared" ref="L20:L33" si="1">K20*J20</f>
        <v>0</v>
      </c>
      <c r="M20" s="34"/>
      <c r="N20" s="37">
        <f t="shared" ref="N20:N55" si="2">L20-H20</f>
        <v>0</v>
      </c>
      <c r="O20" s="38" t="str">
        <f t="shared" ref="O20:O34" si="3">IF((H20)=0,"",(N20/H20))</f>
        <v/>
      </c>
    </row>
    <row r="21" spans="2:15" hidden="1" x14ac:dyDescent="0.2">
      <c r="B21" s="41"/>
      <c r="C21" s="28"/>
      <c r="D21" s="29"/>
      <c r="E21" s="30"/>
      <c r="F21" s="40"/>
      <c r="G21" s="32">
        <v>1</v>
      </c>
      <c r="H21" s="33">
        <f t="shared" si="0"/>
        <v>0</v>
      </c>
      <c r="I21" s="34"/>
      <c r="J21" s="42"/>
      <c r="K21" s="36">
        <v>1</v>
      </c>
      <c r="L21" s="33">
        <f t="shared" si="1"/>
        <v>0</v>
      </c>
      <c r="M21" s="34"/>
      <c r="N21" s="37">
        <f t="shared" si="2"/>
        <v>0</v>
      </c>
      <c r="O21" s="38" t="str">
        <f t="shared" si="3"/>
        <v/>
      </c>
    </row>
    <row r="22" spans="2:15" hidden="1" x14ac:dyDescent="0.2">
      <c r="B22" s="41"/>
      <c r="C22" s="28"/>
      <c r="D22" s="29"/>
      <c r="E22" s="30"/>
      <c r="F22" s="40"/>
      <c r="G22" s="32">
        <v>1</v>
      </c>
      <c r="H22" s="33">
        <f t="shared" si="0"/>
        <v>0</v>
      </c>
      <c r="I22" s="34"/>
      <c r="J22" s="42"/>
      <c r="K22" s="36">
        <v>1</v>
      </c>
      <c r="L22" s="33">
        <f t="shared" si="1"/>
        <v>0</v>
      </c>
      <c r="M22" s="34"/>
      <c r="N22" s="37">
        <f t="shared" si="2"/>
        <v>0</v>
      </c>
      <c r="O22" s="38" t="str">
        <f t="shared" si="3"/>
        <v/>
      </c>
    </row>
    <row r="23" spans="2:15" hidden="1" x14ac:dyDescent="0.2">
      <c r="B23" s="41"/>
      <c r="C23" s="28"/>
      <c r="D23" s="29"/>
      <c r="E23" s="30"/>
      <c r="F23" s="40"/>
      <c r="G23" s="32">
        <v>1</v>
      </c>
      <c r="H23" s="33">
        <f t="shared" si="0"/>
        <v>0</v>
      </c>
      <c r="I23" s="34"/>
      <c r="J23" s="42"/>
      <c r="K23" s="36">
        <v>1</v>
      </c>
      <c r="L23" s="33">
        <f t="shared" si="1"/>
        <v>0</v>
      </c>
      <c r="M23" s="34"/>
      <c r="N23" s="37">
        <f t="shared" si="2"/>
        <v>0</v>
      </c>
      <c r="O23" s="38" t="str">
        <f t="shared" si="3"/>
        <v/>
      </c>
    </row>
    <row r="24" spans="2:15" x14ac:dyDescent="0.2">
      <c r="B24" s="28" t="s">
        <v>27</v>
      </c>
      <c r="C24" s="28"/>
      <c r="D24" s="29" t="s">
        <v>74</v>
      </c>
      <c r="E24" s="30"/>
      <c r="F24" s="40">
        <f>+'[3]2012 Existing Rates'!$D$9</f>
        <v>2.4754</v>
      </c>
      <c r="G24" s="32">
        <f>+$L$13</f>
        <v>3500</v>
      </c>
      <c r="H24" s="33">
        <f t="shared" si="0"/>
        <v>8663.9</v>
      </c>
      <c r="I24" s="34"/>
      <c r="J24" s="42">
        <f>+'[3]Distribution Rate Schedule'!$D$12</f>
        <v>2.7557</v>
      </c>
      <c r="K24" s="32">
        <f>+$L$13</f>
        <v>3500</v>
      </c>
      <c r="L24" s="33">
        <f t="shared" si="1"/>
        <v>9644.9500000000007</v>
      </c>
      <c r="M24" s="34"/>
      <c r="N24" s="37">
        <f t="shared" si="2"/>
        <v>981.05000000000109</v>
      </c>
      <c r="O24" s="38">
        <f t="shared" si="3"/>
        <v>0.1132342247717542</v>
      </c>
    </row>
    <row r="25" spans="2:15" hidden="1" x14ac:dyDescent="0.2">
      <c r="B25" s="28"/>
      <c r="C25" s="28"/>
      <c r="D25" s="29"/>
      <c r="E25" s="30"/>
      <c r="F25" s="40"/>
      <c r="G25" s="32">
        <f t="shared" ref="G25:G33" si="4">+$L$13</f>
        <v>3500</v>
      </c>
      <c r="H25" s="33">
        <f t="shared" si="0"/>
        <v>0</v>
      </c>
      <c r="I25" s="34"/>
      <c r="J25" s="42"/>
      <c r="K25" s="32">
        <f t="shared" ref="K25:K33" si="5">+$L$13</f>
        <v>3500</v>
      </c>
      <c r="L25" s="33">
        <f t="shared" si="1"/>
        <v>0</v>
      </c>
      <c r="M25" s="34"/>
      <c r="N25" s="37">
        <f t="shared" si="2"/>
        <v>0</v>
      </c>
      <c r="O25" s="38" t="str">
        <f t="shared" si="3"/>
        <v/>
      </c>
    </row>
    <row r="26" spans="2:15" hidden="1" x14ac:dyDescent="0.2">
      <c r="B26" s="28" t="s">
        <v>30</v>
      </c>
      <c r="C26" s="28"/>
      <c r="D26" s="29" t="s">
        <v>74</v>
      </c>
      <c r="E26" s="30"/>
      <c r="F26" s="40">
        <f>+'[3]2012 Existing Rates'!$D$58</f>
        <v>0</v>
      </c>
      <c r="G26" s="32">
        <f t="shared" si="4"/>
        <v>3500</v>
      </c>
      <c r="H26" s="33">
        <f t="shared" si="0"/>
        <v>0</v>
      </c>
      <c r="I26" s="34"/>
      <c r="J26" s="42"/>
      <c r="K26" s="32">
        <f t="shared" si="5"/>
        <v>3500</v>
      </c>
      <c r="L26" s="33">
        <f t="shared" si="1"/>
        <v>0</v>
      </c>
      <c r="M26" s="34"/>
      <c r="N26" s="37">
        <f t="shared" si="2"/>
        <v>0</v>
      </c>
      <c r="O26" s="38" t="str">
        <f t="shared" si="3"/>
        <v/>
      </c>
    </row>
    <row r="27" spans="2:15" hidden="1" x14ac:dyDescent="0.2">
      <c r="B27" s="41"/>
      <c r="C27" s="28"/>
      <c r="D27" s="29"/>
      <c r="E27" s="30"/>
      <c r="F27" s="40"/>
      <c r="G27" s="32">
        <f t="shared" si="4"/>
        <v>3500</v>
      </c>
      <c r="H27" s="33">
        <f>G27*F27</f>
        <v>0</v>
      </c>
      <c r="I27" s="34"/>
      <c r="J27" s="42"/>
      <c r="K27" s="32">
        <f t="shared" si="5"/>
        <v>3500</v>
      </c>
      <c r="L27" s="33">
        <f>K27*J27</f>
        <v>0</v>
      </c>
      <c r="M27" s="34"/>
      <c r="N27" s="37">
        <f>L27-H27</f>
        <v>0</v>
      </c>
      <c r="O27" s="38" t="str">
        <f>IF((H27)=0,"",(N27/H27))</f>
        <v/>
      </c>
    </row>
    <row r="28" spans="2:15" hidden="1" x14ac:dyDescent="0.2">
      <c r="B28" s="41"/>
      <c r="C28" s="28"/>
      <c r="D28" s="29"/>
      <c r="E28" s="30"/>
      <c r="F28" s="40"/>
      <c r="G28" s="32">
        <f t="shared" si="4"/>
        <v>3500</v>
      </c>
      <c r="H28" s="33">
        <f>G28*F28</f>
        <v>0</v>
      </c>
      <c r="I28" s="34"/>
      <c r="J28" s="42"/>
      <c r="K28" s="32">
        <f t="shared" si="5"/>
        <v>3500</v>
      </c>
      <c r="L28" s="33">
        <f>K28*J28</f>
        <v>0</v>
      </c>
      <c r="M28" s="34"/>
      <c r="N28" s="37">
        <f>L28-H28</f>
        <v>0</v>
      </c>
      <c r="O28" s="38" t="str">
        <f>IF((H28)=0,"",(N28/H28))</f>
        <v/>
      </c>
    </row>
    <row r="29" spans="2:15" hidden="1" x14ac:dyDescent="0.2">
      <c r="B29" s="41"/>
      <c r="C29" s="28"/>
      <c r="D29" s="29"/>
      <c r="E29" s="30"/>
      <c r="F29" s="40"/>
      <c r="G29" s="32">
        <f t="shared" si="4"/>
        <v>3500</v>
      </c>
      <c r="H29" s="33">
        <f>G29*F29</f>
        <v>0</v>
      </c>
      <c r="I29" s="34"/>
      <c r="J29" s="42"/>
      <c r="K29" s="32">
        <f t="shared" si="5"/>
        <v>3500</v>
      </c>
      <c r="L29" s="33">
        <f>K29*J29</f>
        <v>0</v>
      </c>
      <c r="M29" s="34"/>
      <c r="N29" s="37">
        <f>L29-H29</f>
        <v>0</v>
      </c>
      <c r="O29" s="38" t="str">
        <f>IF((H29)=0,"",(N29/H29))</f>
        <v/>
      </c>
    </row>
    <row r="30" spans="2:15" hidden="1" x14ac:dyDescent="0.2">
      <c r="B30" s="41"/>
      <c r="C30" s="28"/>
      <c r="D30" s="29"/>
      <c r="E30" s="30"/>
      <c r="F30" s="40"/>
      <c r="G30" s="32">
        <f t="shared" si="4"/>
        <v>3500</v>
      </c>
      <c r="H30" s="33">
        <f t="shared" si="0"/>
        <v>0</v>
      </c>
      <c r="I30" s="34"/>
      <c r="J30" s="42"/>
      <c r="K30" s="32">
        <f t="shared" si="5"/>
        <v>3500</v>
      </c>
      <c r="L30" s="33">
        <f t="shared" si="1"/>
        <v>0</v>
      </c>
      <c r="M30" s="34"/>
      <c r="N30" s="37">
        <f t="shared" si="2"/>
        <v>0</v>
      </c>
      <c r="O30" s="38" t="str">
        <f t="shared" si="3"/>
        <v/>
      </c>
    </row>
    <row r="31" spans="2:15" hidden="1" x14ac:dyDescent="0.2">
      <c r="B31" s="41"/>
      <c r="C31" s="28"/>
      <c r="D31" s="29"/>
      <c r="E31" s="30"/>
      <c r="F31" s="40"/>
      <c r="G31" s="32">
        <f t="shared" si="4"/>
        <v>3500</v>
      </c>
      <c r="H31" s="33">
        <f t="shared" si="0"/>
        <v>0</v>
      </c>
      <c r="I31" s="34"/>
      <c r="J31" s="42"/>
      <c r="K31" s="32">
        <f t="shared" si="5"/>
        <v>3500</v>
      </c>
      <c r="L31" s="33">
        <f t="shared" si="1"/>
        <v>0</v>
      </c>
      <c r="M31" s="34"/>
      <c r="N31" s="37">
        <f t="shared" si="2"/>
        <v>0</v>
      </c>
      <c r="O31" s="38" t="str">
        <f t="shared" si="3"/>
        <v/>
      </c>
    </row>
    <row r="32" spans="2:15" hidden="1" x14ac:dyDescent="0.2">
      <c r="B32" s="41"/>
      <c r="C32" s="28"/>
      <c r="D32" s="29"/>
      <c r="E32" s="30"/>
      <c r="F32" s="40"/>
      <c r="G32" s="32">
        <f t="shared" si="4"/>
        <v>3500</v>
      </c>
      <c r="H32" s="33">
        <f t="shared" si="0"/>
        <v>0</v>
      </c>
      <c r="I32" s="34"/>
      <c r="J32" s="42"/>
      <c r="K32" s="32">
        <f t="shared" si="5"/>
        <v>3500</v>
      </c>
      <c r="L32" s="33">
        <f t="shared" si="1"/>
        <v>0</v>
      </c>
      <c r="M32" s="34"/>
      <c r="N32" s="37">
        <f t="shared" si="2"/>
        <v>0</v>
      </c>
      <c r="O32" s="38" t="str">
        <f t="shared" si="3"/>
        <v/>
      </c>
    </row>
    <row r="33" spans="2:15" hidden="1" x14ac:dyDescent="0.2">
      <c r="B33" s="41"/>
      <c r="C33" s="28"/>
      <c r="D33" s="29"/>
      <c r="E33" s="30"/>
      <c r="F33" s="40"/>
      <c r="G33" s="32">
        <f t="shared" si="4"/>
        <v>3500</v>
      </c>
      <c r="H33" s="33">
        <f t="shared" si="0"/>
        <v>0</v>
      </c>
      <c r="I33" s="34"/>
      <c r="J33" s="42"/>
      <c r="K33" s="32">
        <f t="shared" si="5"/>
        <v>3500</v>
      </c>
      <c r="L33" s="33">
        <f t="shared" si="1"/>
        <v>0</v>
      </c>
      <c r="M33" s="34"/>
      <c r="N33" s="37">
        <f t="shared" si="2"/>
        <v>0</v>
      </c>
      <c r="O33" s="38" t="str">
        <f t="shared" si="3"/>
        <v/>
      </c>
    </row>
    <row r="34" spans="2:15" x14ac:dyDescent="0.2">
      <c r="B34" s="45" t="s">
        <v>31</v>
      </c>
      <c r="C34" s="46"/>
      <c r="D34" s="47"/>
      <c r="E34" s="46"/>
      <c r="F34" s="48"/>
      <c r="G34" s="49"/>
      <c r="H34" s="50">
        <f>SUM(H18:H33)</f>
        <v>9225.52</v>
      </c>
      <c r="I34" s="51"/>
      <c r="J34" s="52"/>
      <c r="K34" s="53"/>
      <c r="L34" s="50">
        <f>SUM(L18:L33)</f>
        <v>10290.52</v>
      </c>
      <c r="M34" s="51"/>
      <c r="N34" s="54">
        <f t="shared" si="2"/>
        <v>1065</v>
      </c>
      <c r="O34" s="55">
        <f t="shared" si="3"/>
        <v>0.11544064724806839</v>
      </c>
    </row>
    <row r="35" spans="2:15" ht="25.5" x14ac:dyDescent="0.2">
      <c r="B35" s="56" t="s">
        <v>32</v>
      </c>
      <c r="C35" s="28"/>
      <c r="D35" s="29" t="s">
        <v>74</v>
      </c>
      <c r="E35" s="30"/>
      <c r="F35" s="40">
        <f>+'[3]2012 Existing Rates'!$D$22</f>
        <v>-0.9708</v>
      </c>
      <c r="G35" s="32">
        <f>+$L$13</f>
        <v>3500</v>
      </c>
      <c r="H35" s="33">
        <f>G35*F35</f>
        <v>-3397.8</v>
      </c>
      <c r="I35" s="34"/>
      <c r="J35" s="42">
        <f>[4]Sheet1!$F$23</f>
        <v>-1.412625686337853</v>
      </c>
      <c r="K35" s="32">
        <f>+$L$13</f>
        <v>3500</v>
      </c>
      <c r="L35" s="33">
        <f t="shared" ref="L35:L40" si="6">K35*J35</f>
        <v>-4944.1899021824856</v>
      </c>
      <c r="M35" s="34"/>
      <c r="N35" s="37">
        <f t="shared" si="2"/>
        <v>-1546.3899021824855</v>
      </c>
      <c r="O35" s="38">
        <f>IF((H35)=0,"",(N35/H35))</f>
        <v>0.45511504567145961</v>
      </c>
    </row>
    <row r="36" spans="2:15" x14ac:dyDescent="0.2">
      <c r="B36" s="175" t="s">
        <v>34</v>
      </c>
      <c r="C36" s="28"/>
      <c r="D36" s="57" t="s">
        <v>74</v>
      </c>
      <c r="E36" s="30"/>
      <c r="F36" s="40">
        <f>+'[3]2012 Existing Rates'!$D$84</f>
        <v>-0.1133</v>
      </c>
      <c r="G36" s="32">
        <f>+$L$13</f>
        <v>3500</v>
      </c>
      <c r="H36" s="33">
        <f>G36*F36</f>
        <v>-396.55</v>
      </c>
      <c r="I36" s="58"/>
      <c r="J36" s="42">
        <f>+F36</f>
        <v>-0.1133</v>
      </c>
      <c r="K36" s="32">
        <f>+$L$13</f>
        <v>3500</v>
      </c>
      <c r="L36" s="33">
        <f t="shared" si="6"/>
        <v>-396.55</v>
      </c>
      <c r="M36" s="59"/>
      <c r="N36" s="37">
        <f t="shared" si="2"/>
        <v>0</v>
      </c>
      <c r="O36" s="38">
        <f>IF((H36)=0,"",(N36/H36))</f>
        <v>0</v>
      </c>
    </row>
    <row r="37" spans="2:15" x14ac:dyDescent="0.2">
      <c r="B37" s="175" t="s">
        <v>75</v>
      </c>
      <c r="C37" s="28"/>
      <c r="D37" s="57" t="s">
        <v>74</v>
      </c>
      <c r="E37" s="30"/>
      <c r="F37" s="176"/>
      <c r="G37" s="32">
        <f>+$L$13</f>
        <v>3500</v>
      </c>
      <c r="H37" s="33">
        <f>G37*F37</f>
        <v>0</v>
      </c>
      <c r="I37" s="58"/>
      <c r="J37" s="42">
        <f>[4]Sheet1!$F$50</f>
        <v>1.5615492450678885</v>
      </c>
      <c r="K37" s="32">
        <f>+$L$13</f>
        <v>3500</v>
      </c>
      <c r="L37" s="33">
        <f t="shared" si="6"/>
        <v>5465.4223577376097</v>
      </c>
      <c r="M37" s="59"/>
      <c r="N37" s="37">
        <f t="shared" si="2"/>
        <v>5465.4223577376097</v>
      </c>
      <c r="O37" s="38" t="str">
        <f>IF((H37)=0,"",(N37/H37))</f>
        <v/>
      </c>
    </row>
    <row r="38" spans="2:15" x14ac:dyDescent="0.2">
      <c r="B38" s="175" t="s">
        <v>35</v>
      </c>
      <c r="C38" s="28"/>
      <c r="D38" s="57" t="s">
        <v>74</v>
      </c>
      <c r="E38" s="30"/>
      <c r="F38" s="40">
        <f>'[3]2012 Existing Rates'!$C$46</f>
        <v>0.1053</v>
      </c>
      <c r="G38" s="32">
        <f>+$L$13</f>
        <v>3500</v>
      </c>
      <c r="H38" s="33">
        <f>G38*F38</f>
        <v>368.55</v>
      </c>
      <c r="I38" s="58"/>
      <c r="J38" s="42"/>
      <c r="K38" s="32">
        <f>+$L$13</f>
        <v>3500</v>
      </c>
      <c r="L38" s="33">
        <f t="shared" si="6"/>
        <v>0</v>
      </c>
      <c r="M38" s="59"/>
      <c r="N38" s="37">
        <f t="shared" si="2"/>
        <v>-368.55</v>
      </c>
      <c r="O38" s="38">
        <f>IF((H38)=0,"",(N38/H38))</f>
        <v>-1</v>
      </c>
    </row>
    <row r="39" spans="2:15" x14ac:dyDescent="0.2">
      <c r="B39" s="39" t="s">
        <v>36</v>
      </c>
      <c r="C39" s="28"/>
      <c r="D39" s="29" t="s">
        <v>74</v>
      </c>
      <c r="E39" s="30"/>
      <c r="F39" s="40">
        <f>+'[3]2012 Existing Rates'!$D$34</f>
        <v>0.25590000000000002</v>
      </c>
      <c r="G39" s="32">
        <f>+$L$13</f>
        <v>3500</v>
      </c>
      <c r="H39" s="33">
        <f>G39*F39</f>
        <v>895.65000000000009</v>
      </c>
      <c r="I39" s="34"/>
      <c r="J39" s="42">
        <f>+'[3]Distribution Rate Schedule'!$D$23</f>
        <v>0.74329999999999996</v>
      </c>
      <c r="K39" s="32">
        <f>+$L$13</f>
        <v>3500</v>
      </c>
      <c r="L39" s="33">
        <f t="shared" si="6"/>
        <v>2601.5499999999997</v>
      </c>
      <c r="M39" s="34"/>
      <c r="N39" s="37">
        <f t="shared" si="2"/>
        <v>1705.8999999999996</v>
      </c>
      <c r="O39" s="38">
        <f>IF((H39)=0,"",(N39/H39))</f>
        <v>1.9046502540054704</v>
      </c>
    </row>
    <row r="40" spans="2:15" x14ac:dyDescent="0.2">
      <c r="B40" s="39" t="s">
        <v>37</v>
      </c>
      <c r="C40" s="28"/>
      <c r="D40" s="29" t="s">
        <v>25</v>
      </c>
      <c r="E40" s="30"/>
      <c r="F40" s="60"/>
      <c r="G40" s="61"/>
      <c r="H40" s="62"/>
      <c r="I40" s="34"/>
      <c r="J40" s="42"/>
      <c r="K40" s="32">
        <v>1</v>
      </c>
      <c r="L40" s="33">
        <f t="shared" si="6"/>
        <v>0</v>
      </c>
      <c r="M40" s="34"/>
      <c r="N40" s="37">
        <f t="shared" si="2"/>
        <v>0</v>
      </c>
      <c r="O40" s="38"/>
    </row>
    <row r="41" spans="2:15" ht="25.5" x14ac:dyDescent="0.2">
      <c r="B41" s="63" t="s">
        <v>38</v>
      </c>
      <c r="C41" s="64"/>
      <c r="D41" s="64"/>
      <c r="E41" s="64"/>
      <c r="F41" s="65"/>
      <c r="G41" s="66"/>
      <c r="H41" s="67">
        <f>SUM(H35:H39)+H34</f>
        <v>6695.3700000000008</v>
      </c>
      <c r="I41" s="51"/>
      <c r="J41" s="68"/>
      <c r="K41" s="69"/>
      <c r="L41" s="67">
        <f>SUM(L35:L39)+L34</f>
        <v>13016.752455555124</v>
      </c>
      <c r="M41" s="51"/>
      <c r="N41" s="54">
        <f t="shared" si="2"/>
        <v>6321.3824555551237</v>
      </c>
      <c r="O41" s="55">
        <f t="shared" ref="O41:O55" si="7">IF((H41)=0,"",(N41/H41))</f>
        <v>0.94414236338770263</v>
      </c>
    </row>
    <row r="42" spans="2:15" x14ac:dyDescent="0.2">
      <c r="B42" s="34" t="s">
        <v>39</v>
      </c>
      <c r="C42" s="34"/>
      <c r="D42" s="70" t="s">
        <v>74</v>
      </c>
      <c r="E42" s="71"/>
      <c r="F42" s="42">
        <f>+'[5]3. Rate Classes'!$J$27</f>
        <v>2.214</v>
      </c>
      <c r="G42" s="72">
        <f>+L13</f>
        <v>3500</v>
      </c>
      <c r="H42" s="33">
        <f>G42*F42</f>
        <v>7749</v>
      </c>
      <c r="I42" s="34"/>
      <c r="J42" s="42">
        <f>+'[5]13. Final 2013 RTS Rates'!$F$29</f>
        <v>3.0223231429618718</v>
      </c>
      <c r="K42" s="73">
        <f>+L13</f>
        <v>3500</v>
      </c>
      <c r="L42" s="33">
        <f>K42*J42</f>
        <v>10578.131000366551</v>
      </c>
      <c r="M42" s="34"/>
      <c r="N42" s="37">
        <f t="shared" si="2"/>
        <v>2829.1310003665512</v>
      </c>
      <c r="O42" s="38">
        <f t="shared" si="7"/>
        <v>0.36509627053381744</v>
      </c>
    </row>
    <row r="43" spans="2:15" ht="25.5" x14ac:dyDescent="0.2">
      <c r="B43" s="74" t="s">
        <v>40</v>
      </c>
      <c r="C43" s="34"/>
      <c r="D43" s="70" t="s">
        <v>74</v>
      </c>
      <c r="E43" s="71"/>
      <c r="F43" s="42">
        <f>+'[5]3. Rate Classes'!$M$27</f>
        <v>1.8365</v>
      </c>
      <c r="G43" s="72">
        <f>G42</f>
        <v>3500</v>
      </c>
      <c r="H43" s="33">
        <f>G43*F43</f>
        <v>6427.75</v>
      </c>
      <c r="I43" s="34"/>
      <c r="J43" s="42">
        <f>+'[5]13. Final 2013 RTS Rates'!$H$29</f>
        <v>2.2761603894512255</v>
      </c>
      <c r="K43" s="73">
        <f>K42</f>
        <v>3500</v>
      </c>
      <c r="L43" s="33">
        <f>K43*J43</f>
        <v>7966.5613630792886</v>
      </c>
      <c r="M43" s="34"/>
      <c r="N43" s="37">
        <f t="shared" si="2"/>
        <v>1538.8113630792886</v>
      </c>
      <c r="O43" s="38">
        <f t="shared" si="7"/>
        <v>0.23940124663829312</v>
      </c>
    </row>
    <row r="44" spans="2:15" ht="25.5" x14ac:dyDescent="0.2">
      <c r="B44" s="63" t="s">
        <v>41</v>
      </c>
      <c r="C44" s="46"/>
      <c r="D44" s="46"/>
      <c r="E44" s="46"/>
      <c r="F44" s="75"/>
      <c r="G44" s="66"/>
      <c r="H44" s="67">
        <f>SUM(H41:H43)</f>
        <v>20872.120000000003</v>
      </c>
      <c r="I44" s="76"/>
      <c r="J44" s="77"/>
      <c r="K44" s="78"/>
      <c r="L44" s="67">
        <f>SUM(L41:L43)</f>
        <v>31561.444819000964</v>
      </c>
      <c r="M44" s="76"/>
      <c r="N44" s="54">
        <f t="shared" si="2"/>
        <v>10689.324819000962</v>
      </c>
      <c r="O44" s="55">
        <f t="shared" si="7"/>
        <v>0.51213412049187912</v>
      </c>
    </row>
    <row r="45" spans="2:15" ht="25.5" x14ac:dyDescent="0.2">
      <c r="B45" s="79" t="s">
        <v>42</v>
      </c>
      <c r="C45" s="28"/>
      <c r="D45" s="29" t="s">
        <v>28</v>
      </c>
      <c r="E45" s="30"/>
      <c r="F45" s="83">
        <v>5.1999999999999998E-3</v>
      </c>
      <c r="G45" s="72">
        <f>$F$13*(1+$F$62)</f>
        <v>1671840</v>
      </c>
      <c r="H45" s="81">
        <f t="shared" ref="H45:H53" si="8">G45*F45</f>
        <v>8693.5679999999993</v>
      </c>
      <c r="I45" s="34"/>
      <c r="J45" s="80">
        <v>4.4000000000000003E-3</v>
      </c>
      <c r="K45" s="73">
        <f>$F$13*(1+$J$62)</f>
        <v>1679596.7999999998</v>
      </c>
      <c r="L45" s="81">
        <f t="shared" ref="L45:L53" si="9">K45*J45</f>
        <v>7390.2259199999999</v>
      </c>
      <c r="M45" s="34"/>
      <c r="N45" s="37">
        <f t="shared" si="2"/>
        <v>-1303.3420799999994</v>
      </c>
      <c r="O45" s="82">
        <f t="shared" si="7"/>
        <v>-0.14992027209081468</v>
      </c>
    </row>
    <row r="46" spans="2:15" ht="25.5" x14ac:dyDescent="0.2">
      <c r="B46" s="79" t="s">
        <v>43</v>
      </c>
      <c r="C46" s="28"/>
      <c r="D46" s="29" t="s">
        <v>28</v>
      </c>
      <c r="E46" s="30"/>
      <c r="F46" s="83">
        <v>1.1000000000000001E-3</v>
      </c>
      <c r="G46" s="72">
        <f>$F$13*(1+$F$62)</f>
        <v>1671840</v>
      </c>
      <c r="H46" s="81">
        <f t="shared" si="8"/>
        <v>1839.0240000000001</v>
      </c>
      <c r="I46" s="34"/>
      <c r="J46" s="80">
        <v>1.1999999999999999E-3</v>
      </c>
      <c r="K46" s="73">
        <f>$F$13*(1+$J$62)</f>
        <v>1679596.7999999998</v>
      </c>
      <c r="L46" s="81">
        <f t="shared" si="9"/>
        <v>2015.5161599999997</v>
      </c>
      <c r="M46" s="34"/>
      <c r="N46" s="37">
        <f t="shared" si="2"/>
        <v>176.49215999999956</v>
      </c>
      <c r="O46" s="82">
        <f t="shared" si="7"/>
        <v>9.5970558296139444E-2</v>
      </c>
    </row>
    <row r="47" spans="2:15" x14ac:dyDescent="0.2">
      <c r="B47" s="28" t="s">
        <v>44</v>
      </c>
      <c r="C47" s="28"/>
      <c r="D47" s="29" t="s">
        <v>25</v>
      </c>
      <c r="E47" s="30"/>
      <c r="F47" s="83">
        <v>0.25</v>
      </c>
      <c r="G47" s="32">
        <v>1</v>
      </c>
      <c r="H47" s="81">
        <f t="shared" si="8"/>
        <v>0.25</v>
      </c>
      <c r="I47" s="34"/>
      <c r="J47" s="80">
        <v>0.25</v>
      </c>
      <c r="K47" s="36">
        <v>1</v>
      </c>
      <c r="L47" s="81">
        <f t="shared" si="9"/>
        <v>0.25</v>
      </c>
      <c r="M47" s="34"/>
      <c r="N47" s="37">
        <f t="shared" si="2"/>
        <v>0</v>
      </c>
      <c r="O47" s="82">
        <f t="shared" si="7"/>
        <v>0</v>
      </c>
    </row>
    <row r="48" spans="2:15" x14ac:dyDescent="0.2">
      <c r="B48" s="28" t="s">
        <v>45</v>
      </c>
      <c r="C48" s="28"/>
      <c r="D48" s="29" t="s">
        <v>28</v>
      </c>
      <c r="E48" s="30"/>
      <c r="F48" s="83">
        <v>7.0000000000000001E-3</v>
      </c>
      <c r="G48" s="72">
        <f>+F13</f>
        <v>1600000</v>
      </c>
      <c r="H48" s="81">
        <f t="shared" si="8"/>
        <v>11200</v>
      </c>
      <c r="I48" s="34"/>
      <c r="J48" s="80">
        <v>7.0000000000000001E-3</v>
      </c>
      <c r="K48" s="73">
        <f>+$F$13</f>
        <v>1600000</v>
      </c>
      <c r="L48" s="81">
        <f t="shared" si="9"/>
        <v>11200</v>
      </c>
      <c r="M48" s="34"/>
      <c r="N48" s="37">
        <f t="shared" si="2"/>
        <v>0</v>
      </c>
      <c r="O48" s="82">
        <f t="shared" si="7"/>
        <v>0</v>
      </c>
    </row>
    <row r="49" spans="2:15" x14ac:dyDescent="0.2">
      <c r="B49" s="39" t="s">
        <v>46</v>
      </c>
      <c r="C49" s="28"/>
      <c r="D49" s="29"/>
      <c r="E49" s="30"/>
      <c r="F49" s="84">
        <v>7.4999999999999997E-2</v>
      </c>
      <c r="G49" s="72"/>
      <c r="H49" s="81">
        <f>G49*F49</f>
        <v>0</v>
      </c>
      <c r="I49" s="34"/>
      <c r="J49" s="83">
        <v>7.4999999999999997E-2</v>
      </c>
      <c r="K49" s="72"/>
      <c r="L49" s="81">
        <f>K49*J49</f>
        <v>0</v>
      </c>
      <c r="M49" s="34"/>
      <c r="N49" s="37">
        <f t="shared" si="2"/>
        <v>0</v>
      </c>
      <c r="O49" s="82" t="str">
        <f t="shared" si="7"/>
        <v/>
      </c>
    </row>
    <row r="50" spans="2:15" x14ac:dyDescent="0.2">
      <c r="B50" s="39" t="s">
        <v>47</v>
      </c>
      <c r="C50" s="28"/>
      <c r="D50" s="29"/>
      <c r="E50" s="30"/>
      <c r="F50" s="84">
        <v>8.7999999999999995E-2</v>
      </c>
      <c r="G50" s="72"/>
      <c r="H50" s="81">
        <f>G50*F50</f>
        <v>0</v>
      </c>
      <c r="I50" s="34"/>
      <c r="J50" s="83">
        <v>8.7999999999999995E-2</v>
      </c>
      <c r="K50" s="72"/>
      <c r="L50" s="81">
        <f>K50*J50</f>
        <v>0</v>
      </c>
      <c r="M50" s="34"/>
      <c r="N50" s="37">
        <f t="shared" si="2"/>
        <v>0</v>
      </c>
      <c r="O50" s="82" t="str">
        <f t="shared" si="7"/>
        <v/>
      </c>
    </row>
    <row r="51" spans="2:15" x14ac:dyDescent="0.2">
      <c r="B51" s="39" t="s">
        <v>76</v>
      </c>
      <c r="C51" s="28"/>
      <c r="D51" s="29" t="s">
        <v>28</v>
      </c>
      <c r="E51" s="30"/>
      <c r="F51" s="83">
        <v>8.0689999999999998E-2</v>
      </c>
      <c r="G51" s="85">
        <f>$F$13*(1+$F$62)</f>
        <v>1671840</v>
      </c>
      <c r="H51" s="81">
        <f t="shared" si="8"/>
        <v>134900.7696</v>
      </c>
      <c r="I51" s="34"/>
      <c r="J51" s="83">
        <v>8.0689999999999998E-2</v>
      </c>
      <c r="K51" s="85">
        <f>$F$13*(1+$J$62)</f>
        <v>1679596.7999999998</v>
      </c>
      <c r="L51" s="81">
        <f t="shared" si="9"/>
        <v>135526.66579199999</v>
      </c>
      <c r="M51" s="34"/>
      <c r="N51" s="37">
        <f t="shared" si="2"/>
        <v>625.8961919999856</v>
      </c>
      <c r="O51" s="82">
        <f t="shared" si="7"/>
        <v>4.639678438127944E-3</v>
      </c>
    </row>
    <row r="52" spans="2:15" x14ac:dyDescent="0.2">
      <c r="B52" s="39" t="s">
        <v>77</v>
      </c>
      <c r="C52" s="28"/>
      <c r="D52" s="29"/>
      <c r="E52" s="30"/>
      <c r="F52" s="84"/>
      <c r="G52" s="85"/>
      <c r="H52" s="81">
        <f t="shared" si="8"/>
        <v>0</v>
      </c>
      <c r="I52" s="34"/>
      <c r="J52" s="83"/>
      <c r="K52" s="86"/>
      <c r="L52" s="81">
        <f t="shared" si="9"/>
        <v>0</v>
      </c>
      <c r="M52" s="34"/>
      <c r="N52" s="37">
        <f t="shared" si="2"/>
        <v>0</v>
      </c>
      <c r="O52" s="82" t="str">
        <f t="shared" si="7"/>
        <v/>
      </c>
    </row>
    <row r="53" spans="2:15" ht="13.5" thickBot="1" x14ac:dyDescent="0.25">
      <c r="B53" s="19" t="s">
        <v>77</v>
      </c>
      <c r="C53" s="28"/>
      <c r="D53" s="29"/>
      <c r="E53" s="30"/>
      <c r="F53" s="84"/>
      <c r="G53" s="85"/>
      <c r="H53" s="81">
        <f t="shared" si="8"/>
        <v>0</v>
      </c>
      <c r="I53" s="34"/>
      <c r="J53" s="83"/>
      <c r="K53" s="86"/>
      <c r="L53" s="81">
        <f t="shared" si="9"/>
        <v>0</v>
      </c>
      <c r="M53" s="34"/>
      <c r="N53" s="37">
        <f t="shared" si="2"/>
        <v>0</v>
      </c>
      <c r="O53" s="82" t="str">
        <f t="shared" si="7"/>
        <v/>
      </c>
    </row>
    <row r="54" spans="2:15" ht="13.5" thickBot="1" x14ac:dyDescent="0.25">
      <c r="B54" s="87"/>
      <c r="C54" s="88"/>
      <c r="D54" s="89"/>
      <c r="E54" s="88"/>
      <c r="F54" s="136"/>
      <c r="G54" s="91"/>
      <c r="H54" s="92"/>
      <c r="I54" s="139"/>
      <c r="J54" s="136"/>
      <c r="K54" s="94"/>
      <c r="L54" s="92"/>
      <c r="M54" s="93"/>
      <c r="N54" s="95"/>
      <c r="O54" s="96"/>
    </row>
    <row r="55" spans="2:15" x14ac:dyDescent="0.2">
      <c r="B55" s="97" t="s">
        <v>78</v>
      </c>
      <c r="C55" s="28"/>
      <c r="D55" s="28"/>
      <c r="E55" s="28"/>
      <c r="F55" s="98"/>
      <c r="G55" s="99"/>
      <c r="H55" s="100">
        <f>SUM(H44:H53)</f>
        <v>177505.7316</v>
      </c>
      <c r="I55" s="101"/>
      <c r="J55" s="102"/>
      <c r="K55" s="103"/>
      <c r="L55" s="104">
        <f>SUM(L44:L53)</f>
        <v>187694.10269100094</v>
      </c>
      <c r="M55" s="105"/>
      <c r="N55" s="106">
        <f t="shared" si="2"/>
        <v>10188.371091000939</v>
      </c>
      <c r="O55" s="107">
        <f t="shared" si="7"/>
        <v>5.7397420348994178E-2</v>
      </c>
    </row>
    <row r="56" spans="2:15" x14ac:dyDescent="0.2">
      <c r="B56" s="108" t="s">
        <v>52</v>
      </c>
      <c r="C56" s="28"/>
      <c r="D56" s="28"/>
      <c r="E56" s="28"/>
      <c r="F56" s="109">
        <v>0.13</v>
      </c>
      <c r="G56" s="99"/>
      <c r="H56" s="110">
        <f>H55*F56</f>
        <v>23075.745107999999</v>
      </c>
      <c r="I56" s="111"/>
      <c r="J56" s="143">
        <v>0.13</v>
      </c>
      <c r="K56" s="113"/>
      <c r="L56" s="114">
        <f>L55*J56</f>
        <v>24400.233349830123</v>
      </c>
      <c r="M56" s="115"/>
      <c r="N56" s="116">
        <f>L56-H56</f>
        <v>1324.488241830124</v>
      </c>
      <c r="O56" s="117">
        <f>IF((H56)=0,"",(N56/H56))</f>
        <v>5.7397420348994269E-2</v>
      </c>
    </row>
    <row r="57" spans="2:15" x14ac:dyDescent="0.2">
      <c r="B57" s="118" t="s">
        <v>53</v>
      </c>
      <c r="C57" s="28"/>
      <c r="D57" s="28"/>
      <c r="E57" s="28"/>
      <c r="F57" s="119"/>
      <c r="G57" s="120"/>
      <c r="H57" s="110">
        <f>H55+H56</f>
        <v>200581.476708</v>
      </c>
      <c r="I57" s="111"/>
      <c r="J57" s="111"/>
      <c r="K57" s="121"/>
      <c r="L57" s="114">
        <f>L55+L56</f>
        <v>212094.33604083105</v>
      </c>
      <c r="M57" s="115"/>
      <c r="N57" s="116">
        <f>L57-H57</f>
        <v>11512.859332831053</v>
      </c>
      <c r="O57" s="117">
        <f>IF((H57)=0,"",(N57/H57))</f>
        <v>5.7397420348994137E-2</v>
      </c>
    </row>
    <row r="58" spans="2:15" ht="17.45" customHeight="1" x14ac:dyDescent="0.2">
      <c r="B58" s="213" t="s">
        <v>54</v>
      </c>
      <c r="C58" s="213"/>
      <c r="D58" s="213"/>
      <c r="E58" s="28"/>
      <c r="F58" s="119"/>
      <c r="G58" s="120"/>
      <c r="H58" s="122">
        <f>ROUND(-H57*10%,2)</f>
        <v>-20058.150000000001</v>
      </c>
      <c r="I58" s="111"/>
      <c r="J58" s="111"/>
      <c r="K58" s="121"/>
      <c r="L58" s="123">
        <f>ROUND(-L57*10%,2)</f>
        <v>-21209.43</v>
      </c>
      <c r="M58" s="115"/>
      <c r="N58" s="124">
        <f>L58-H58</f>
        <v>-1151.2799999999988</v>
      </c>
      <c r="O58" s="125">
        <f>IF((H58)=0,"",(N58/H58))</f>
        <v>5.7397117879764523E-2</v>
      </c>
    </row>
    <row r="59" spans="2:15" ht="13.5" customHeight="1" thickBot="1" x14ac:dyDescent="0.25">
      <c r="B59" s="223" t="s">
        <v>57</v>
      </c>
      <c r="C59" s="223"/>
      <c r="D59" s="223"/>
      <c r="E59" s="126"/>
      <c r="F59" s="144"/>
      <c r="G59" s="128"/>
      <c r="H59" s="129">
        <f>SUM(H57:H58)</f>
        <v>180523.32670800001</v>
      </c>
      <c r="I59" s="147"/>
      <c r="J59" s="147"/>
      <c r="K59" s="131"/>
      <c r="L59" s="132">
        <f>SUM(L57:L58)</f>
        <v>190884.90604083106</v>
      </c>
      <c r="M59" s="150"/>
      <c r="N59" s="134">
        <f>L59-H59</f>
        <v>10361.579332831054</v>
      </c>
      <c r="O59" s="135">
        <f>IF((H59)=0,"",(N59/H59))</f>
        <v>5.7397453956690651E-2</v>
      </c>
    </row>
    <row r="60" spans="2:15" ht="13.5" thickBot="1" x14ac:dyDescent="0.25">
      <c r="B60" s="87"/>
      <c r="C60" s="88"/>
      <c r="D60" s="89"/>
      <c r="E60" s="88"/>
      <c r="F60" s="136"/>
      <c r="G60" s="137"/>
      <c r="H60" s="138"/>
      <c r="I60" s="139"/>
      <c r="J60" s="136"/>
      <c r="K60" s="91"/>
      <c r="L60" s="140"/>
      <c r="M60" s="93"/>
      <c r="N60" s="141"/>
      <c r="O60" s="96"/>
    </row>
    <row r="61" spans="2:15" x14ac:dyDescent="0.2">
      <c r="B61" s="20"/>
      <c r="C61" s="20"/>
      <c r="D61" s="20"/>
      <c r="E61" s="20"/>
      <c r="F61" s="20"/>
      <c r="I61" s="20"/>
      <c r="J61" s="20"/>
    </row>
    <row r="62" spans="2:15" x14ac:dyDescent="0.2">
      <c r="B62" s="156" t="s">
        <v>58</v>
      </c>
      <c r="C62" s="20"/>
      <c r="D62" s="20"/>
      <c r="E62" s="20"/>
      <c r="F62" s="157">
        <f>+'Bill Impacts App 2-W GS 50 -299'!F65</f>
        <v>4.4900000000000002E-2</v>
      </c>
      <c r="I62" s="20"/>
      <c r="J62" s="158">
        <f>+'Bill Impacts App 2-W GS 50 -299'!J65</f>
        <v>4.9748000000000001E-2</v>
      </c>
    </row>
  </sheetData>
  <mergeCells count="10">
    <mergeCell ref="B58:D58"/>
    <mergeCell ref="B59:D59"/>
    <mergeCell ref="A3:K3"/>
    <mergeCell ref="D11:O11"/>
    <mergeCell ref="F15:H15"/>
    <mergeCell ref="J15:L15"/>
    <mergeCell ref="N15:O15"/>
    <mergeCell ref="D16:D17"/>
    <mergeCell ref="N16:N17"/>
    <mergeCell ref="O16:O17"/>
  </mergeCells>
  <pageMargins left="0.70866141732283472" right="0.70866141732283472" top="0.74803149606299213" bottom="0.74803149606299213" header="0.31496062992125984" footer="0.31496062992125984"/>
  <pageSetup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5" zoomScale="70" zoomScaleNormal="70" workbookViewId="0">
      <selection activeCell="J37" sqref="J37"/>
    </sheetView>
  </sheetViews>
  <sheetFormatPr defaultRowHeight="12.75" x14ac:dyDescent="0.2"/>
  <cols>
    <col min="2" max="2" width="32.28515625" customWidth="1"/>
    <col min="3" max="3" width="2.42578125" customWidth="1"/>
    <col min="4" max="4" width="10.7109375" customWidth="1"/>
    <col min="5" max="5" width="1.7109375" customWidth="1"/>
    <col min="6" max="6" width="12" customWidth="1"/>
    <col min="8" max="8" width="16.42578125" customWidth="1"/>
    <col min="9" max="9" width="2.140625" customWidth="1"/>
    <col min="10" max="10" width="12.85546875" bestFit="1" customWidth="1"/>
    <col min="12" max="12" width="14" bestFit="1" customWidth="1"/>
    <col min="13" max="13" width="1.7109375" customWidth="1"/>
    <col min="14" max="14" width="15" customWidth="1"/>
    <col min="15" max="15" width="10.85546875" bestFit="1" customWidth="1"/>
    <col min="16" max="16" width="1.140625" customWidth="1"/>
  </cols>
  <sheetData>
    <row r="1" spans="1:22" s="2" customFormat="1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">
        <v>1</v>
      </c>
      <c r="P1"/>
    </row>
    <row r="2" spans="1:22" ht="18" x14ac:dyDescent="0.25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66"/>
      <c r="M2" s="166"/>
      <c r="N2" s="3" t="s">
        <v>2</v>
      </c>
      <c r="O2" s="6">
        <v>8</v>
      </c>
      <c r="P2" s="20"/>
      <c r="Q2" s="166"/>
      <c r="R2" s="166"/>
      <c r="S2" s="166"/>
      <c r="T2" s="166"/>
    </row>
    <row r="3" spans="1:22" ht="18" x14ac:dyDescent="0.25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166"/>
      <c r="M3" s="166"/>
      <c r="N3" s="3" t="s">
        <v>3</v>
      </c>
      <c r="O3" s="6" t="s">
        <v>4</v>
      </c>
      <c r="P3" s="20"/>
      <c r="Q3" s="166"/>
      <c r="R3" s="166"/>
      <c r="S3" s="166"/>
      <c r="T3" s="166"/>
    </row>
    <row r="4" spans="1:22" ht="18" x14ac:dyDescent="0.25">
      <c r="A4" s="171"/>
      <c r="B4" s="171"/>
      <c r="C4" s="171"/>
      <c r="D4" s="171"/>
      <c r="E4" s="171"/>
      <c r="F4" s="171"/>
      <c r="G4" s="171"/>
      <c r="H4" s="171"/>
      <c r="I4" s="170"/>
      <c r="J4" s="170"/>
      <c r="K4" s="170"/>
      <c r="L4" s="166"/>
      <c r="M4" s="166"/>
      <c r="N4" s="3" t="s">
        <v>5</v>
      </c>
      <c r="O4" s="6"/>
      <c r="P4" s="20"/>
      <c r="Q4" s="166"/>
      <c r="R4" s="166"/>
      <c r="S4" s="166"/>
      <c r="T4" s="166"/>
    </row>
    <row r="5" spans="1:22" ht="15.75" x14ac:dyDescent="0.25">
      <c r="A5" s="166"/>
      <c r="B5" s="166"/>
      <c r="C5" s="169"/>
      <c r="D5" s="169"/>
      <c r="E5" s="169"/>
      <c r="F5" s="166"/>
      <c r="G5" s="166"/>
      <c r="H5" s="166"/>
      <c r="I5" s="166"/>
      <c r="J5" s="166"/>
      <c r="K5" s="166"/>
      <c r="L5" s="166"/>
      <c r="M5" s="166"/>
      <c r="N5" s="3" t="s">
        <v>6</v>
      </c>
      <c r="O5" s="9">
        <v>8</v>
      </c>
      <c r="P5" s="20"/>
      <c r="Q5" s="166"/>
      <c r="R5" s="166"/>
      <c r="S5" s="166"/>
      <c r="T5" s="166"/>
    </row>
    <row r="6" spans="1:22" x14ac:dyDescent="0.2">
      <c r="A6" s="166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8"/>
      <c r="O6" s="172"/>
      <c r="P6" s="20"/>
      <c r="Q6" s="166"/>
      <c r="R6" s="166"/>
      <c r="S6" s="166"/>
      <c r="T6" s="166"/>
    </row>
    <row r="7" spans="1:22" x14ac:dyDescent="0.2">
      <c r="A7" s="166"/>
      <c r="B7" s="166"/>
      <c r="C7" s="166"/>
      <c r="D7" s="166"/>
      <c r="E7" s="166"/>
      <c r="F7" s="166"/>
      <c r="G7" s="166"/>
      <c r="H7" s="166"/>
      <c r="I7" s="166"/>
      <c r="J7" s="10"/>
      <c r="K7" s="166"/>
      <c r="L7" s="166"/>
      <c r="M7" s="166"/>
      <c r="N7" s="168" t="s">
        <v>7</v>
      </c>
      <c r="O7" s="173">
        <v>41199</v>
      </c>
      <c r="P7" s="20"/>
      <c r="Q7" s="166"/>
      <c r="R7" s="166"/>
      <c r="S7" s="166"/>
      <c r="T7" s="166"/>
    </row>
    <row r="8" spans="1:22" x14ac:dyDescent="0.2">
      <c r="A8" s="166"/>
      <c r="B8" s="166"/>
      <c r="C8" s="166"/>
      <c r="D8" s="166"/>
      <c r="E8" s="166"/>
      <c r="F8" s="166"/>
      <c r="G8" s="166"/>
      <c r="H8" s="167" t="s">
        <v>70</v>
      </c>
      <c r="I8" s="166"/>
      <c r="J8" s="166"/>
      <c r="K8" s="166"/>
      <c r="L8" s="166"/>
      <c r="M8" s="166"/>
      <c r="N8" s="160"/>
      <c r="O8" s="20"/>
      <c r="P8" s="20"/>
      <c r="Q8" s="166"/>
      <c r="R8" s="166"/>
      <c r="S8" s="166"/>
      <c r="T8" s="166"/>
    </row>
    <row r="9" spans="1:22" x14ac:dyDescent="0.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2" ht="15.75" x14ac:dyDescent="0.2">
      <c r="B10" s="165" t="s">
        <v>10</v>
      </c>
      <c r="C10" s="20"/>
      <c r="D10" s="224" t="s">
        <v>83</v>
      </c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0"/>
      <c r="Q10" s="20"/>
      <c r="R10" s="20"/>
      <c r="S10" s="20"/>
      <c r="T10" s="20"/>
      <c r="U10" s="20"/>
      <c r="V10" s="20"/>
    </row>
    <row r="11" spans="1:22" ht="15.75" x14ac:dyDescent="0.25">
      <c r="B11" s="164"/>
      <c r="C11" s="20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20"/>
      <c r="Q11" s="20"/>
      <c r="R11" s="20"/>
      <c r="S11" s="20"/>
      <c r="T11" s="20"/>
      <c r="U11" s="20"/>
      <c r="V11" s="20"/>
    </row>
    <row r="12" spans="1:22" x14ac:dyDescent="0.2">
      <c r="B12" s="19"/>
      <c r="C12" s="20"/>
      <c r="D12" s="156" t="s">
        <v>12</v>
      </c>
      <c r="E12" s="156"/>
      <c r="F12" s="174">
        <v>108831</v>
      </c>
      <c r="G12" s="156" t="s">
        <v>13</v>
      </c>
      <c r="H12" s="20"/>
      <c r="I12" s="20"/>
      <c r="J12" s="156" t="s">
        <v>12</v>
      </c>
      <c r="K12" s="156"/>
      <c r="L12" s="162">
        <v>295</v>
      </c>
      <c r="M12" s="156" t="s">
        <v>72</v>
      </c>
      <c r="N12" s="20"/>
      <c r="O12" s="20"/>
      <c r="P12" s="20"/>
      <c r="Q12" s="20"/>
      <c r="R12" s="19"/>
      <c r="S12" s="20"/>
      <c r="T12" s="20"/>
      <c r="U12" s="20"/>
      <c r="V12" s="19"/>
    </row>
    <row r="13" spans="1:22" x14ac:dyDescent="0.2"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spans="1:22" x14ac:dyDescent="0.2">
      <c r="B14" s="19"/>
      <c r="C14" s="20"/>
      <c r="D14" s="21"/>
      <c r="E14" s="21"/>
      <c r="F14" s="217" t="s">
        <v>14</v>
      </c>
      <c r="G14" s="218"/>
      <c r="H14" s="219"/>
      <c r="I14" s="20"/>
      <c r="J14" s="217" t="s">
        <v>15</v>
      </c>
      <c r="K14" s="218"/>
      <c r="L14" s="219"/>
      <c r="M14" s="20"/>
      <c r="N14" s="217" t="s">
        <v>16</v>
      </c>
      <c r="O14" s="219"/>
      <c r="P14" s="20"/>
      <c r="Q14" s="20"/>
      <c r="R14" s="20"/>
      <c r="S14" s="20"/>
      <c r="T14" s="20"/>
      <c r="U14" s="20"/>
      <c r="V14" s="20"/>
    </row>
    <row r="15" spans="1:22" ht="12.75" customHeight="1" x14ac:dyDescent="0.2">
      <c r="B15" s="19"/>
      <c r="C15" s="20"/>
      <c r="D15" s="207" t="s">
        <v>17</v>
      </c>
      <c r="E15" s="22"/>
      <c r="F15" s="23" t="s">
        <v>18</v>
      </c>
      <c r="G15" s="23" t="s">
        <v>19</v>
      </c>
      <c r="H15" s="24" t="s">
        <v>20</v>
      </c>
      <c r="I15" s="20"/>
      <c r="J15" s="23" t="s">
        <v>18</v>
      </c>
      <c r="K15" s="25" t="s">
        <v>19</v>
      </c>
      <c r="L15" s="24" t="s">
        <v>20</v>
      </c>
      <c r="M15" s="20"/>
      <c r="N15" s="220" t="s">
        <v>21</v>
      </c>
      <c r="O15" s="220" t="s">
        <v>22</v>
      </c>
      <c r="P15" s="20"/>
      <c r="Q15" s="20"/>
      <c r="R15" s="20"/>
      <c r="S15" s="20"/>
      <c r="T15" s="20"/>
      <c r="U15" s="20"/>
      <c r="V15" s="20"/>
    </row>
    <row r="16" spans="1:22" x14ac:dyDescent="0.2">
      <c r="B16" s="19"/>
      <c r="C16" s="20"/>
      <c r="D16" s="207"/>
      <c r="E16" s="22"/>
      <c r="F16" s="26" t="s">
        <v>23</v>
      </c>
      <c r="G16" s="26"/>
      <c r="H16" s="27" t="s">
        <v>23</v>
      </c>
      <c r="I16" s="20"/>
      <c r="J16" s="26" t="s">
        <v>23</v>
      </c>
      <c r="K16" s="27"/>
      <c r="L16" s="27" t="s">
        <v>23</v>
      </c>
      <c r="M16" s="20"/>
      <c r="N16" s="221"/>
      <c r="O16" s="221"/>
      <c r="P16" s="20"/>
      <c r="Q16" s="20"/>
      <c r="R16" s="20"/>
      <c r="S16" s="20"/>
      <c r="T16" s="20"/>
      <c r="U16" s="20"/>
      <c r="V16" s="20"/>
    </row>
    <row r="17" spans="2:22" x14ac:dyDescent="0.2">
      <c r="B17" s="28" t="s">
        <v>24</v>
      </c>
      <c r="C17" s="28"/>
      <c r="D17" s="29" t="s">
        <v>25</v>
      </c>
      <c r="E17" s="30"/>
      <c r="F17" s="40">
        <f>+'[3]2012 Existing Rates'!$B$12</f>
        <v>4.43</v>
      </c>
      <c r="G17" s="190">
        <f>+L12</f>
        <v>295</v>
      </c>
      <c r="H17" s="193">
        <f t="shared" ref="H17:H32" si="0">+F17*G17</f>
        <v>1306.8499999999999</v>
      </c>
      <c r="I17" s="34"/>
      <c r="J17" s="35">
        <f>+'[3]Distribution Rate Schedule'!$B$15</f>
        <v>1.8156000000000001</v>
      </c>
      <c r="K17" s="189">
        <f>+L12</f>
        <v>295</v>
      </c>
      <c r="L17" s="193">
        <f t="shared" ref="L17:L32" si="1">+J17*K17</f>
        <v>535.60199999999998</v>
      </c>
      <c r="M17" s="34"/>
      <c r="N17" s="37">
        <f t="shared" ref="N17:N52" si="2">L17-H17</f>
        <v>-771.24799999999993</v>
      </c>
      <c r="O17" s="38">
        <f t="shared" ref="O17:O38" si="3">IF((H17)=0,"",(N17/H17))</f>
        <v>-0.59015801354401809</v>
      </c>
      <c r="P17" s="20"/>
      <c r="Q17" s="20"/>
      <c r="R17" s="20"/>
      <c r="S17" s="20"/>
      <c r="T17" s="20"/>
      <c r="U17" s="20"/>
      <c r="V17" s="20"/>
    </row>
    <row r="18" spans="2:22" hidden="1" x14ac:dyDescent="0.2">
      <c r="B18" s="28" t="s">
        <v>73</v>
      </c>
      <c r="C18" s="28"/>
      <c r="D18" s="29"/>
      <c r="E18" s="30"/>
      <c r="F18" s="40"/>
      <c r="G18" s="190">
        <v>1</v>
      </c>
      <c r="H18" s="193">
        <f t="shared" si="0"/>
        <v>0</v>
      </c>
      <c r="I18" s="34"/>
      <c r="J18" s="42"/>
      <c r="K18" s="189">
        <v>1</v>
      </c>
      <c r="L18" s="193">
        <f t="shared" si="1"/>
        <v>0</v>
      </c>
      <c r="M18" s="34"/>
      <c r="N18" s="37">
        <f t="shared" si="2"/>
        <v>0</v>
      </c>
      <c r="O18" s="38" t="str">
        <f t="shared" si="3"/>
        <v/>
      </c>
      <c r="P18" s="20"/>
      <c r="Q18" s="20"/>
      <c r="R18" s="20"/>
      <c r="S18" s="20"/>
      <c r="T18" s="20"/>
      <c r="U18" s="20"/>
      <c r="V18" s="20"/>
    </row>
    <row r="19" spans="2:22" hidden="1" x14ac:dyDescent="0.2">
      <c r="B19" s="41"/>
      <c r="C19" s="28"/>
      <c r="D19" s="29"/>
      <c r="E19" s="30"/>
      <c r="F19" s="40"/>
      <c r="G19" s="190">
        <v>1</v>
      </c>
      <c r="H19" s="193">
        <f t="shared" si="0"/>
        <v>0</v>
      </c>
      <c r="I19" s="34"/>
      <c r="J19" s="42"/>
      <c r="K19" s="189">
        <v>1</v>
      </c>
      <c r="L19" s="193">
        <f t="shared" si="1"/>
        <v>0</v>
      </c>
      <c r="M19" s="34"/>
      <c r="N19" s="37">
        <f t="shared" si="2"/>
        <v>0</v>
      </c>
      <c r="O19" s="38" t="str">
        <f t="shared" si="3"/>
        <v/>
      </c>
      <c r="P19" s="20"/>
      <c r="Q19" s="20"/>
      <c r="R19" s="20"/>
      <c r="S19" s="20"/>
      <c r="T19" s="20"/>
      <c r="U19" s="20"/>
      <c r="V19" s="20"/>
    </row>
    <row r="20" spans="2:22" hidden="1" x14ac:dyDescent="0.2">
      <c r="B20" s="41"/>
      <c r="C20" s="28"/>
      <c r="D20" s="29"/>
      <c r="E20" s="30"/>
      <c r="F20" s="40"/>
      <c r="G20" s="190">
        <v>1</v>
      </c>
      <c r="H20" s="193">
        <f t="shared" si="0"/>
        <v>0</v>
      </c>
      <c r="I20" s="34"/>
      <c r="J20" s="42"/>
      <c r="K20" s="189">
        <v>1</v>
      </c>
      <c r="L20" s="193">
        <f t="shared" si="1"/>
        <v>0</v>
      </c>
      <c r="M20" s="34"/>
      <c r="N20" s="37">
        <f t="shared" si="2"/>
        <v>0</v>
      </c>
      <c r="O20" s="38" t="str">
        <f t="shared" si="3"/>
        <v/>
      </c>
      <c r="P20" s="20"/>
      <c r="Q20" s="20"/>
      <c r="R20" s="20"/>
      <c r="S20" s="20"/>
      <c r="T20" s="20"/>
      <c r="U20" s="20"/>
      <c r="V20" s="20"/>
    </row>
    <row r="21" spans="2:22" hidden="1" x14ac:dyDescent="0.2">
      <c r="B21" s="41"/>
      <c r="C21" s="28"/>
      <c r="D21" s="29"/>
      <c r="E21" s="30"/>
      <c r="F21" s="40"/>
      <c r="G21" s="190">
        <v>1</v>
      </c>
      <c r="H21" s="193">
        <f t="shared" si="0"/>
        <v>0</v>
      </c>
      <c r="I21" s="34"/>
      <c r="J21" s="42"/>
      <c r="K21" s="189">
        <v>1</v>
      </c>
      <c r="L21" s="193">
        <f t="shared" si="1"/>
        <v>0</v>
      </c>
      <c r="M21" s="34"/>
      <c r="N21" s="37">
        <f t="shared" si="2"/>
        <v>0</v>
      </c>
      <c r="O21" s="38" t="str">
        <f t="shared" si="3"/>
        <v/>
      </c>
      <c r="P21" s="20"/>
      <c r="Q21" s="20"/>
      <c r="R21" s="20"/>
      <c r="S21" s="20"/>
      <c r="T21" s="20"/>
      <c r="U21" s="20"/>
      <c r="V21" s="20"/>
    </row>
    <row r="22" spans="2:22" hidden="1" x14ac:dyDescent="0.2">
      <c r="B22" s="41"/>
      <c r="C22" s="28"/>
      <c r="D22" s="29"/>
      <c r="E22" s="30"/>
      <c r="F22" s="40"/>
      <c r="G22" s="190">
        <v>1</v>
      </c>
      <c r="H22" s="193">
        <f t="shared" si="0"/>
        <v>0</v>
      </c>
      <c r="I22" s="34"/>
      <c r="J22" s="42"/>
      <c r="K22" s="189">
        <v>1</v>
      </c>
      <c r="L22" s="193">
        <f t="shared" si="1"/>
        <v>0</v>
      </c>
      <c r="M22" s="34"/>
      <c r="N22" s="37">
        <f t="shared" si="2"/>
        <v>0</v>
      </c>
      <c r="O22" s="38" t="str">
        <f t="shared" si="3"/>
        <v/>
      </c>
      <c r="P22" s="20"/>
      <c r="Q22" s="20"/>
      <c r="R22" s="20"/>
      <c r="S22" s="20"/>
      <c r="T22" s="20"/>
      <c r="U22" s="20"/>
      <c r="V22" s="20"/>
    </row>
    <row r="23" spans="2:22" x14ac:dyDescent="0.2">
      <c r="B23" s="28" t="s">
        <v>27</v>
      </c>
      <c r="C23" s="28"/>
      <c r="D23" s="29" t="s">
        <v>74</v>
      </c>
      <c r="E23" s="30"/>
      <c r="F23" s="40">
        <f>+'[3]2012 Existing Rates'!$D$12</f>
        <v>21.383600000000001</v>
      </c>
      <c r="G23" s="190">
        <v>295</v>
      </c>
      <c r="H23" s="193">
        <f t="shared" si="0"/>
        <v>6308.1620000000003</v>
      </c>
      <c r="I23" s="34"/>
      <c r="J23" s="42">
        <f>+'[3]Distribution Rate Schedule'!$D$15</f>
        <v>8.7640999999999991</v>
      </c>
      <c r="K23" s="190">
        <v>295</v>
      </c>
      <c r="L23" s="193">
        <f t="shared" si="1"/>
        <v>2585.4094999999998</v>
      </c>
      <c r="M23" s="34"/>
      <c r="N23" s="37">
        <f t="shared" si="2"/>
        <v>-3722.7525000000005</v>
      </c>
      <c r="O23" s="38">
        <f t="shared" si="3"/>
        <v>-0.59014852503787951</v>
      </c>
      <c r="P23" s="20"/>
      <c r="Q23" s="20"/>
      <c r="R23" s="20"/>
      <c r="S23" s="20"/>
      <c r="T23" s="20"/>
      <c r="U23" s="20"/>
      <c r="V23" s="20"/>
    </row>
    <row r="24" spans="2:22" hidden="1" x14ac:dyDescent="0.2">
      <c r="B24" s="28"/>
      <c r="C24" s="28"/>
      <c r="D24" s="29"/>
      <c r="E24" s="30"/>
      <c r="F24" s="40"/>
      <c r="G24" s="190">
        <v>1</v>
      </c>
      <c r="H24" s="193">
        <f t="shared" si="0"/>
        <v>0</v>
      </c>
      <c r="I24" s="34"/>
      <c r="J24" s="42"/>
      <c r="K24" s="190">
        <v>1</v>
      </c>
      <c r="L24" s="193">
        <f t="shared" si="1"/>
        <v>0</v>
      </c>
      <c r="M24" s="34"/>
      <c r="N24" s="37">
        <f t="shared" si="2"/>
        <v>0</v>
      </c>
      <c r="O24" s="38" t="str">
        <f t="shared" si="3"/>
        <v/>
      </c>
    </row>
    <row r="25" spans="2:22" hidden="1" x14ac:dyDescent="0.2">
      <c r="B25" s="28"/>
      <c r="C25" s="28"/>
      <c r="D25" s="29"/>
      <c r="E25" s="30"/>
      <c r="F25" s="40"/>
      <c r="G25" s="190">
        <v>295</v>
      </c>
      <c r="H25" s="193">
        <f t="shared" si="0"/>
        <v>0</v>
      </c>
      <c r="I25" s="34"/>
      <c r="J25" s="42"/>
      <c r="K25" s="190">
        <v>295</v>
      </c>
      <c r="L25" s="193">
        <f t="shared" si="1"/>
        <v>0</v>
      </c>
      <c r="M25" s="34"/>
      <c r="N25" s="37">
        <f t="shared" si="2"/>
        <v>0</v>
      </c>
      <c r="O25" s="38" t="str">
        <f t="shared" si="3"/>
        <v/>
      </c>
    </row>
    <row r="26" spans="2:22" hidden="1" x14ac:dyDescent="0.2">
      <c r="B26" s="41"/>
      <c r="C26" s="28"/>
      <c r="D26" s="29"/>
      <c r="E26" s="30"/>
      <c r="F26" s="40"/>
      <c r="G26" s="190">
        <v>1</v>
      </c>
      <c r="H26" s="193">
        <f t="shared" si="0"/>
        <v>0</v>
      </c>
      <c r="I26" s="34"/>
      <c r="J26" s="42"/>
      <c r="K26" s="190">
        <v>1</v>
      </c>
      <c r="L26" s="193">
        <f t="shared" si="1"/>
        <v>0</v>
      </c>
      <c r="M26" s="34"/>
      <c r="N26" s="37">
        <f t="shared" si="2"/>
        <v>0</v>
      </c>
      <c r="O26" s="38" t="str">
        <f t="shared" si="3"/>
        <v/>
      </c>
    </row>
    <row r="27" spans="2:22" hidden="1" x14ac:dyDescent="0.2">
      <c r="B27" s="41"/>
      <c r="C27" s="28"/>
      <c r="D27" s="29"/>
      <c r="E27" s="30"/>
      <c r="F27" s="40"/>
      <c r="G27" s="190"/>
      <c r="H27" s="193">
        <f t="shared" si="0"/>
        <v>0</v>
      </c>
      <c r="I27" s="34"/>
      <c r="J27" s="42"/>
      <c r="K27" s="190"/>
      <c r="L27" s="193">
        <f t="shared" si="1"/>
        <v>0</v>
      </c>
      <c r="M27" s="34"/>
      <c r="N27" s="37">
        <f t="shared" si="2"/>
        <v>0</v>
      </c>
      <c r="O27" s="38" t="str">
        <f t="shared" si="3"/>
        <v/>
      </c>
    </row>
    <row r="28" spans="2:22" hidden="1" x14ac:dyDescent="0.2">
      <c r="B28" s="41"/>
      <c r="C28" s="28"/>
      <c r="D28" s="29"/>
      <c r="E28" s="30"/>
      <c r="F28" s="40"/>
      <c r="G28" s="190"/>
      <c r="H28" s="193">
        <f t="shared" si="0"/>
        <v>0</v>
      </c>
      <c r="I28" s="34"/>
      <c r="J28" s="42"/>
      <c r="K28" s="190"/>
      <c r="L28" s="193">
        <f t="shared" si="1"/>
        <v>0</v>
      </c>
      <c r="M28" s="34"/>
      <c r="N28" s="37">
        <f t="shared" si="2"/>
        <v>0</v>
      </c>
      <c r="O28" s="38" t="str">
        <f t="shared" si="3"/>
        <v/>
      </c>
    </row>
    <row r="29" spans="2:22" hidden="1" x14ac:dyDescent="0.2">
      <c r="B29" s="41"/>
      <c r="C29" s="28"/>
      <c r="D29" s="29"/>
      <c r="E29" s="30"/>
      <c r="F29" s="40"/>
      <c r="G29" s="190"/>
      <c r="H29" s="193">
        <f t="shared" si="0"/>
        <v>0</v>
      </c>
      <c r="I29" s="34"/>
      <c r="J29" s="42"/>
      <c r="K29" s="190"/>
      <c r="L29" s="193">
        <f t="shared" si="1"/>
        <v>0</v>
      </c>
      <c r="M29" s="34"/>
      <c r="N29" s="37">
        <f t="shared" si="2"/>
        <v>0</v>
      </c>
      <c r="O29" s="38" t="str">
        <f t="shared" si="3"/>
        <v/>
      </c>
    </row>
    <row r="30" spans="2:22" hidden="1" x14ac:dyDescent="0.2">
      <c r="B30" s="41"/>
      <c r="C30" s="28"/>
      <c r="D30" s="29"/>
      <c r="E30" s="30"/>
      <c r="F30" s="40"/>
      <c r="G30" s="190"/>
      <c r="H30" s="193">
        <f t="shared" si="0"/>
        <v>0</v>
      </c>
      <c r="I30" s="34"/>
      <c r="J30" s="42"/>
      <c r="K30" s="190"/>
      <c r="L30" s="193">
        <f t="shared" si="1"/>
        <v>0</v>
      </c>
      <c r="M30" s="34"/>
      <c r="N30" s="37">
        <f t="shared" si="2"/>
        <v>0</v>
      </c>
      <c r="O30" s="38" t="str">
        <f t="shared" si="3"/>
        <v/>
      </c>
    </row>
    <row r="31" spans="2:22" hidden="1" x14ac:dyDescent="0.2">
      <c r="B31" s="41"/>
      <c r="C31" s="28"/>
      <c r="D31" s="29"/>
      <c r="E31" s="30"/>
      <c r="F31" s="40"/>
      <c r="G31" s="190"/>
      <c r="H31" s="193">
        <f t="shared" si="0"/>
        <v>0</v>
      </c>
      <c r="I31" s="34"/>
      <c r="J31" s="42"/>
      <c r="K31" s="190"/>
      <c r="L31" s="193">
        <f t="shared" si="1"/>
        <v>0</v>
      </c>
      <c r="M31" s="34"/>
      <c r="N31" s="37">
        <f t="shared" si="2"/>
        <v>0</v>
      </c>
      <c r="O31" s="38" t="str">
        <f t="shared" si="3"/>
        <v/>
      </c>
    </row>
    <row r="32" spans="2:22" hidden="1" x14ac:dyDescent="0.2">
      <c r="B32" s="41"/>
      <c r="C32" s="28"/>
      <c r="D32" s="29"/>
      <c r="E32" s="30"/>
      <c r="F32" s="40"/>
      <c r="G32" s="190"/>
      <c r="H32" s="193">
        <f t="shared" si="0"/>
        <v>0</v>
      </c>
      <c r="I32" s="34"/>
      <c r="J32" s="42"/>
      <c r="K32" s="190"/>
      <c r="L32" s="193">
        <f t="shared" si="1"/>
        <v>0</v>
      </c>
      <c r="M32" s="34"/>
      <c r="N32" s="37">
        <f t="shared" si="2"/>
        <v>0</v>
      </c>
      <c r="O32" s="38" t="str">
        <f t="shared" si="3"/>
        <v/>
      </c>
    </row>
    <row r="33" spans="2:15" x14ac:dyDescent="0.2">
      <c r="B33" s="45" t="s">
        <v>31</v>
      </c>
      <c r="C33" s="46"/>
      <c r="D33" s="47"/>
      <c r="E33" s="46"/>
      <c r="F33" s="48"/>
      <c r="G33" s="197"/>
      <c r="H33" s="50">
        <f>SUM(H17:H32)</f>
        <v>7615.0120000000006</v>
      </c>
      <c r="I33" s="51"/>
      <c r="J33" s="52"/>
      <c r="K33" s="196"/>
      <c r="L33" s="50">
        <f>SUM(L17:L32)</f>
        <v>3121.0114999999996</v>
      </c>
      <c r="M33" s="51"/>
      <c r="N33" s="54">
        <f t="shared" si="2"/>
        <v>-4494.000500000001</v>
      </c>
      <c r="O33" s="55">
        <f t="shared" si="3"/>
        <v>-0.59015015340750621</v>
      </c>
    </row>
    <row r="34" spans="2:15" ht="25.5" x14ac:dyDescent="0.2">
      <c r="B34" s="56" t="s">
        <v>32</v>
      </c>
      <c r="C34" s="28"/>
      <c r="D34" s="29" t="s">
        <v>74</v>
      </c>
      <c r="E34" s="30"/>
      <c r="F34" s="40">
        <f>+'[3]2012 Existing Rates'!$D$25</f>
        <v>-0.71650000000000003</v>
      </c>
      <c r="G34" s="190">
        <v>295</v>
      </c>
      <c r="H34" s="193">
        <f>+F34*G34</f>
        <v>-211.36750000000001</v>
      </c>
      <c r="I34" s="34"/>
      <c r="J34" s="42">
        <f>[4]Sheet1!$F$26</f>
        <v>-1.0691937469970088</v>
      </c>
      <c r="K34" s="190">
        <v>295</v>
      </c>
      <c r="L34" s="193">
        <f t="shared" ref="L34:L39" si="4">+J34*K34</f>
        <v>-315.41215536411761</v>
      </c>
      <c r="M34" s="34"/>
      <c r="N34" s="37">
        <f t="shared" si="2"/>
        <v>-104.0446553641176</v>
      </c>
      <c r="O34" s="38">
        <f t="shared" si="3"/>
        <v>0.49224528541103812</v>
      </c>
    </row>
    <row r="35" spans="2:15" x14ac:dyDescent="0.2">
      <c r="B35" s="175" t="s">
        <v>34</v>
      </c>
      <c r="C35" s="28"/>
      <c r="D35" s="57" t="s">
        <v>74</v>
      </c>
      <c r="E35" s="30"/>
      <c r="F35" s="40">
        <f>+'[3]2012 Existing Rates'!$D$87</f>
        <v>-1.4964999999999999</v>
      </c>
      <c r="G35" s="205">
        <f>+L12</f>
        <v>295</v>
      </c>
      <c r="H35" s="193">
        <f>+F35*G35</f>
        <v>-441.46749999999997</v>
      </c>
      <c r="I35" s="58"/>
      <c r="J35" s="42">
        <f>+F35</f>
        <v>-1.4964999999999999</v>
      </c>
      <c r="K35" s="190">
        <f>+L12</f>
        <v>295</v>
      </c>
      <c r="L35" s="193">
        <f t="shared" si="4"/>
        <v>-441.46749999999997</v>
      </c>
      <c r="M35" s="59"/>
      <c r="N35" s="37">
        <f t="shared" si="2"/>
        <v>0</v>
      </c>
      <c r="O35" s="38">
        <f t="shared" si="3"/>
        <v>0</v>
      </c>
    </row>
    <row r="36" spans="2:15" x14ac:dyDescent="0.2">
      <c r="B36" s="175" t="s">
        <v>35</v>
      </c>
      <c r="C36" s="28"/>
      <c r="D36" s="57" t="s">
        <v>74</v>
      </c>
      <c r="E36" s="30"/>
      <c r="F36" s="40">
        <f>+'[3]2012 Existing Rates'!$C$49</f>
        <v>2.0299999999999998</v>
      </c>
      <c r="G36" s="190">
        <v>295</v>
      </c>
      <c r="H36" s="193">
        <f>+F36*G36</f>
        <v>598.84999999999991</v>
      </c>
      <c r="I36" s="58"/>
      <c r="J36" s="42"/>
      <c r="K36" s="190">
        <v>295</v>
      </c>
      <c r="L36" s="193">
        <f t="shared" si="4"/>
        <v>0</v>
      </c>
      <c r="M36" s="59"/>
      <c r="N36" s="37">
        <f t="shared" si="2"/>
        <v>-598.84999999999991</v>
      </c>
      <c r="O36" s="38">
        <f t="shared" si="3"/>
        <v>-1</v>
      </c>
    </row>
    <row r="37" spans="2:15" x14ac:dyDescent="0.2">
      <c r="B37" s="204" t="s">
        <v>75</v>
      </c>
      <c r="C37" s="28"/>
      <c r="D37" s="29"/>
      <c r="E37" s="30"/>
      <c r="F37" s="40"/>
      <c r="G37" s="190">
        <v>295</v>
      </c>
      <c r="H37" s="193">
        <f>+F37*G37</f>
        <v>0</v>
      </c>
      <c r="I37" s="58"/>
      <c r="J37" s="42">
        <f>[4]Sheet1!$F$53</f>
        <v>1.2311811878959025</v>
      </c>
      <c r="K37" s="190">
        <v>295</v>
      </c>
      <c r="L37" s="193">
        <f t="shared" si="4"/>
        <v>363.19845042929126</v>
      </c>
      <c r="M37" s="59"/>
      <c r="N37" s="37">
        <f t="shared" si="2"/>
        <v>363.19845042929126</v>
      </c>
      <c r="O37" s="38" t="str">
        <f t="shared" si="3"/>
        <v/>
      </c>
    </row>
    <row r="38" spans="2:15" x14ac:dyDescent="0.2">
      <c r="B38" s="39" t="s">
        <v>36</v>
      </c>
      <c r="C38" s="28"/>
      <c r="D38" s="29" t="s">
        <v>74</v>
      </c>
      <c r="E38" s="30"/>
      <c r="F38" s="40">
        <f>+'[3]2012 Existing Rates'!$D$37</f>
        <v>0.16769999999999999</v>
      </c>
      <c r="G38" s="190">
        <v>295</v>
      </c>
      <c r="H38" s="193">
        <f>+F38*G38</f>
        <v>49.471499999999999</v>
      </c>
      <c r="I38" s="34"/>
      <c r="J38" s="42">
        <f>+'[3]Distribution Rate Schedule'!$D$26</f>
        <v>0.48720000000000002</v>
      </c>
      <c r="K38" s="190">
        <v>295</v>
      </c>
      <c r="L38" s="193">
        <f t="shared" si="4"/>
        <v>143.72400000000002</v>
      </c>
      <c r="M38" s="34"/>
      <c r="N38" s="37">
        <f t="shared" si="2"/>
        <v>94.252500000000026</v>
      </c>
      <c r="O38" s="38">
        <f t="shared" si="3"/>
        <v>1.9051878354203942</v>
      </c>
    </row>
    <row r="39" spans="2:15" x14ac:dyDescent="0.2">
      <c r="B39" s="39" t="s">
        <v>37</v>
      </c>
      <c r="C39" s="28"/>
      <c r="D39" s="29" t="s">
        <v>25</v>
      </c>
      <c r="E39" s="30"/>
      <c r="F39" s="60"/>
      <c r="G39" s="195"/>
      <c r="H39" s="62"/>
      <c r="I39" s="34"/>
      <c r="J39" s="42"/>
      <c r="K39" s="190">
        <v>1</v>
      </c>
      <c r="L39" s="193">
        <f t="shared" si="4"/>
        <v>0</v>
      </c>
      <c r="M39" s="34"/>
      <c r="N39" s="37">
        <f t="shared" si="2"/>
        <v>0</v>
      </c>
      <c r="O39" s="38"/>
    </row>
    <row r="40" spans="2:15" ht="25.5" x14ac:dyDescent="0.2">
      <c r="B40" s="63" t="s">
        <v>38</v>
      </c>
      <c r="C40" s="64"/>
      <c r="D40" s="64"/>
      <c r="E40" s="64"/>
      <c r="F40" s="65"/>
      <c r="G40" s="68"/>
      <c r="H40" s="191">
        <f>SUM(H33:H39)</f>
        <v>7610.4984999999997</v>
      </c>
      <c r="I40" s="51"/>
      <c r="J40" s="68"/>
      <c r="K40" s="194"/>
      <c r="L40" s="191">
        <f>SUM(L33:L39)</f>
        <v>2871.0542950651734</v>
      </c>
      <c r="M40" s="51"/>
      <c r="N40" s="54">
        <f t="shared" si="2"/>
        <v>-4739.4442049348263</v>
      </c>
      <c r="O40" s="55">
        <f t="shared" ref="O40:O52" si="5">IF((H40)=0,"",(N40/H40))</f>
        <v>-0.62275082308140872</v>
      </c>
    </row>
    <row r="41" spans="2:15" x14ac:dyDescent="0.2">
      <c r="B41" s="34" t="s">
        <v>39</v>
      </c>
      <c r="C41" s="34"/>
      <c r="D41" s="70" t="s">
        <v>74</v>
      </c>
      <c r="E41" s="71"/>
      <c r="F41" s="42">
        <f>+'[5]3. Rate Classes'!$J$30</f>
        <v>1.4928999999999999</v>
      </c>
      <c r="G41" s="187">
        <v>295</v>
      </c>
      <c r="H41" s="193">
        <f>+F41*G41</f>
        <v>440.40549999999996</v>
      </c>
      <c r="I41" s="34"/>
      <c r="J41" s="42">
        <f>+'[5]13. Final 2013 RTS Rates'!$F$32</f>
        <v>2.037952222279936</v>
      </c>
      <c r="K41" s="188">
        <v>295</v>
      </c>
      <c r="L41" s="193">
        <f>+J41*K41</f>
        <v>601.19590557258107</v>
      </c>
      <c r="M41" s="34"/>
      <c r="N41" s="37">
        <f t="shared" si="2"/>
        <v>160.79040557258111</v>
      </c>
      <c r="O41" s="38">
        <f t="shared" si="5"/>
        <v>0.36509627053381738</v>
      </c>
    </row>
    <row r="42" spans="2:15" ht="25.5" x14ac:dyDescent="0.2">
      <c r="B42" s="74" t="s">
        <v>40</v>
      </c>
      <c r="C42" s="34"/>
      <c r="D42" s="70" t="s">
        <v>74</v>
      </c>
      <c r="E42" s="71"/>
      <c r="F42" s="42">
        <f>+'[5]3. Rate Classes'!$M$30</f>
        <v>1.2038</v>
      </c>
      <c r="G42" s="187">
        <v>295</v>
      </c>
      <c r="H42" s="193">
        <f>+F42*G42</f>
        <v>355.12099999999998</v>
      </c>
      <c r="I42" s="34"/>
      <c r="J42" s="42">
        <f>+'[5]13. Final 2013 RTS Rates'!$H$32</f>
        <v>1.4919912207031771</v>
      </c>
      <c r="K42" s="188">
        <v>295</v>
      </c>
      <c r="L42" s="193">
        <f>+J42*K42</f>
        <v>440.13741010743723</v>
      </c>
      <c r="M42" s="34"/>
      <c r="N42" s="37">
        <f t="shared" si="2"/>
        <v>85.016410107437252</v>
      </c>
      <c r="O42" s="38">
        <f t="shared" si="5"/>
        <v>0.23940124663829301</v>
      </c>
    </row>
    <row r="43" spans="2:15" ht="25.5" x14ac:dyDescent="0.2">
      <c r="B43" s="63" t="s">
        <v>41</v>
      </c>
      <c r="C43" s="46"/>
      <c r="D43" s="46"/>
      <c r="E43" s="46"/>
      <c r="F43" s="75"/>
      <c r="G43" s="68"/>
      <c r="H43" s="191">
        <f>SUM(H40:H42)</f>
        <v>8406.0249999999996</v>
      </c>
      <c r="I43" s="76"/>
      <c r="J43" s="77"/>
      <c r="K43" s="192"/>
      <c r="L43" s="191">
        <f>SUM(L40:L42)</f>
        <v>3912.3876107451915</v>
      </c>
      <c r="M43" s="76"/>
      <c r="N43" s="54">
        <f t="shared" si="2"/>
        <v>-4493.6373892548081</v>
      </c>
      <c r="O43" s="55">
        <f t="shared" si="5"/>
        <v>-0.53457340291693256</v>
      </c>
    </row>
    <row r="44" spans="2:15" ht="25.5" x14ac:dyDescent="0.2">
      <c r="B44" s="79" t="s">
        <v>42</v>
      </c>
      <c r="C44" s="28"/>
      <c r="D44" s="29" t="s">
        <v>28</v>
      </c>
      <c r="E44" s="30"/>
      <c r="F44" s="83">
        <v>5.1999999999999998E-3</v>
      </c>
      <c r="G44" s="187">
        <f>+$F$12*(1+$F$61)</f>
        <v>113717.5119</v>
      </c>
      <c r="H44" s="81">
        <f t="shared" ref="H44:H52" si="6">+F44*G44</f>
        <v>591.33106187999999</v>
      </c>
      <c r="I44" s="34"/>
      <c r="J44" s="80">
        <v>4.4000000000000003E-3</v>
      </c>
      <c r="K44" s="187">
        <f>+$F$12*(1+$J$61)</f>
        <v>114245.12458799999</v>
      </c>
      <c r="L44" s="81">
        <f t="shared" ref="L44:L52" si="7">J44*K44</f>
        <v>502.67854818719997</v>
      </c>
      <c r="M44" s="34"/>
      <c r="N44" s="37">
        <f t="shared" si="2"/>
        <v>-88.652513692800028</v>
      </c>
      <c r="O44" s="82">
        <f t="shared" si="5"/>
        <v>-0.14992027209081477</v>
      </c>
    </row>
    <row r="45" spans="2:15" ht="25.5" x14ac:dyDescent="0.2">
      <c r="B45" s="79" t="s">
        <v>43</v>
      </c>
      <c r="C45" s="28"/>
      <c r="D45" s="29" t="s">
        <v>28</v>
      </c>
      <c r="E45" s="30"/>
      <c r="F45" s="83">
        <v>1.1000000000000001E-3</v>
      </c>
      <c r="G45" s="187">
        <f>+$F$12*(1+$F$61)</f>
        <v>113717.5119</v>
      </c>
      <c r="H45" s="81">
        <f t="shared" si="6"/>
        <v>125.08926309</v>
      </c>
      <c r="I45" s="34"/>
      <c r="J45" s="80">
        <v>1.1999999999999999E-3</v>
      </c>
      <c r="K45" s="187">
        <f>+$F$12*(1+$J$61)</f>
        <v>114245.12458799999</v>
      </c>
      <c r="L45" s="81">
        <f t="shared" si="7"/>
        <v>137.09414950559997</v>
      </c>
      <c r="M45" s="34"/>
      <c r="N45" s="37">
        <f t="shared" si="2"/>
        <v>12.004886415599969</v>
      </c>
      <c r="O45" s="82">
        <f t="shared" si="5"/>
        <v>9.5970558296139444E-2</v>
      </c>
    </row>
    <row r="46" spans="2:15" x14ac:dyDescent="0.2">
      <c r="B46" s="28" t="s">
        <v>44</v>
      </c>
      <c r="C46" s="28"/>
      <c r="D46" s="29" t="s">
        <v>25</v>
      </c>
      <c r="E46" s="30"/>
      <c r="F46" s="83">
        <v>0.25</v>
      </c>
      <c r="G46" s="190">
        <v>1</v>
      </c>
      <c r="H46" s="81">
        <f t="shared" si="6"/>
        <v>0.25</v>
      </c>
      <c r="I46" s="34"/>
      <c r="J46" s="80">
        <v>0.25</v>
      </c>
      <c r="K46" s="189">
        <v>1</v>
      </c>
      <c r="L46" s="81">
        <f t="shared" si="7"/>
        <v>0.25</v>
      </c>
      <c r="M46" s="34"/>
      <c r="N46" s="37">
        <f t="shared" si="2"/>
        <v>0</v>
      </c>
      <c r="O46" s="82">
        <f t="shared" si="5"/>
        <v>0</v>
      </c>
    </row>
    <row r="47" spans="2:15" x14ac:dyDescent="0.2">
      <c r="B47" s="28" t="s">
        <v>45</v>
      </c>
      <c r="C47" s="28"/>
      <c r="D47" s="29" t="s">
        <v>28</v>
      </c>
      <c r="E47" s="30"/>
      <c r="F47" s="83">
        <v>7.0000000000000001E-3</v>
      </c>
      <c r="G47" s="187">
        <f>F12</f>
        <v>108831</v>
      </c>
      <c r="H47" s="81">
        <f t="shared" si="6"/>
        <v>761.81700000000001</v>
      </c>
      <c r="I47" s="34"/>
      <c r="J47" s="80">
        <v>7.0000000000000001E-3</v>
      </c>
      <c r="K47" s="188">
        <f>+$F$12</f>
        <v>108831</v>
      </c>
      <c r="L47" s="81">
        <f t="shared" si="7"/>
        <v>761.81700000000001</v>
      </c>
      <c r="M47" s="34"/>
      <c r="N47" s="37">
        <f t="shared" si="2"/>
        <v>0</v>
      </c>
      <c r="O47" s="82">
        <f t="shared" si="5"/>
        <v>0</v>
      </c>
    </row>
    <row r="48" spans="2:15" x14ac:dyDescent="0.2">
      <c r="B48" s="39" t="s">
        <v>46</v>
      </c>
      <c r="C48" s="28"/>
      <c r="D48" s="29"/>
      <c r="E48" s="30"/>
      <c r="F48" s="84">
        <v>7.4999999999999997E-2</v>
      </c>
      <c r="G48" s="187"/>
      <c r="H48" s="81">
        <f t="shared" si="6"/>
        <v>0</v>
      </c>
      <c r="I48" s="34"/>
      <c r="J48" s="83">
        <v>7.4999999999999997E-2</v>
      </c>
      <c r="K48" s="188"/>
      <c r="L48" s="81">
        <f t="shared" si="7"/>
        <v>0</v>
      </c>
      <c r="M48" s="34"/>
      <c r="N48" s="37">
        <f t="shared" si="2"/>
        <v>0</v>
      </c>
      <c r="O48" s="82" t="str">
        <f t="shared" si="5"/>
        <v/>
      </c>
    </row>
    <row r="49" spans="2:15" x14ac:dyDescent="0.2">
      <c r="B49" s="39" t="s">
        <v>47</v>
      </c>
      <c r="C49" s="28"/>
      <c r="D49" s="29"/>
      <c r="E49" s="30"/>
      <c r="F49" s="84">
        <v>8.7999999999999995E-2</v>
      </c>
      <c r="G49" s="187"/>
      <c r="H49" s="81">
        <f t="shared" si="6"/>
        <v>0</v>
      </c>
      <c r="I49" s="34"/>
      <c r="J49" s="83">
        <v>8.7999999999999995E-2</v>
      </c>
      <c r="K49" s="188"/>
      <c r="L49" s="81">
        <f t="shared" si="7"/>
        <v>0</v>
      </c>
      <c r="M49" s="34"/>
      <c r="N49" s="37">
        <f t="shared" si="2"/>
        <v>0</v>
      </c>
      <c r="O49" s="82" t="str">
        <f t="shared" si="5"/>
        <v/>
      </c>
    </row>
    <row r="50" spans="2:15" x14ac:dyDescent="0.2">
      <c r="B50" s="39" t="s">
        <v>76</v>
      </c>
      <c r="C50" s="28"/>
      <c r="D50" s="29" t="s">
        <v>28</v>
      </c>
      <c r="E50" s="30"/>
      <c r="F50" s="83">
        <v>8.0689999999999998E-2</v>
      </c>
      <c r="G50" s="186">
        <f>+F12*(1+F61)</f>
        <v>113717.5119</v>
      </c>
      <c r="H50" s="81">
        <f t="shared" si="6"/>
        <v>9175.8660352110001</v>
      </c>
      <c r="I50" s="34"/>
      <c r="J50" s="83">
        <v>8.0689999999999998E-2</v>
      </c>
      <c r="K50" s="188">
        <f>+F12*(1+J61)</f>
        <v>114245.12458799999</v>
      </c>
      <c r="L50" s="81">
        <f t="shared" si="7"/>
        <v>9218.4391030057195</v>
      </c>
      <c r="M50" s="34"/>
      <c r="N50" s="37">
        <f t="shared" si="2"/>
        <v>42.573067794719464</v>
      </c>
      <c r="O50" s="82">
        <f t="shared" si="5"/>
        <v>4.6396784381279917E-3</v>
      </c>
    </row>
    <row r="51" spans="2:15" x14ac:dyDescent="0.2">
      <c r="B51" s="39" t="s">
        <v>77</v>
      </c>
      <c r="C51" s="28"/>
      <c r="D51" s="29"/>
      <c r="E51" s="30"/>
      <c r="F51" s="84"/>
      <c r="G51" s="186"/>
      <c r="H51" s="81">
        <f t="shared" si="6"/>
        <v>0</v>
      </c>
      <c r="I51" s="34"/>
      <c r="J51" s="83"/>
      <c r="K51" s="186"/>
      <c r="L51" s="81">
        <f t="shared" si="7"/>
        <v>0</v>
      </c>
      <c r="M51" s="34"/>
      <c r="N51" s="37">
        <f t="shared" si="2"/>
        <v>0</v>
      </c>
      <c r="O51" s="82" t="str">
        <f t="shared" si="5"/>
        <v/>
      </c>
    </row>
    <row r="52" spans="2:15" ht="13.5" thickBot="1" x14ac:dyDescent="0.25">
      <c r="B52" s="19" t="s">
        <v>77</v>
      </c>
      <c r="C52" s="28"/>
      <c r="D52" s="29"/>
      <c r="E52" s="30"/>
      <c r="F52" s="84"/>
      <c r="G52" s="186"/>
      <c r="H52" s="81">
        <f t="shared" si="6"/>
        <v>0</v>
      </c>
      <c r="I52" s="34"/>
      <c r="J52" s="83"/>
      <c r="K52" s="186"/>
      <c r="L52" s="81">
        <f t="shared" si="7"/>
        <v>0</v>
      </c>
      <c r="M52" s="34"/>
      <c r="N52" s="37">
        <f t="shared" si="2"/>
        <v>0</v>
      </c>
      <c r="O52" s="82" t="str">
        <f t="shared" si="5"/>
        <v/>
      </c>
    </row>
    <row r="53" spans="2:15" ht="13.5" thickBot="1" x14ac:dyDescent="0.25">
      <c r="B53" s="87"/>
      <c r="C53" s="88"/>
      <c r="D53" s="89"/>
      <c r="E53" s="88"/>
      <c r="F53" s="136"/>
      <c r="G53" s="153"/>
      <c r="H53" s="138"/>
      <c r="I53" s="139"/>
      <c r="J53" s="136"/>
      <c r="K53" s="154"/>
      <c r="L53" s="140"/>
      <c r="M53" s="93"/>
      <c r="N53" s="95"/>
      <c r="O53" s="96"/>
    </row>
    <row r="54" spans="2:15" x14ac:dyDescent="0.2">
      <c r="B54" s="97" t="s">
        <v>78</v>
      </c>
      <c r="C54" s="28"/>
      <c r="D54" s="28"/>
      <c r="E54" s="28"/>
      <c r="F54" s="98"/>
      <c r="G54" s="185"/>
      <c r="H54" s="184">
        <f>SUM(H43:H53)</f>
        <v>19060.378360180999</v>
      </c>
      <c r="I54" s="101"/>
      <c r="J54" s="102"/>
      <c r="K54" s="102"/>
      <c r="L54" s="203">
        <f>SUM(L43:L53)</f>
        <v>14532.666411443712</v>
      </c>
      <c r="M54" s="105"/>
      <c r="N54" s="106">
        <f>L54-H54</f>
        <v>-4527.7119487372875</v>
      </c>
      <c r="O54" s="107">
        <f>IF((H54)=0,"",(N54/H54))</f>
        <v>-0.23754575398125999</v>
      </c>
    </row>
    <row r="55" spans="2:15" x14ac:dyDescent="0.2">
      <c r="B55" s="108" t="s">
        <v>52</v>
      </c>
      <c r="C55" s="28"/>
      <c r="D55" s="28"/>
      <c r="E55" s="28"/>
      <c r="F55" s="109">
        <v>0.13</v>
      </c>
      <c r="G55" s="182"/>
      <c r="H55" s="183">
        <f>+F55*H54</f>
        <v>2477.8491868235301</v>
      </c>
      <c r="I55" s="111"/>
      <c r="J55" s="143">
        <v>0.13</v>
      </c>
      <c r="K55" s="111"/>
      <c r="L55" s="202">
        <f>+J55*L54</f>
        <v>1889.2466334876826</v>
      </c>
      <c r="M55" s="115"/>
      <c r="N55" s="116">
        <f>L55-H55</f>
        <v>-588.60255333584746</v>
      </c>
      <c r="O55" s="117">
        <f>IF((H55)=0,"",(N55/H55))</f>
        <v>-0.23754575398126002</v>
      </c>
    </row>
    <row r="56" spans="2:15" x14ac:dyDescent="0.2">
      <c r="B56" s="118" t="s">
        <v>53</v>
      </c>
      <c r="C56" s="28"/>
      <c r="D56" s="28"/>
      <c r="E56" s="28"/>
      <c r="F56" s="119"/>
      <c r="G56" s="182"/>
      <c r="H56" s="183">
        <f>+H54+H55</f>
        <v>21538.227547004528</v>
      </c>
      <c r="I56" s="111"/>
      <c r="J56" s="111"/>
      <c r="K56" s="111"/>
      <c r="L56" s="202">
        <f>+L54+L55</f>
        <v>16421.913044931396</v>
      </c>
      <c r="M56" s="115"/>
      <c r="N56" s="116">
        <f>L56-H56</f>
        <v>-5116.3145020731317</v>
      </c>
      <c r="O56" s="117">
        <f>IF((H56)=0,"",(N56/H56))</f>
        <v>-0.23754575398125988</v>
      </c>
    </row>
    <row r="57" spans="2:15" ht="15" customHeight="1" x14ac:dyDescent="0.2">
      <c r="B57" s="213" t="s">
        <v>54</v>
      </c>
      <c r="C57" s="213"/>
      <c r="D57" s="213"/>
      <c r="E57" s="28"/>
      <c r="F57" s="119"/>
      <c r="G57" s="182"/>
      <c r="H57" s="181">
        <f>+H56*-0.1</f>
        <v>-2153.8227547004531</v>
      </c>
      <c r="I57" s="111"/>
      <c r="J57" s="111"/>
      <c r="K57" s="111"/>
      <c r="L57" s="201">
        <f>+L56*-0.1</f>
        <v>-1642.1913044931398</v>
      </c>
      <c r="M57" s="115"/>
      <c r="N57" s="124">
        <f>L57-H57</f>
        <v>511.63145020731326</v>
      </c>
      <c r="O57" s="125">
        <f>IF((H57)=0,"",(N57/H57))</f>
        <v>-0.23754575398125988</v>
      </c>
    </row>
    <row r="58" spans="2:15" ht="13.5" customHeight="1" thickBot="1" x14ac:dyDescent="0.25">
      <c r="B58" s="223" t="s">
        <v>57</v>
      </c>
      <c r="C58" s="223"/>
      <c r="D58" s="223"/>
      <c r="E58" s="126"/>
      <c r="F58" s="144"/>
      <c r="G58" s="180"/>
      <c r="H58" s="179">
        <f>+H56+H57</f>
        <v>19384.404792304074</v>
      </c>
      <c r="I58" s="147"/>
      <c r="J58" s="147"/>
      <c r="K58" s="147"/>
      <c r="L58" s="200">
        <f>+L56+L57</f>
        <v>14779.721740438257</v>
      </c>
      <c r="M58" s="150"/>
      <c r="N58" s="134">
        <f>L58-H58</f>
        <v>-4604.6830518658171</v>
      </c>
      <c r="O58" s="135">
        <f>IF((H58)=0,"",(N58/H58))</f>
        <v>-0.23754575398125979</v>
      </c>
    </row>
    <row r="59" spans="2:15" ht="13.5" thickBot="1" x14ac:dyDescent="0.25">
      <c r="B59" s="87"/>
      <c r="C59" s="88"/>
      <c r="D59" s="89"/>
      <c r="E59" s="88"/>
      <c r="F59" s="136"/>
      <c r="G59" s="153"/>
      <c r="H59" s="138"/>
      <c r="I59" s="139"/>
      <c r="J59" s="136"/>
      <c r="K59" s="154"/>
      <c r="L59" s="140"/>
      <c r="M59" s="93"/>
      <c r="N59" s="141"/>
      <c r="O59" s="96"/>
    </row>
    <row r="60" spans="2:15" x14ac:dyDescent="0.2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155"/>
      <c r="M60" s="20"/>
    </row>
    <row r="61" spans="2:15" x14ac:dyDescent="0.2">
      <c r="B61" s="156" t="s">
        <v>58</v>
      </c>
      <c r="C61" s="20"/>
      <c r="D61" s="20"/>
      <c r="E61" s="20"/>
      <c r="F61" s="157">
        <f>+'[2]Bill Impacts App 2-W Residentia'!F71</f>
        <v>4.4900000000000002E-2</v>
      </c>
      <c r="G61" s="20"/>
      <c r="H61" s="20"/>
      <c r="I61" s="20"/>
      <c r="J61" s="158">
        <f>+'[2]Bill Impacts App 2-W Residentia'!J71</f>
        <v>4.9748000000000001E-2</v>
      </c>
      <c r="K61" s="20"/>
      <c r="L61" s="20"/>
      <c r="M61" s="20"/>
    </row>
  </sheetData>
  <mergeCells count="10">
    <mergeCell ref="B58:D58"/>
    <mergeCell ref="D10:O10"/>
    <mergeCell ref="F14:H14"/>
    <mergeCell ref="J14:L14"/>
    <mergeCell ref="N14:O14"/>
    <mergeCell ref="A3:K3"/>
    <mergeCell ref="D15:D16"/>
    <mergeCell ref="N15:N16"/>
    <mergeCell ref="O15:O16"/>
    <mergeCell ref="B57:D57"/>
  </mergeCells>
  <pageMargins left="0.70866141732283472" right="0.70866141732283472" top="0.74803149606299213" bottom="0.74803149606299213" header="0.31496062992125984" footer="0.31496062992125984"/>
  <pageSetup scale="5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5" zoomScale="70" zoomScaleNormal="70" workbookViewId="0">
      <selection activeCell="J35" sqref="J35"/>
    </sheetView>
  </sheetViews>
  <sheetFormatPr defaultRowHeight="12.75" x14ac:dyDescent="0.2"/>
  <cols>
    <col min="2" max="2" width="30.28515625" customWidth="1"/>
    <col min="3" max="3" width="1.7109375" customWidth="1"/>
    <col min="4" max="4" width="10.42578125" customWidth="1"/>
    <col min="5" max="5" width="2.28515625" customWidth="1"/>
    <col min="6" max="6" width="13.5703125" customWidth="1"/>
    <col min="8" max="8" width="15.5703125" customWidth="1"/>
    <col min="9" max="9" width="2" customWidth="1"/>
    <col min="10" max="10" width="12.85546875" bestFit="1" customWidth="1"/>
    <col min="12" max="12" width="14" bestFit="1" customWidth="1"/>
    <col min="13" max="13" width="4.7109375" customWidth="1"/>
    <col min="14" max="14" width="15" bestFit="1" customWidth="1"/>
    <col min="15" max="15" width="10.28515625" bestFit="1" customWidth="1"/>
    <col min="16" max="16" width="1.42578125" customWidth="1"/>
  </cols>
  <sheetData>
    <row r="1" spans="1:22" s="2" customFormat="1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">
        <v>1</v>
      </c>
      <c r="P1"/>
      <c r="T1" s="2">
        <v>1</v>
      </c>
    </row>
    <row r="2" spans="1:22" ht="18" x14ac:dyDescent="0.25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66"/>
      <c r="M2" s="166"/>
      <c r="N2" s="3" t="s">
        <v>2</v>
      </c>
      <c r="O2" s="6">
        <v>8</v>
      </c>
      <c r="P2" s="20"/>
      <c r="Q2" s="166"/>
      <c r="R2" s="166"/>
      <c r="S2" s="166"/>
      <c r="T2" s="166"/>
    </row>
    <row r="3" spans="1:22" ht="18" x14ac:dyDescent="0.25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166"/>
      <c r="M3" s="166"/>
      <c r="N3" s="3" t="s">
        <v>3</v>
      </c>
      <c r="O3" s="6" t="s">
        <v>4</v>
      </c>
      <c r="P3" s="20"/>
      <c r="Q3" s="166"/>
      <c r="R3" s="166"/>
      <c r="S3" s="166"/>
      <c r="T3" s="166"/>
    </row>
    <row r="4" spans="1:22" ht="18" x14ac:dyDescent="0.25">
      <c r="A4" s="171"/>
      <c r="B4" s="171"/>
      <c r="C4" s="171"/>
      <c r="D4" s="171"/>
      <c r="E4" s="171"/>
      <c r="F4" s="171"/>
      <c r="G4" s="171"/>
      <c r="H4" s="171"/>
      <c r="I4" s="170"/>
      <c r="J4" s="170"/>
      <c r="K4" s="170"/>
      <c r="L4" s="166"/>
      <c r="M4" s="166"/>
      <c r="N4" s="3" t="s">
        <v>5</v>
      </c>
      <c r="O4" s="6"/>
      <c r="P4" s="20"/>
      <c r="Q4" s="166"/>
      <c r="R4" s="166"/>
      <c r="S4" s="166"/>
      <c r="T4" s="166"/>
    </row>
    <row r="5" spans="1:22" ht="15.75" x14ac:dyDescent="0.25">
      <c r="A5" s="166"/>
      <c r="B5" s="166"/>
      <c r="C5" s="169"/>
      <c r="D5" s="169"/>
      <c r="E5" s="169"/>
      <c r="F5" s="166"/>
      <c r="G5" s="166"/>
      <c r="H5" s="166"/>
      <c r="I5" s="166"/>
      <c r="J5" s="166"/>
      <c r="K5" s="166"/>
      <c r="L5" s="166"/>
      <c r="M5" s="166"/>
      <c r="N5" s="3" t="s">
        <v>6</v>
      </c>
      <c r="O5" s="9">
        <v>9</v>
      </c>
      <c r="P5" s="20"/>
      <c r="Q5" s="166"/>
      <c r="R5" s="166"/>
      <c r="S5" s="166"/>
      <c r="T5" s="166"/>
    </row>
    <row r="6" spans="1:22" x14ac:dyDescent="0.2">
      <c r="A6" s="166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8"/>
      <c r="O6" s="172"/>
      <c r="P6" s="20"/>
      <c r="Q6" s="166"/>
      <c r="R6" s="166"/>
      <c r="S6" s="166"/>
      <c r="T6" s="166"/>
    </row>
    <row r="7" spans="1:22" x14ac:dyDescent="0.2">
      <c r="A7" s="166"/>
      <c r="B7" s="166"/>
      <c r="C7" s="166"/>
      <c r="D7" s="166"/>
      <c r="E7" s="166"/>
      <c r="F7" s="166"/>
      <c r="G7" s="166"/>
      <c r="H7" s="166"/>
      <c r="I7" s="166"/>
      <c r="J7" s="10"/>
      <c r="K7" s="166"/>
      <c r="L7" s="166"/>
      <c r="M7" s="166"/>
      <c r="N7" s="168" t="s">
        <v>7</v>
      </c>
      <c r="O7" s="173">
        <v>41199</v>
      </c>
      <c r="P7" s="20"/>
      <c r="Q7" s="166"/>
      <c r="R7" s="166"/>
      <c r="S7" s="166"/>
      <c r="T7" s="166"/>
    </row>
    <row r="8" spans="1:22" x14ac:dyDescent="0.2">
      <c r="A8" s="166"/>
      <c r="B8" s="166"/>
      <c r="C8" s="166"/>
      <c r="D8" s="166"/>
      <c r="E8" s="166"/>
      <c r="F8" s="166"/>
      <c r="G8" s="166"/>
      <c r="H8" s="167" t="s">
        <v>70</v>
      </c>
      <c r="I8" s="166"/>
      <c r="J8" s="166"/>
      <c r="K8" s="166"/>
      <c r="L8" s="166"/>
      <c r="M8" s="166"/>
      <c r="N8" s="160"/>
      <c r="O8" s="20"/>
      <c r="P8" s="20"/>
      <c r="Q8" s="166"/>
      <c r="R8" s="166"/>
      <c r="S8" s="166"/>
      <c r="T8" s="166"/>
    </row>
    <row r="9" spans="1:22" x14ac:dyDescent="0.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2" ht="15.75" x14ac:dyDescent="0.2">
      <c r="B10" s="165" t="s">
        <v>10</v>
      </c>
      <c r="C10" s="20"/>
      <c r="D10" s="224" t="s">
        <v>81</v>
      </c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0"/>
      <c r="Q10" s="20"/>
      <c r="R10" s="20"/>
      <c r="S10" s="20"/>
      <c r="T10" s="20"/>
      <c r="U10" s="20"/>
      <c r="V10" s="20"/>
    </row>
    <row r="11" spans="1:22" ht="15.75" x14ac:dyDescent="0.25">
      <c r="B11" s="164"/>
      <c r="C11" s="20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20"/>
      <c r="Q11" s="20"/>
      <c r="R11" s="20"/>
      <c r="S11" s="20"/>
      <c r="T11" s="20"/>
      <c r="U11" s="20"/>
      <c r="V11" s="20"/>
    </row>
    <row r="12" spans="1:22" x14ac:dyDescent="0.2">
      <c r="B12" s="19"/>
      <c r="C12" s="20"/>
      <c r="D12" s="156" t="s">
        <v>12</v>
      </c>
      <c r="E12" s="156"/>
      <c r="F12" s="174">
        <v>50</v>
      </c>
      <c r="G12" s="156" t="s">
        <v>13</v>
      </c>
      <c r="H12" s="20"/>
      <c r="I12" s="20"/>
      <c r="J12" s="156" t="s">
        <v>12</v>
      </c>
      <c r="K12" s="156"/>
      <c r="L12" s="162">
        <v>0.3</v>
      </c>
      <c r="M12" s="156" t="s">
        <v>72</v>
      </c>
      <c r="N12" s="20"/>
      <c r="O12" s="20"/>
      <c r="P12" s="20"/>
      <c r="Q12" s="20"/>
      <c r="R12" s="19"/>
      <c r="S12" s="20"/>
      <c r="T12" s="20"/>
      <c r="U12" s="20"/>
      <c r="V12" s="19"/>
    </row>
    <row r="13" spans="1:22" x14ac:dyDescent="0.2"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spans="1:22" x14ac:dyDescent="0.2">
      <c r="B14" s="19"/>
      <c r="C14" s="20"/>
      <c r="D14" s="21"/>
      <c r="E14" s="21"/>
      <c r="F14" s="217" t="s">
        <v>14</v>
      </c>
      <c r="G14" s="218"/>
      <c r="H14" s="219"/>
      <c r="I14" s="20"/>
      <c r="J14" s="217" t="s">
        <v>15</v>
      </c>
      <c r="K14" s="218"/>
      <c r="L14" s="219"/>
      <c r="M14" s="20"/>
      <c r="N14" s="217" t="s">
        <v>16</v>
      </c>
      <c r="O14" s="219"/>
      <c r="P14" s="20"/>
      <c r="Q14" s="20"/>
      <c r="R14" s="20"/>
      <c r="S14" s="20"/>
      <c r="T14" s="20"/>
      <c r="U14" s="20"/>
      <c r="V14" s="20"/>
    </row>
    <row r="15" spans="1:22" ht="12.75" customHeight="1" x14ac:dyDescent="0.2">
      <c r="B15" s="19"/>
      <c r="C15" s="20"/>
      <c r="D15" s="207" t="s">
        <v>17</v>
      </c>
      <c r="E15" s="22"/>
      <c r="F15" s="23" t="s">
        <v>18</v>
      </c>
      <c r="G15" s="23" t="s">
        <v>19</v>
      </c>
      <c r="H15" s="24" t="s">
        <v>20</v>
      </c>
      <c r="I15" s="20"/>
      <c r="J15" s="23" t="s">
        <v>18</v>
      </c>
      <c r="K15" s="25" t="s">
        <v>19</v>
      </c>
      <c r="L15" s="24" t="s">
        <v>20</v>
      </c>
      <c r="M15" s="20"/>
      <c r="N15" s="220" t="s">
        <v>21</v>
      </c>
      <c r="O15" s="220" t="s">
        <v>22</v>
      </c>
      <c r="P15" s="20"/>
      <c r="Q15" s="20"/>
      <c r="R15" s="20"/>
      <c r="S15" s="20"/>
      <c r="T15" s="20"/>
      <c r="U15" s="20"/>
      <c r="V15" s="20"/>
    </row>
    <row r="16" spans="1:22" x14ac:dyDescent="0.2">
      <c r="B16" s="19"/>
      <c r="C16" s="20"/>
      <c r="D16" s="207"/>
      <c r="E16" s="22"/>
      <c r="F16" s="26" t="s">
        <v>23</v>
      </c>
      <c r="G16" s="26"/>
      <c r="H16" s="27" t="s">
        <v>23</v>
      </c>
      <c r="I16" s="20"/>
      <c r="J16" s="26" t="s">
        <v>23</v>
      </c>
      <c r="K16" s="27"/>
      <c r="L16" s="27" t="s">
        <v>23</v>
      </c>
      <c r="M16" s="20"/>
      <c r="N16" s="221"/>
      <c r="O16" s="221"/>
      <c r="P16" s="20"/>
      <c r="Q16" s="20"/>
      <c r="R16" s="20"/>
      <c r="S16" s="20"/>
      <c r="T16" s="20"/>
      <c r="U16" s="20"/>
      <c r="V16" s="20"/>
    </row>
    <row r="17" spans="2:22" x14ac:dyDescent="0.2">
      <c r="B17" s="28" t="s">
        <v>24</v>
      </c>
      <c r="C17" s="28"/>
      <c r="D17" s="29" t="s">
        <v>25</v>
      </c>
      <c r="E17" s="30"/>
      <c r="F17" s="40">
        <f>+'[3]2012 Existing Rates'!$B$11</f>
        <v>4.46</v>
      </c>
      <c r="G17" s="190">
        <v>1</v>
      </c>
      <c r="H17" s="199">
        <f t="shared" ref="H17:H32" si="0">+F17*G17</f>
        <v>4.46</v>
      </c>
      <c r="I17" s="71"/>
      <c r="J17" s="198">
        <f>+'[3]Distribution Rate Schedule'!$B$14</f>
        <v>4.4634</v>
      </c>
      <c r="K17" s="189">
        <v>1</v>
      </c>
      <c r="L17" s="193">
        <f t="shared" ref="L17:L32" si="1">+J17*K17</f>
        <v>4.4634</v>
      </c>
      <c r="M17" s="34"/>
      <c r="N17" s="37">
        <f t="shared" ref="N17:N52" si="2">L17-H17</f>
        <v>3.4000000000000696E-3</v>
      </c>
      <c r="O17" s="38">
        <f t="shared" ref="O17:O38" si="3">IF((H17)=0,"",(N17/H17))</f>
        <v>7.6233183856503804E-4</v>
      </c>
      <c r="P17" s="20"/>
      <c r="Q17" s="20"/>
      <c r="R17" s="20"/>
      <c r="S17" s="20"/>
      <c r="T17" s="20"/>
      <c r="U17" s="20"/>
      <c r="V17" s="20"/>
    </row>
    <row r="18" spans="2:22" hidden="1" x14ac:dyDescent="0.2">
      <c r="B18" s="28" t="s">
        <v>73</v>
      </c>
      <c r="C18" s="28"/>
      <c r="D18" s="29"/>
      <c r="E18" s="30"/>
      <c r="F18" s="40"/>
      <c r="G18" s="190">
        <v>1</v>
      </c>
      <c r="H18" s="193">
        <f t="shared" si="0"/>
        <v>0</v>
      </c>
      <c r="I18" s="34"/>
      <c r="J18" s="42"/>
      <c r="K18" s="189">
        <v>1</v>
      </c>
      <c r="L18" s="193">
        <f t="shared" si="1"/>
        <v>0</v>
      </c>
      <c r="M18" s="34"/>
      <c r="N18" s="37">
        <f t="shared" si="2"/>
        <v>0</v>
      </c>
      <c r="O18" s="38" t="str">
        <f t="shared" si="3"/>
        <v/>
      </c>
      <c r="P18" s="20"/>
      <c r="Q18" s="20"/>
      <c r="R18" s="20"/>
      <c r="S18" s="20"/>
      <c r="T18" s="20"/>
      <c r="U18" s="20"/>
      <c r="V18" s="20"/>
    </row>
    <row r="19" spans="2:22" hidden="1" x14ac:dyDescent="0.2">
      <c r="B19" s="41"/>
      <c r="C19" s="28"/>
      <c r="D19" s="29"/>
      <c r="E19" s="30"/>
      <c r="F19" s="40"/>
      <c r="G19" s="190">
        <v>1</v>
      </c>
      <c r="H19" s="193">
        <f t="shared" si="0"/>
        <v>0</v>
      </c>
      <c r="I19" s="34"/>
      <c r="J19" s="42"/>
      <c r="K19" s="189">
        <v>1</v>
      </c>
      <c r="L19" s="193">
        <f t="shared" si="1"/>
        <v>0</v>
      </c>
      <c r="M19" s="34"/>
      <c r="N19" s="37">
        <f t="shared" si="2"/>
        <v>0</v>
      </c>
      <c r="O19" s="38" t="str">
        <f t="shared" si="3"/>
        <v/>
      </c>
      <c r="P19" s="20"/>
      <c r="Q19" s="20"/>
      <c r="R19" s="20"/>
      <c r="S19" s="20"/>
      <c r="T19" s="20"/>
      <c r="U19" s="20"/>
      <c r="V19" s="20"/>
    </row>
    <row r="20" spans="2:22" hidden="1" x14ac:dyDescent="0.2">
      <c r="B20" s="41"/>
      <c r="C20" s="28"/>
      <c r="D20" s="29"/>
      <c r="E20" s="30"/>
      <c r="F20" s="40"/>
      <c r="G20" s="190">
        <v>1</v>
      </c>
      <c r="H20" s="193">
        <f t="shared" si="0"/>
        <v>0</v>
      </c>
      <c r="I20" s="34"/>
      <c r="J20" s="42"/>
      <c r="K20" s="189">
        <v>1</v>
      </c>
      <c r="L20" s="193">
        <f t="shared" si="1"/>
        <v>0</v>
      </c>
      <c r="M20" s="34"/>
      <c r="N20" s="37">
        <f t="shared" si="2"/>
        <v>0</v>
      </c>
      <c r="O20" s="38" t="str">
        <f t="shared" si="3"/>
        <v/>
      </c>
      <c r="P20" s="20"/>
      <c r="Q20" s="20"/>
      <c r="R20" s="20"/>
      <c r="S20" s="20"/>
      <c r="T20" s="20"/>
      <c r="U20" s="20"/>
      <c r="V20" s="20"/>
    </row>
    <row r="21" spans="2:22" hidden="1" x14ac:dyDescent="0.2">
      <c r="B21" s="41"/>
      <c r="C21" s="28"/>
      <c r="D21" s="29"/>
      <c r="E21" s="30"/>
      <c r="F21" s="40"/>
      <c r="G21" s="190">
        <v>1</v>
      </c>
      <c r="H21" s="193">
        <f t="shared" si="0"/>
        <v>0</v>
      </c>
      <c r="I21" s="34"/>
      <c r="J21" s="42"/>
      <c r="K21" s="189">
        <v>1</v>
      </c>
      <c r="L21" s="193">
        <f t="shared" si="1"/>
        <v>0</v>
      </c>
      <c r="M21" s="34"/>
      <c r="N21" s="37">
        <f t="shared" si="2"/>
        <v>0</v>
      </c>
      <c r="O21" s="38" t="str">
        <f t="shared" si="3"/>
        <v/>
      </c>
      <c r="P21" s="20"/>
      <c r="Q21" s="20"/>
      <c r="R21" s="20"/>
      <c r="S21" s="20"/>
      <c r="T21" s="20"/>
      <c r="U21" s="20"/>
      <c r="V21" s="20"/>
    </row>
    <row r="22" spans="2:22" hidden="1" x14ac:dyDescent="0.2">
      <c r="B22" s="41"/>
      <c r="C22" s="28"/>
      <c r="D22" s="29"/>
      <c r="E22" s="30"/>
      <c r="F22" s="40"/>
      <c r="G22" s="190">
        <v>1</v>
      </c>
      <c r="H22" s="193">
        <f t="shared" si="0"/>
        <v>0</v>
      </c>
      <c r="I22" s="34"/>
      <c r="J22" s="42"/>
      <c r="K22" s="189">
        <v>1</v>
      </c>
      <c r="L22" s="193">
        <f t="shared" si="1"/>
        <v>0</v>
      </c>
      <c r="M22" s="34"/>
      <c r="N22" s="37">
        <f t="shared" si="2"/>
        <v>0</v>
      </c>
      <c r="O22" s="38" t="str">
        <f t="shared" si="3"/>
        <v/>
      </c>
      <c r="P22" s="20"/>
      <c r="Q22" s="20"/>
      <c r="R22" s="20"/>
      <c r="S22" s="20"/>
      <c r="T22" s="20"/>
      <c r="U22" s="20"/>
      <c r="V22" s="20"/>
    </row>
    <row r="23" spans="2:22" x14ac:dyDescent="0.2">
      <c r="B23" s="28" t="s">
        <v>27</v>
      </c>
      <c r="C23" s="28"/>
      <c r="D23" s="29" t="s">
        <v>74</v>
      </c>
      <c r="E23" s="30"/>
      <c r="F23" s="40">
        <f>+'[3]2012 Existing Rates'!$D$11</f>
        <v>11.776199999999999</v>
      </c>
      <c r="G23" s="190">
        <f>+L12</f>
        <v>0.3</v>
      </c>
      <c r="H23" s="193">
        <f t="shared" si="0"/>
        <v>3.5328599999999999</v>
      </c>
      <c r="I23" s="34"/>
      <c r="J23" s="42">
        <f>+'[3]Distribution Rate Schedule'!$D$14</f>
        <v>11.7852</v>
      </c>
      <c r="K23" s="190">
        <f>L12</f>
        <v>0.3</v>
      </c>
      <c r="L23" s="193">
        <f t="shared" si="1"/>
        <v>3.5355599999999998</v>
      </c>
      <c r="M23" s="34"/>
      <c r="N23" s="37">
        <f t="shared" si="2"/>
        <v>2.6999999999999247E-3</v>
      </c>
      <c r="O23" s="38">
        <f t="shared" si="3"/>
        <v>7.642533245019403E-4</v>
      </c>
      <c r="P23" s="20"/>
      <c r="Q23" s="20"/>
      <c r="R23" s="20"/>
      <c r="S23" s="20"/>
      <c r="T23" s="20"/>
      <c r="U23" s="20"/>
      <c r="V23" s="20"/>
    </row>
    <row r="24" spans="2:22" hidden="1" x14ac:dyDescent="0.2">
      <c r="B24" s="28"/>
      <c r="C24" s="28"/>
      <c r="D24" s="29"/>
      <c r="E24" s="30"/>
      <c r="F24" s="40"/>
      <c r="G24" s="190"/>
      <c r="H24" s="193">
        <f t="shared" si="0"/>
        <v>0</v>
      </c>
      <c r="I24" s="34"/>
      <c r="J24" s="42"/>
      <c r="K24" s="190"/>
      <c r="L24" s="193">
        <f t="shared" si="1"/>
        <v>0</v>
      </c>
      <c r="M24" s="34"/>
      <c r="N24" s="37">
        <f t="shared" si="2"/>
        <v>0</v>
      </c>
      <c r="O24" s="38" t="str">
        <f t="shared" si="3"/>
        <v/>
      </c>
    </row>
    <row r="25" spans="2:22" hidden="1" x14ac:dyDescent="0.2">
      <c r="B25" s="28"/>
      <c r="C25" s="28"/>
      <c r="D25" s="29"/>
      <c r="E25" s="30"/>
      <c r="F25" s="40"/>
      <c r="G25" s="190"/>
      <c r="H25" s="193">
        <f t="shared" si="0"/>
        <v>0</v>
      </c>
      <c r="I25" s="34"/>
      <c r="J25" s="42"/>
      <c r="K25" s="190"/>
      <c r="L25" s="193">
        <f t="shared" si="1"/>
        <v>0</v>
      </c>
      <c r="M25" s="34"/>
      <c r="N25" s="37">
        <f t="shared" si="2"/>
        <v>0</v>
      </c>
      <c r="O25" s="38" t="str">
        <f t="shared" si="3"/>
        <v/>
      </c>
    </row>
    <row r="26" spans="2:22" hidden="1" x14ac:dyDescent="0.2">
      <c r="B26" s="41"/>
      <c r="C26" s="28"/>
      <c r="D26" s="29"/>
      <c r="E26" s="30"/>
      <c r="F26" s="40"/>
      <c r="G26" s="190"/>
      <c r="H26" s="193">
        <f t="shared" si="0"/>
        <v>0</v>
      </c>
      <c r="I26" s="34"/>
      <c r="J26" s="42"/>
      <c r="K26" s="190"/>
      <c r="L26" s="193">
        <f t="shared" si="1"/>
        <v>0</v>
      </c>
      <c r="M26" s="34"/>
      <c r="N26" s="37">
        <f t="shared" si="2"/>
        <v>0</v>
      </c>
      <c r="O26" s="38" t="str">
        <f t="shared" si="3"/>
        <v/>
      </c>
    </row>
    <row r="27" spans="2:22" hidden="1" x14ac:dyDescent="0.2">
      <c r="B27" s="41"/>
      <c r="C27" s="28"/>
      <c r="D27" s="29"/>
      <c r="E27" s="30"/>
      <c r="F27" s="40"/>
      <c r="G27" s="190"/>
      <c r="H27" s="193">
        <f t="shared" si="0"/>
        <v>0</v>
      </c>
      <c r="I27" s="34"/>
      <c r="J27" s="42"/>
      <c r="K27" s="190"/>
      <c r="L27" s="193">
        <f t="shared" si="1"/>
        <v>0</v>
      </c>
      <c r="M27" s="34"/>
      <c r="N27" s="37">
        <f t="shared" si="2"/>
        <v>0</v>
      </c>
      <c r="O27" s="38" t="str">
        <f t="shared" si="3"/>
        <v/>
      </c>
    </row>
    <row r="28" spans="2:22" hidden="1" x14ac:dyDescent="0.2">
      <c r="B28" s="41"/>
      <c r="C28" s="28"/>
      <c r="D28" s="29"/>
      <c r="E28" s="30"/>
      <c r="F28" s="40"/>
      <c r="G28" s="190"/>
      <c r="H28" s="193">
        <f t="shared" si="0"/>
        <v>0</v>
      </c>
      <c r="I28" s="34"/>
      <c r="J28" s="42"/>
      <c r="K28" s="190"/>
      <c r="L28" s="193">
        <f t="shared" si="1"/>
        <v>0</v>
      </c>
      <c r="M28" s="34"/>
      <c r="N28" s="37">
        <f t="shared" si="2"/>
        <v>0</v>
      </c>
      <c r="O28" s="38" t="str">
        <f t="shared" si="3"/>
        <v/>
      </c>
    </row>
    <row r="29" spans="2:22" hidden="1" x14ac:dyDescent="0.2">
      <c r="B29" s="41"/>
      <c r="C29" s="28"/>
      <c r="D29" s="29"/>
      <c r="E29" s="30"/>
      <c r="F29" s="40"/>
      <c r="G29" s="190"/>
      <c r="H29" s="193">
        <f t="shared" si="0"/>
        <v>0</v>
      </c>
      <c r="I29" s="34"/>
      <c r="J29" s="42"/>
      <c r="K29" s="190"/>
      <c r="L29" s="193">
        <f t="shared" si="1"/>
        <v>0</v>
      </c>
      <c r="M29" s="34"/>
      <c r="N29" s="37">
        <f t="shared" si="2"/>
        <v>0</v>
      </c>
      <c r="O29" s="38" t="str">
        <f t="shared" si="3"/>
        <v/>
      </c>
    </row>
    <row r="30" spans="2:22" hidden="1" x14ac:dyDescent="0.2">
      <c r="B30" s="41"/>
      <c r="C30" s="28"/>
      <c r="D30" s="29"/>
      <c r="E30" s="30"/>
      <c r="F30" s="40"/>
      <c r="G30" s="190"/>
      <c r="H30" s="193">
        <f t="shared" si="0"/>
        <v>0</v>
      </c>
      <c r="I30" s="34"/>
      <c r="J30" s="42"/>
      <c r="K30" s="190"/>
      <c r="L30" s="193">
        <f t="shared" si="1"/>
        <v>0</v>
      </c>
      <c r="M30" s="34"/>
      <c r="N30" s="37">
        <f t="shared" si="2"/>
        <v>0</v>
      </c>
      <c r="O30" s="38" t="str">
        <f t="shared" si="3"/>
        <v/>
      </c>
    </row>
    <row r="31" spans="2:22" hidden="1" x14ac:dyDescent="0.2">
      <c r="B31" s="41"/>
      <c r="C31" s="28"/>
      <c r="D31" s="29"/>
      <c r="E31" s="30"/>
      <c r="F31" s="40"/>
      <c r="G31" s="190"/>
      <c r="H31" s="193">
        <f t="shared" si="0"/>
        <v>0</v>
      </c>
      <c r="I31" s="34"/>
      <c r="J31" s="42"/>
      <c r="K31" s="190"/>
      <c r="L31" s="193">
        <f t="shared" si="1"/>
        <v>0</v>
      </c>
      <c r="M31" s="34"/>
      <c r="N31" s="37">
        <f t="shared" si="2"/>
        <v>0</v>
      </c>
      <c r="O31" s="38" t="str">
        <f t="shared" si="3"/>
        <v/>
      </c>
    </row>
    <row r="32" spans="2:22" hidden="1" x14ac:dyDescent="0.2">
      <c r="B32" s="41"/>
      <c r="C32" s="28"/>
      <c r="D32" s="29"/>
      <c r="E32" s="30"/>
      <c r="F32" s="40"/>
      <c r="G32" s="190"/>
      <c r="H32" s="193">
        <f t="shared" si="0"/>
        <v>0</v>
      </c>
      <c r="I32" s="34"/>
      <c r="J32" s="42"/>
      <c r="K32" s="190"/>
      <c r="L32" s="193">
        <f t="shared" si="1"/>
        <v>0</v>
      </c>
      <c r="M32" s="34"/>
      <c r="N32" s="37">
        <f t="shared" si="2"/>
        <v>0</v>
      </c>
      <c r="O32" s="38" t="str">
        <f t="shared" si="3"/>
        <v/>
      </c>
    </row>
    <row r="33" spans="2:15" x14ac:dyDescent="0.2">
      <c r="B33" s="45" t="s">
        <v>31</v>
      </c>
      <c r="C33" s="46"/>
      <c r="D33" s="47"/>
      <c r="E33" s="46"/>
      <c r="F33" s="48"/>
      <c r="G33" s="197"/>
      <c r="H33" s="50">
        <f>SUM(H17:H32)</f>
        <v>7.9928600000000003</v>
      </c>
      <c r="I33" s="51"/>
      <c r="J33" s="52"/>
      <c r="K33" s="196"/>
      <c r="L33" s="50">
        <f>SUM(L17:L32)</f>
        <v>7.9989600000000003</v>
      </c>
      <c r="M33" s="51"/>
      <c r="N33" s="54">
        <f t="shared" si="2"/>
        <v>6.0999999999999943E-3</v>
      </c>
      <c r="O33" s="55">
        <f t="shared" si="3"/>
        <v>7.6318113916670554E-4</v>
      </c>
    </row>
    <row r="34" spans="2:15" ht="25.5" x14ac:dyDescent="0.2">
      <c r="B34" s="56" t="s">
        <v>32</v>
      </c>
      <c r="C34" s="28"/>
      <c r="D34" s="29" t="s">
        <v>74</v>
      </c>
      <c r="E34" s="30"/>
      <c r="F34" s="40">
        <f>+'[3]2012 Existing Rates'!$D$24</f>
        <v>-3.0300000000000001E-2</v>
      </c>
      <c r="G34" s="190">
        <f>+$L$12</f>
        <v>0.3</v>
      </c>
      <c r="H34" s="193">
        <f>+F34*G34</f>
        <v>-9.0899999999999991E-3</v>
      </c>
      <c r="I34" s="34"/>
      <c r="J34" s="42">
        <f>[4]Sheet1!$F$25</f>
        <v>-0.56642336203292831</v>
      </c>
      <c r="K34" s="190">
        <f>L12</f>
        <v>0.3</v>
      </c>
      <c r="L34" s="193">
        <f t="shared" ref="L34:L39" si="4">+J34*K34</f>
        <v>-0.1699270086098785</v>
      </c>
      <c r="M34" s="34"/>
      <c r="N34" s="37">
        <f t="shared" si="2"/>
        <v>-0.16083700860987851</v>
      </c>
      <c r="O34" s="38">
        <f t="shared" si="3"/>
        <v>17.693840331119748</v>
      </c>
    </row>
    <row r="35" spans="2:15" x14ac:dyDescent="0.2">
      <c r="B35" s="175" t="s">
        <v>80</v>
      </c>
      <c r="C35" s="28"/>
      <c r="D35" s="29"/>
      <c r="E35" s="30"/>
      <c r="F35" s="40">
        <f>+'[3]2012 Existing Rates'!$D$86</f>
        <v>-0.92749999999999999</v>
      </c>
      <c r="G35" s="190">
        <f>+$L$12</f>
        <v>0.3</v>
      </c>
      <c r="H35" s="193">
        <f>+F35*G35</f>
        <v>-0.27825</v>
      </c>
      <c r="I35" s="58"/>
      <c r="J35" s="42">
        <f>+F35</f>
        <v>-0.92749999999999999</v>
      </c>
      <c r="K35" s="190">
        <f>+$L$12</f>
        <v>0.3</v>
      </c>
      <c r="L35" s="193">
        <f t="shared" si="4"/>
        <v>-0.27825</v>
      </c>
      <c r="M35" s="59"/>
      <c r="N35" s="37">
        <f t="shared" si="2"/>
        <v>0</v>
      </c>
      <c r="O35" s="38">
        <f t="shared" si="3"/>
        <v>0</v>
      </c>
    </row>
    <row r="36" spans="2:15" x14ac:dyDescent="0.2">
      <c r="B36" s="175" t="s">
        <v>35</v>
      </c>
      <c r="C36" s="28"/>
      <c r="D36" s="29"/>
      <c r="E36" s="30"/>
      <c r="F36" s="176">
        <f>'[3]2012 Existing Rates'!$C$48</f>
        <v>1.0862000000000001</v>
      </c>
      <c r="G36" s="190">
        <f>+$L$12</f>
        <v>0.3</v>
      </c>
      <c r="H36" s="193">
        <f>+F36*G36</f>
        <v>0.32585999999999998</v>
      </c>
      <c r="I36" s="58"/>
      <c r="J36" s="42"/>
      <c r="K36" s="190">
        <f>+$L$12</f>
        <v>0.3</v>
      </c>
      <c r="L36" s="193">
        <f t="shared" si="4"/>
        <v>0</v>
      </c>
      <c r="M36" s="59"/>
      <c r="N36" s="37">
        <f t="shared" si="2"/>
        <v>-0.32585999999999998</v>
      </c>
      <c r="O36" s="38">
        <f t="shared" si="3"/>
        <v>-1</v>
      </c>
    </row>
    <row r="37" spans="2:15" x14ac:dyDescent="0.2">
      <c r="B37" s="41"/>
      <c r="C37" s="28"/>
      <c r="D37" s="29"/>
      <c r="E37" s="30"/>
      <c r="F37" s="40"/>
      <c r="G37" s="190">
        <f>+$L$12</f>
        <v>0.3</v>
      </c>
      <c r="H37" s="193">
        <f>+F37*G37</f>
        <v>0</v>
      </c>
      <c r="I37" s="58"/>
      <c r="J37" s="42"/>
      <c r="K37" s="190">
        <f>+$L$12</f>
        <v>0.3</v>
      </c>
      <c r="L37" s="193">
        <f t="shared" si="4"/>
        <v>0</v>
      </c>
      <c r="M37" s="59"/>
      <c r="N37" s="37">
        <f t="shared" si="2"/>
        <v>0</v>
      </c>
      <c r="O37" s="38" t="str">
        <f t="shared" si="3"/>
        <v/>
      </c>
    </row>
    <row r="38" spans="2:15" x14ac:dyDescent="0.2">
      <c r="B38" s="39" t="s">
        <v>36</v>
      </c>
      <c r="C38" s="28"/>
      <c r="D38" s="29" t="s">
        <v>74</v>
      </c>
      <c r="E38" s="30"/>
      <c r="F38" s="40">
        <f>+'[3]2012 Existing Rates'!$D$36</f>
        <v>0.17119999999999999</v>
      </c>
      <c r="G38" s="190">
        <f>+$L$12</f>
        <v>0.3</v>
      </c>
      <c r="H38" s="193">
        <f>+F38*G38</f>
        <v>5.1359999999999996E-2</v>
      </c>
      <c r="I38" s="34"/>
      <c r="J38" s="42">
        <f>+'[3]Distribution Rate Schedule'!$D$25</f>
        <v>0.49740000000000001</v>
      </c>
      <c r="K38" s="190">
        <f>+$L$12</f>
        <v>0.3</v>
      </c>
      <c r="L38" s="193">
        <f t="shared" si="4"/>
        <v>0.14921999999999999</v>
      </c>
      <c r="M38" s="34"/>
      <c r="N38" s="37">
        <f t="shared" si="2"/>
        <v>9.7860000000000003E-2</v>
      </c>
      <c r="O38" s="38">
        <f t="shared" si="3"/>
        <v>1.9053738317757012</v>
      </c>
    </row>
    <row r="39" spans="2:15" x14ac:dyDescent="0.2">
      <c r="B39" s="39" t="s">
        <v>37</v>
      </c>
      <c r="C39" s="28"/>
      <c r="D39" s="29" t="s">
        <v>25</v>
      </c>
      <c r="E39" s="30"/>
      <c r="F39" s="60"/>
      <c r="G39" s="195"/>
      <c r="H39" s="62"/>
      <c r="I39" s="34"/>
      <c r="J39" s="42"/>
      <c r="K39" s="190">
        <v>1</v>
      </c>
      <c r="L39" s="193">
        <f t="shared" si="4"/>
        <v>0</v>
      </c>
      <c r="M39" s="34"/>
      <c r="N39" s="37">
        <f t="shared" si="2"/>
        <v>0</v>
      </c>
      <c r="O39" s="38"/>
    </row>
    <row r="40" spans="2:15" ht="25.5" x14ac:dyDescent="0.2">
      <c r="B40" s="63" t="s">
        <v>38</v>
      </c>
      <c r="C40" s="64"/>
      <c r="D40" s="64"/>
      <c r="E40" s="64"/>
      <c r="F40" s="65"/>
      <c r="G40" s="68"/>
      <c r="H40" s="191">
        <f>SUM(H33:H39)</f>
        <v>8.0827400000000011</v>
      </c>
      <c r="I40" s="51"/>
      <c r="J40" s="68"/>
      <c r="K40" s="194"/>
      <c r="L40" s="191">
        <f>SUM(L33:L39)</f>
        <v>7.7000029913901216</v>
      </c>
      <c r="M40" s="51"/>
      <c r="N40" s="54">
        <f t="shared" si="2"/>
        <v>-0.38273700860987958</v>
      </c>
      <c r="O40" s="55">
        <f t="shared" ref="O40:O52" si="5">IF((H40)=0,"",(N40/H40))</f>
        <v>-4.7352384044257213E-2</v>
      </c>
    </row>
    <row r="41" spans="2:15" x14ac:dyDescent="0.2">
      <c r="B41" s="34" t="s">
        <v>39</v>
      </c>
      <c r="C41" s="34"/>
      <c r="D41" s="70" t="s">
        <v>74</v>
      </c>
      <c r="E41" s="71"/>
      <c r="F41" s="42">
        <f>+'[5]3. Rate Classes'!$J$29</f>
        <v>1.5005999999999999</v>
      </c>
      <c r="G41" s="190">
        <f>+$L$12</f>
        <v>0.3</v>
      </c>
      <c r="H41" s="193">
        <f>+G41*F41</f>
        <v>0.45017999999999997</v>
      </c>
      <c r="I41" s="34"/>
      <c r="J41" s="42">
        <f>+'[5]13. Final 2013 RTS Rates'!$F$31</f>
        <v>2.0484634635630461</v>
      </c>
      <c r="K41" s="190">
        <f>+$L$12</f>
        <v>0.3</v>
      </c>
      <c r="L41" s="193">
        <f>+J41*K41</f>
        <v>0.61453903906891383</v>
      </c>
      <c r="M41" s="34"/>
      <c r="N41" s="37">
        <f t="shared" si="2"/>
        <v>0.16435903906891386</v>
      </c>
      <c r="O41" s="38">
        <f t="shared" si="5"/>
        <v>0.36509627053381727</v>
      </c>
    </row>
    <row r="42" spans="2:15" ht="25.5" x14ac:dyDescent="0.2">
      <c r="B42" s="74" t="s">
        <v>40</v>
      </c>
      <c r="C42" s="34"/>
      <c r="D42" s="70" t="s">
        <v>74</v>
      </c>
      <c r="E42" s="71"/>
      <c r="F42" s="42">
        <f>+'[5]3. Rate Classes'!$M$29</f>
        <v>1.2290000000000001</v>
      </c>
      <c r="G42" s="190">
        <f>+$L$12</f>
        <v>0.3</v>
      </c>
      <c r="H42" s="193">
        <f>+G42*F42</f>
        <v>0.36870000000000003</v>
      </c>
      <c r="I42" s="34"/>
      <c r="J42" s="42">
        <f>+'[5]13. Final 2013 RTS Rates'!$H$31</f>
        <v>1.5232241321184621</v>
      </c>
      <c r="K42" s="190">
        <f>+$L$12</f>
        <v>0.3</v>
      </c>
      <c r="L42" s="193">
        <f>+J42*K42</f>
        <v>0.45696723963553859</v>
      </c>
      <c r="M42" s="34"/>
      <c r="N42" s="37">
        <f t="shared" si="2"/>
        <v>8.8267239635538564E-2</v>
      </c>
      <c r="O42" s="38">
        <f t="shared" si="5"/>
        <v>0.23940124663829279</v>
      </c>
    </row>
    <row r="43" spans="2:15" ht="25.5" x14ac:dyDescent="0.2">
      <c r="B43" s="63" t="s">
        <v>41</v>
      </c>
      <c r="C43" s="46"/>
      <c r="D43" s="46"/>
      <c r="E43" s="46"/>
      <c r="F43" s="75"/>
      <c r="G43" s="68"/>
      <c r="H43" s="191">
        <f>SUM(H40:H42)</f>
        <v>8.9016200000000012</v>
      </c>
      <c r="I43" s="76"/>
      <c r="J43" s="77"/>
      <c r="K43" s="192"/>
      <c r="L43" s="191">
        <f>SUM(L40:L42)</f>
        <v>8.7715092700945743</v>
      </c>
      <c r="M43" s="76"/>
      <c r="N43" s="54">
        <f t="shared" si="2"/>
        <v>-0.13011072990542694</v>
      </c>
      <c r="O43" s="55">
        <f t="shared" si="5"/>
        <v>-1.461652259986687E-2</v>
      </c>
    </row>
    <row r="44" spans="2:15" ht="25.5" x14ac:dyDescent="0.2">
      <c r="B44" s="79" t="s">
        <v>42</v>
      </c>
      <c r="C44" s="28"/>
      <c r="D44" s="29" t="s">
        <v>28</v>
      </c>
      <c r="E44" s="30"/>
      <c r="F44" s="83">
        <v>5.1999999999999998E-3</v>
      </c>
      <c r="G44" s="187">
        <f>($F$12*(1+$F$61))</f>
        <v>52.244999999999997</v>
      </c>
      <c r="H44" s="81">
        <f t="shared" ref="H44:H50" si="6">+F44*G44</f>
        <v>0.27167399999999997</v>
      </c>
      <c r="I44" s="34"/>
      <c r="J44" s="80">
        <v>4.4000000000000003E-3</v>
      </c>
      <c r="K44" s="187">
        <f>($F$12*(1+$J$61))</f>
        <v>52.487399999999994</v>
      </c>
      <c r="L44" s="81">
        <f t="shared" ref="L44:L50" si="7">+J44*K44</f>
        <v>0.23094455999999999</v>
      </c>
      <c r="M44" s="34"/>
      <c r="N44" s="37">
        <f t="shared" si="2"/>
        <v>-4.0729439999999978E-2</v>
      </c>
      <c r="O44" s="82">
        <f t="shared" si="5"/>
        <v>-0.14992027209081465</v>
      </c>
    </row>
    <row r="45" spans="2:15" ht="25.5" x14ac:dyDescent="0.2">
      <c r="B45" s="79" t="s">
        <v>43</v>
      </c>
      <c r="C45" s="28"/>
      <c r="D45" s="29" t="s">
        <v>28</v>
      </c>
      <c r="E45" s="30"/>
      <c r="F45" s="83">
        <v>1.1000000000000001E-3</v>
      </c>
      <c r="G45" s="187">
        <f>($F$12*(1+$F$61))</f>
        <v>52.244999999999997</v>
      </c>
      <c r="H45" s="81">
        <f t="shared" si="6"/>
        <v>5.74695E-2</v>
      </c>
      <c r="I45" s="34"/>
      <c r="J45" s="80">
        <v>1.1999999999999999E-3</v>
      </c>
      <c r="K45" s="187">
        <f>($F$12*(1+$J$61))</f>
        <v>52.487399999999994</v>
      </c>
      <c r="L45" s="81">
        <f t="shared" si="7"/>
        <v>6.2984879999999993E-2</v>
      </c>
      <c r="M45" s="34"/>
      <c r="N45" s="37">
        <f t="shared" si="2"/>
        <v>5.5153799999999933E-3</v>
      </c>
      <c r="O45" s="82">
        <f t="shared" si="5"/>
        <v>9.5970558296139583E-2</v>
      </c>
    </row>
    <row r="46" spans="2:15" x14ac:dyDescent="0.2">
      <c r="B46" s="28" t="s">
        <v>44</v>
      </c>
      <c r="C46" s="28"/>
      <c r="D46" s="29" t="s">
        <v>25</v>
      </c>
      <c r="E46" s="30"/>
      <c r="F46" s="83">
        <v>0.25</v>
      </c>
      <c r="G46" s="190">
        <v>1</v>
      </c>
      <c r="H46" s="81">
        <f t="shared" si="6"/>
        <v>0.25</v>
      </c>
      <c r="I46" s="34"/>
      <c r="J46" s="80">
        <v>0.25</v>
      </c>
      <c r="K46" s="189">
        <v>1</v>
      </c>
      <c r="L46" s="81">
        <f t="shared" si="7"/>
        <v>0.25</v>
      </c>
      <c r="M46" s="34"/>
      <c r="N46" s="37">
        <f t="shared" si="2"/>
        <v>0</v>
      </c>
      <c r="O46" s="82">
        <f t="shared" si="5"/>
        <v>0</v>
      </c>
    </row>
    <row r="47" spans="2:15" x14ac:dyDescent="0.2">
      <c r="B47" s="28" t="s">
        <v>45</v>
      </c>
      <c r="C47" s="28"/>
      <c r="D47" s="29" t="s">
        <v>28</v>
      </c>
      <c r="E47" s="30"/>
      <c r="F47" s="83">
        <v>7.0000000000000001E-3</v>
      </c>
      <c r="G47" s="187">
        <f>+F12</f>
        <v>50</v>
      </c>
      <c r="H47" s="81">
        <f t="shared" si="6"/>
        <v>0.35000000000000003</v>
      </c>
      <c r="I47" s="34"/>
      <c r="J47" s="80">
        <v>7.0000000000000001E-3</v>
      </c>
      <c r="K47" s="188">
        <f>+F12</f>
        <v>50</v>
      </c>
      <c r="L47" s="81">
        <f t="shared" si="7"/>
        <v>0.35000000000000003</v>
      </c>
      <c r="M47" s="34"/>
      <c r="N47" s="37">
        <f t="shared" si="2"/>
        <v>0</v>
      </c>
      <c r="O47" s="82">
        <f t="shared" si="5"/>
        <v>0</v>
      </c>
    </row>
    <row r="48" spans="2:15" x14ac:dyDescent="0.2">
      <c r="B48" s="39" t="s">
        <v>46</v>
      </c>
      <c r="C48" s="28"/>
      <c r="D48" s="29"/>
      <c r="E48" s="30"/>
      <c r="F48" s="84">
        <v>7.4999999999999997E-2</v>
      </c>
      <c r="G48" s="72">
        <f>IF($T$1=1,IF($F$12&gt;=600,600,IF($F$12&lt;600,$F$12*(1+$F$61),$F$12-600)),IF($T$1=2,IF($F$12&gt;=1000,1000,IF($F$12&lt;1000,$F$12*(1+$F$61),$F$12-1000))))</f>
        <v>52.244999999999997</v>
      </c>
      <c r="H48" s="81">
        <f t="shared" si="6"/>
        <v>3.9183749999999997</v>
      </c>
      <c r="I48" s="34"/>
      <c r="J48" s="83">
        <v>7.4999999999999997E-2</v>
      </c>
      <c r="K48" s="72">
        <f>IF($T$1=1,IF($F$12&gt;=600,600,IF($F$12&lt;600,$F$12*(1+$J$61),$F$12-600)),IF($T$1=2,IF($F$12&gt;=1000,1000,IF($F$12&lt;1000,$F$12*(1+$J$61),$F$12-1000))))</f>
        <v>52.487399999999994</v>
      </c>
      <c r="L48" s="81">
        <f t="shared" si="7"/>
        <v>3.9365549999999994</v>
      </c>
      <c r="M48" s="34"/>
      <c r="N48" s="37">
        <f t="shared" si="2"/>
        <v>1.8179999999999641E-2</v>
      </c>
      <c r="O48" s="82">
        <f t="shared" si="5"/>
        <v>4.6396784381279596E-3</v>
      </c>
    </row>
    <row r="49" spans="2:15" x14ac:dyDescent="0.2">
      <c r="B49" s="39" t="s">
        <v>47</v>
      </c>
      <c r="C49" s="28"/>
      <c r="D49" s="29"/>
      <c r="E49" s="30"/>
      <c r="F49" s="84">
        <v>8.7999999999999995E-2</v>
      </c>
      <c r="G49" s="72">
        <f>IF($T$1=1,IF($F$12&gt;=600,$F$12*(1+$F$61)-600,IF($F$12&lt;600,0,)), IF($T$1=2,IF($F$12&gt;=1000,$F$12*(1+$F$61)-1000,IF($F$12&lt;1000,0))))</f>
        <v>0</v>
      </c>
      <c r="H49" s="81">
        <f t="shared" si="6"/>
        <v>0</v>
      </c>
      <c r="I49" s="34"/>
      <c r="J49" s="83">
        <v>8.7999999999999995E-2</v>
      </c>
      <c r="K49" s="72">
        <f>IF($T$1=1,IF($F$12&gt;=600,$F$12*(1+$J$61)-600,IF($F$12&lt;600,0,)), IF($T$1=2,IF($F$12&gt;=1000,$F$12*(1+$J$61)-1000,IF($F$12&lt;1000,0))))</f>
        <v>0</v>
      </c>
      <c r="L49" s="81">
        <f t="shared" si="7"/>
        <v>0</v>
      </c>
      <c r="M49" s="34"/>
      <c r="N49" s="37">
        <f t="shared" si="2"/>
        <v>0</v>
      </c>
      <c r="O49" s="82" t="str">
        <f t="shared" si="5"/>
        <v/>
      </c>
    </row>
    <row r="50" spans="2:15" x14ac:dyDescent="0.2">
      <c r="B50" s="39" t="s">
        <v>76</v>
      </c>
      <c r="C50" s="28"/>
      <c r="D50" s="29" t="s">
        <v>28</v>
      </c>
      <c r="E50" s="30"/>
      <c r="F50" s="83">
        <v>8.0689999999999998E-2</v>
      </c>
      <c r="G50" s="187">
        <f>($F$12*(1+$F$61))</f>
        <v>52.244999999999997</v>
      </c>
      <c r="H50" s="81">
        <f t="shared" si="6"/>
        <v>4.2156490499999997</v>
      </c>
      <c r="I50" s="34"/>
      <c r="J50" s="83">
        <f>+F50</f>
        <v>8.0689999999999998E-2</v>
      </c>
      <c r="K50" s="187">
        <f>($F$12*(1+$J$61))</f>
        <v>52.487399999999994</v>
      </c>
      <c r="L50" s="81">
        <f t="shared" si="7"/>
        <v>4.2352083059999996</v>
      </c>
      <c r="M50" s="34"/>
      <c r="N50" s="37">
        <f t="shared" si="2"/>
        <v>1.9559255999999969E-2</v>
      </c>
      <c r="O50" s="82">
        <f t="shared" si="5"/>
        <v>4.6396784381280438E-3</v>
      </c>
    </row>
    <row r="51" spans="2:15" x14ac:dyDescent="0.2">
      <c r="B51" s="39" t="s">
        <v>77</v>
      </c>
      <c r="C51" s="28"/>
      <c r="D51" s="29"/>
      <c r="E51" s="30"/>
      <c r="F51" s="84"/>
      <c r="G51" s="186"/>
      <c r="H51" s="81">
        <v>0</v>
      </c>
      <c r="I51" s="34"/>
      <c r="J51" s="83"/>
      <c r="K51" s="186"/>
      <c r="L51" s="81">
        <v>0</v>
      </c>
      <c r="M51" s="34"/>
      <c r="N51" s="37">
        <f t="shared" si="2"/>
        <v>0</v>
      </c>
      <c r="O51" s="82" t="str">
        <f t="shared" si="5"/>
        <v/>
      </c>
    </row>
    <row r="52" spans="2:15" ht="13.5" thickBot="1" x14ac:dyDescent="0.25">
      <c r="B52" s="19" t="s">
        <v>77</v>
      </c>
      <c r="C52" s="28"/>
      <c r="D52" s="29"/>
      <c r="E52" s="30"/>
      <c r="F52" s="84"/>
      <c r="G52" s="186"/>
      <c r="H52" s="81">
        <v>0</v>
      </c>
      <c r="I52" s="34"/>
      <c r="J52" s="83"/>
      <c r="K52" s="186"/>
      <c r="L52" s="81">
        <v>0</v>
      </c>
      <c r="M52" s="34"/>
      <c r="N52" s="37">
        <f t="shared" si="2"/>
        <v>0</v>
      </c>
      <c r="O52" s="82" t="str">
        <f t="shared" si="5"/>
        <v/>
      </c>
    </row>
    <row r="53" spans="2:15" ht="13.5" thickBot="1" x14ac:dyDescent="0.25">
      <c r="B53" s="87"/>
      <c r="C53" s="88"/>
      <c r="D53" s="89"/>
      <c r="E53" s="88"/>
      <c r="F53" s="136"/>
      <c r="G53" s="153"/>
      <c r="H53" s="138"/>
      <c r="I53" s="139"/>
      <c r="J53" s="136"/>
      <c r="K53" s="154"/>
      <c r="L53" s="140"/>
      <c r="M53" s="93"/>
      <c r="N53" s="95"/>
      <c r="O53" s="96"/>
    </row>
    <row r="54" spans="2:15" x14ac:dyDescent="0.2">
      <c r="B54" s="97" t="s">
        <v>78</v>
      </c>
      <c r="C54" s="28"/>
      <c r="D54" s="28"/>
      <c r="E54" s="28"/>
      <c r="F54" s="98"/>
      <c r="G54" s="185"/>
      <c r="H54" s="184">
        <f>SUM(H43:H53)</f>
        <v>17.96478755</v>
      </c>
      <c r="I54" s="101"/>
      <c r="J54" s="102"/>
      <c r="K54" s="102"/>
      <c r="L54" s="184">
        <f>SUM(L43:L53)</f>
        <v>17.837202016094572</v>
      </c>
      <c r="M54" s="105"/>
      <c r="N54" s="106">
        <f>L54-H54</f>
        <v>-0.12758553390542815</v>
      </c>
      <c r="O54" s="107">
        <f>IF((H54)=0,"",(N54/H54))</f>
        <v>-7.1019784425687873E-3</v>
      </c>
    </row>
    <row r="55" spans="2:15" x14ac:dyDescent="0.2">
      <c r="B55" s="108" t="s">
        <v>52</v>
      </c>
      <c r="C55" s="28"/>
      <c r="D55" s="28"/>
      <c r="E55" s="28"/>
      <c r="F55" s="109">
        <v>0.13</v>
      </c>
      <c r="G55" s="182"/>
      <c r="H55" s="183">
        <f>+F55*H54</f>
        <v>2.3354223814999999</v>
      </c>
      <c r="I55" s="111"/>
      <c r="J55" s="143">
        <v>0.13</v>
      </c>
      <c r="K55" s="111"/>
      <c r="L55" s="183">
        <f>+J55*L54</f>
        <v>2.3188362620922947</v>
      </c>
      <c r="M55" s="115"/>
      <c r="N55" s="116">
        <f>L55-H55</f>
        <v>-1.6586119407705269E-2</v>
      </c>
      <c r="O55" s="117">
        <f>IF((H55)=0,"",(N55/H55))</f>
        <v>-7.1019784425686208E-3</v>
      </c>
    </row>
    <row r="56" spans="2:15" x14ac:dyDescent="0.2">
      <c r="B56" s="118" t="s">
        <v>53</v>
      </c>
      <c r="C56" s="28"/>
      <c r="D56" s="28"/>
      <c r="E56" s="28"/>
      <c r="F56" s="119"/>
      <c r="G56" s="182"/>
      <c r="H56" s="183">
        <f>+H54+H55</f>
        <v>20.3002099315</v>
      </c>
      <c r="I56" s="111"/>
      <c r="J56" s="111"/>
      <c r="K56" s="111"/>
      <c r="L56" s="183">
        <f>+L54+L55</f>
        <v>20.156038278186866</v>
      </c>
      <c r="M56" s="115"/>
      <c r="N56" s="116">
        <f>L56-H56</f>
        <v>-0.14417165331313342</v>
      </c>
      <c r="O56" s="117">
        <f>IF((H56)=0,"",(N56/H56))</f>
        <v>-7.1019784425687691E-3</v>
      </c>
    </row>
    <row r="57" spans="2:15" ht="16.899999999999999" customHeight="1" x14ac:dyDescent="0.2">
      <c r="B57" s="213" t="s">
        <v>54</v>
      </c>
      <c r="C57" s="213"/>
      <c r="D57" s="213"/>
      <c r="E57" s="28"/>
      <c r="F57" s="119"/>
      <c r="G57" s="182"/>
      <c r="H57" s="181">
        <f>-H56*0.1</f>
        <v>-2.03002099315</v>
      </c>
      <c r="I57" s="111"/>
      <c r="J57" s="111"/>
      <c r="K57" s="111"/>
      <c r="L57" s="181">
        <f>-L56*0.1</f>
        <v>-2.0156038278186865</v>
      </c>
      <c r="M57" s="115"/>
      <c r="N57" s="124">
        <f>L57-H57</f>
        <v>1.4417165331313431E-2</v>
      </c>
      <c r="O57" s="125">
        <f>IF((H57)=0,"",(N57/H57))</f>
        <v>-7.1019784425688124E-3</v>
      </c>
    </row>
    <row r="58" spans="2:15" ht="13.5" customHeight="1" thickBot="1" x14ac:dyDescent="0.25">
      <c r="B58" s="223" t="s">
        <v>57</v>
      </c>
      <c r="C58" s="223"/>
      <c r="D58" s="223"/>
      <c r="E58" s="126"/>
      <c r="F58" s="144"/>
      <c r="G58" s="180"/>
      <c r="H58" s="179">
        <f>+H56+H57</f>
        <v>18.27018893835</v>
      </c>
      <c r="I58" s="147"/>
      <c r="J58" s="147"/>
      <c r="K58" s="147"/>
      <c r="L58" s="179">
        <f>+L56+L57</f>
        <v>18.140434450368179</v>
      </c>
      <c r="M58" s="150"/>
      <c r="N58" s="134">
        <f>L58-H58</f>
        <v>-0.12975448798182043</v>
      </c>
      <c r="O58" s="135">
        <f>IF((H58)=0,"",(N58/H58))</f>
        <v>-7.1019784425687882E-3</v>
      </c>
    </row>
    <row r="59" spans="2:15" ht="13.5" thickBot="1" x14ac:dyDescent="0.25">
      <c r="B59" s="87"/>
      <c r="C59" s="88"/>
      <c r="D59" s="89"/>
      <c r="E59" s="88"/>
      <c r="F59" s="136"/>
      <c r="G59" s="153"/>
      <c r="H59" s="138"/>
      <c r="I59" s="139"/>
      <c r="J59" s="136"/>
      <c r="K59" s="154"/>
      <c r="L59" s="140"/>
      <c r="M59" s="93"/>
      <c r="N59" s="141"/>
      <c r="O59" s="96"/>
    </row>
    <row r="60" spans="2:15" x14ac:dyDescent="0.2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155"/>
      <c r="M60" s="20"/>
    </row>
    <row r="61" spans="2:15" x14ac:dyDescent="0.2">
      <c r="B61" s="156" t="s">
        <v>58</v>
      </c>
      <c r="C61" s="20"/>
      <c r="D61" s="20"/>
      <c r="E61" s="20"/>
      <c r="F61" s="157">
        <f>+'[2]Bill Impacts App 2-W Residentia'!F71</f>
        <v>4.4900000000000002E-2</v>
      </c>
      <c r="G61" s="20"/>
      <c r="H61" s="20"/>
      <c r="I61" s="20"/>
      <c r="J61" s="158">
        <f>+'[2]Bill Impacts App 2-W Residentia'!J71</f>
        <v>4.9748000000000001E-2</v>
      </c>
      <c r="K61" s="20"/>
      <c r="L61" s="20"/>
      <c r="M61" s="20"/>
    </row>
  </sheetData>
  <mergeCells count="10">
    <mergeCell ref="B57:D57"/>
    <mergeCell ref="B58:D58"/>
    <mergeCell ref="A3:K3"/>
    <mergeCell ref="D10:O10"/>
    <mergeCell ref="F14:H14"/>
    <mergeCell ref="J14:L14"/>
    <mergeCell ref="N14:O14"/>
    <mergeCell ref="D15:D16"/>
    <mergeCell ref="N15:N16"/>
    <mergeCell ref="O15:O16"/>
  </mergeCells>
  <pageMargins left="0.70866141732283472" right="0.70866141732283472" top="0.74803149606299213" bottom="0.74803149606299213" header="0.31496062992125984" footer="0.31496062992125984"/>
  <pageSetup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1"/>
  <sheetViews>
    <sheetView topLeftCell="A10" zoomScale="70" zoomScaleNormal="70" workbookViewId="0">
      <selection activeCell="J39" sqref="J39"/>
    </sheetView>
  </sheetViews>
  <sheetFormatPr defaultRowHeight="12.75" x14ac:dyDescent="0.2"/>
  <cols>
    <col min="2" max="2" width="28.5703125" customWidth="1"/>
    <col min="3" max="3" width="1.85546875" customWidth="1"/>
    <col min="5" max="5" width="3.7109375" customWidth="1"/>
    <col min="6" max="6" width="9.7109375" bestFit="1" customWidth="1"/>
    <col min="8" max="8" width="17.28515625" customWidth="1"/>
    <col min="9" max="9" width="1.42578125" customWidth="1"/>
    <col min="10" max="10" width="12.85546875" bestFit="1" customWidth="1"/>
    <col min="12" max="12" width="14" bestFit="1" customWidth="1"/>
    <col min="13" max="13" width="1.5703125" customWidth="1"/>
    <col min="14" max="14" width="12.7109375" bestFit="1" customWidth="1"/>
    <col min="16" max="16" width="2" customWidth="1"/>
  </cols>
  <sheetData>
    <row r="1" spans="1:20" s="2" customFormat="1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">
        <v>1</v>
      </c>
      <c r="P1"/>
      <c r="T1" s="2">
        <v>1</v>
      </c>
    </row>
    <row r="2" spans="1:20" ht="18" x14ac:dyDescent="0.25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66"/>
      <c r="M2" s="166"/>
      <c r="N2" s="3" t="s">
        <v>2</v>
      </c>
      <c r="O2" s="6">
        <v>8</v>
      </c>
      <c r="P2" s="20"/>
      <c r="Q2" s="166"/>
      <c r="R2" s="166"/>
      <c r="S2" s="166"/>
      <c r="T2" s="166"/>
    </row>
    <row r="3" spans="1:20" ht="18" x14ac:dyDescent="0.25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166"/>
      <c r="M3" s="166"/>
      <c r="N3" s="3" t="s">
        <v>3</v>
      </c>
      <c r="O3" s="6" t="s">
        <v>4</v>
      </c>
      <c r="P3" s="20"/>
      <c r="Q3" s="166"/>
      <c r="R3" s="166"/>
      <c r="S3" s="166"/>
      <c r="T3" s="166"/>
    </row>
    <row r="4" spans="1:20" ht="18" x14ac:dyDescent="0.25">
      <c r="A4" s="171"/>
      <c r="B4" s="171"/>
      <c r="C4" s="171"/>
      <c r="D4" s="171"/>
      <c r="E4" s="171"/>
      <c r="F4" s="171"/>
      <c r="G4" s="171"/>
      <c r="H4" s="171"/>
      <c r="I4" s="170"/>
      <c r="J4" s="170"/>
      <c r="K4" s="170"/>
      <c r="L4" s="166"/>
      <c r="M4" s="166"/>
      <c r="N4" s="3" t="s">
        <v>5</v>
      </c>
      <c r="O4" s="6"/>
      <c r="P4" s="20"/>
      <c r="Q4" s="166"/>
      <c r="R4" s="166"/>
      <c r="S4" s="166"/>
      <c r="T4" s="166"/>
    </row>
    <row r="5" spans="1:20" ht="15.75" x14ac:dyDescent="0.25">
      <c r="A5" s="166"/>
      <c r="B5" s="166"/>
      <c r="C5" s="169"/>
      <c r="D5" s="169"/>
      <c r="E5" s="169"/>
      <c r="F5" s="166"/>
      <c r="G5" s="166"/>
      <c r="H5" s="166"/>
      <c r="I5" s="166"/>
      <c r="J5" s="166"/>
      <c r="K5" s="166"/>
      <c r="L5" s="166"/>
      <c r="M5" s="166"/>
      <c r="N5" s="3" t="s">
        <v>6</v>
      </c>
      <c r="O5" s="9">
        <v>7</v>
      </c>
      <c r="P5" s="20"/>
      <c r="Q5" s="166"/>
      <c r="R5" s="166"/>
      <c r="S5" s="166"/>
      <c r="T5" s="166"/>
    </row>
    <row r="6" spans="1:20" x14ac:dyDescent="0.2">
      <c r="A6" s="166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8"/>
      <c r="O6" s="172"/>
      <c r="P6" s="20"/>
      <c r="Q6" s="166"/>
      <c r="R6" s="166"/>
      <c r="S6" s="166"/>
      <c r="T6" s="166"/>
    </row>
    <row r="7" spans="1:20" x14ac:dyDescent="0.2">
      <c r="A7" s="166"/>
      <c r="B7" s="166"/>
      <c r="C7" s="166"/>
      <c r="D7" s="166"/>
      <c r="E7" s="166"/>
      <c r="F7" s="166"/>
      <c r="G7" s="166"/>
      <c r="H7" s="166"/>
      <c r="I7" s="166"/>
      <c r="J7" s="10"/>
      <c r="K7" s="166"/>
      <c r="L7" s="166"/>
      <c r="M7" s="166"/>
      <c r="N7" s="168" t="s">
        <v>7</v>
      </c>
      <c r="O7" s="173">
        <v>41199</v>
      </c>
      <c r="P7" s="20"/>
      <c r="Q7" s="166"/>
      <c r="R7" s="166"/>
      <c r="S7" s="166"/>
      <c r="T7" s="166"/>
    </row>
    <row r="8" spans="1:20" x14ac:dyDescent="0.2">
      <c r="A8" s="166"/>
      <c r="B8" s="166"/>
      <c r="C8" s="166"/>
      <c r="D8" s="166"/>
      <c r="E8" s="166"/>
      <c r="F8" s="166"/>
      <c r="G8" s="166"/>
      <c r="H8" s="167" t="s">
        <v>70</v>
      </c>
      <c r="I8" s="166"/>
      <c r="J8" s="166"/>
      <c r="K8" s="166"/>
      <c r="L8" s="166"/>
      <c r="M8" s="166"/>
      <c r="N8" s="160"/>
      <c r="O8" s="20"/>
      <c r="P8" s="20"/>
      <c r="Q8" s="166"/>
      <c r="R8" s="166"/>
      <c r="S8" s="166"/>
      <c r="T8" s="166"/>
    </row>
    <row r="9" spans="1:20" x14ac:dyDescent="0.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ht="15.75" x14ac:dyDescent="0.2">
      <c r="B10" s="165" t="s">
        <v>10</v>
      </c>
      <c r="C10" s="20"/>
      <c r="D10" s="224" t="s">
        <v>79</v>
      </c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</row>
    <row r="11" spans="1:20" ht="15.75" hidden="1" x14ac:dyDescent="0.2">
      <c r="B11" s="165"/>
      <c r="C11" s="20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</row>
    <row r="12" spans="1:20" ht="15.75" hidden="1" x14ac:dyDescent="0.2">
      <c r="B12" s="165"/>
      <c r="C12" s="20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</row>
    <row r="13" spans="1:20" ht="15.75" hidden="1" x14ac:dyDescent="0.2">
      <c r="B13" s="165"/>
      <c r="C13" s="20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</row>
    <row r="14" spans="1:20" ht="15.75" hidden="1" x14ac:dyDescent="0.2">
      <c r="B14" s="165"/>
      <c r="C14" s="20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</row>
    <row r="15" spans="1:20" ht="15.75" x14ac:dyDescent="0.25">
      <c r="B15" s="164"/>
      <c r="C15" s="20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</row>
    <row r="16" spans="1:20" x14ac:dyDescent="0.2">
      <c r="B16" s="19"/>
      <c r="C16" s="20"/>
      <c r="D16" s="156" t="s">
        <v>12</v>
      </c>
      <c r="E16" s="156"/>
      <c r="F16" s="162">
        <v>275</v>
      </c>
      <c r="G16" s="156" t="s">
        <v>13</v>
      </c>
      <c r="H16" s="20"/>
      <c r="I16" s="20"/>
      <c r="J16" s="20"/>
      <c r="K16" s="20"/>
      <c r="L16" s="20"/>
      <c r="M16" s="20"/>
      <c r="N16" s="20"/>
      <c r="O16" s="20"/>
    </row>
    <row r="17" spans="2:15" x14ac:dyDescent="0.2">
      <c r="B17" s="1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2:15" x14ac:dyDescent="0.2">
      <c r="B18" s="19"/>
      <c r="C18" s="20"/>
      <c r="D18" s="21"/>
      <c r="E18" s="21"/>
      <c r="F18" s="217" t="s">
        <v>14</v>
      </c>
      <c r="G18" s="218"/>
      <c r="H18" s="219"/>
      <c r="I18" s="20"/>
      <c r="J18" s="217" t="s">
        <v>15</v>
      </c>
      <c r="K18" s="218"/>
      <c r="L18" s="219"/>
      <c r="M18" s="20"/>
      <c r="N18" s="217" t="s">
        <v>16</v>
      </c>
      <c r="O18" s="219"/>
    </row>
    <row r="19" spans="2:15" ht="12.75" customHeight="1" x14ac:dyDescent="0.2">
      <c r="B19" s="19"/>
      <c r="C19" s="20"/>
      <c r="D19" s="207" t="s">
        <v>17</v>
      </c>
      <c r="E19" s="22"/>
      <c r="F19" s="23" t="s">
        <v>18</v>
      </c>
      <c r="G19" s="23" t="s">
        <v>19</v>
      </c>
      <c r="H19" s="24" t="s">
        <v>20</v>
      </c>
      <c r="I19" s="20"/>
      <c r="J19" s="23" t="s">
        <v>18</v>
      </c>
      <c r="K19" s="25" t="s">
        <v>19</v>
      </c>
      <c r="L19" s="24" t="s">
        <v>20</v>
      </c>
      <c r="M19" s="20"/>
      <c r="N19" s="220" t="s">
        <v>21</v>
      </c>
      <c r="O19" s="220" t="s">
        <v>22</v>
      </c>
    </row>
    <row r="20" spans="2:15" x14ac:dyDescent="0.2">
      <c r="B20" s="19"/>
      <c r="C20" s="20"/>
      <c r="D20" s="207"/>
      <c r="E20" s="22"/>
      <c r="F20" s="26" t="s">
        <v>23</v>
      </c>
      <c r="G20" s="26"/>
      <c r="H20" s="27" t="s">
        <v>23</v>
      </c>
      <c r="I20" s="20"/>
      <c r="J20" s="26" t="s">
        <v>23</v>
      </c>
      <c r="K20" s="27"/>
      <c r="L20" s="27" t="s">
        <v>23</v>
      </c>
      <c r="M20" s="20"/>
      <c r="N20" s="221"/>
      <c r="O20" s="221"/>
    </row>
    <row r="21" spans="2:15" x14ac:dyDescent="0.2">
      <c r="B21" s="28" t="s">
        <v>24</v>
      </c>
      <c r="C21" s="28"/>
      <c r="D21" s="29" t="s">
        <v>25</v>
      </c>
      <c r="E21" s="30"/>
      <c r="F21" s="40">
        <f>+'[3]2012 Existing Rates'!$C$13</f>
        <v>15.31</v>
      </c>
      <c r="G21" s="32">
        <v>1</v>
      </c>
      <c r="H21" s="33">
        <f t="shared" ref="H21:H36" si="0">G21*F21</f>
        <v>15.31</v>
      </c>
      <c r="I21" s="34"/>
      <c r="J21" s="35">
        <f>+'[3]Distribution Rate Schedule'!$B$16</f>
        <v>6.5106000000000002</v>
      </c>
      <c r="K21" s="36">
        <v>1</v>
      </c>
      <c r="L21" s="33">
        <f t="shared" ref="L21:L36" si="1">K21*J21</f>
        <v>6.5106000000000002</v>
      </c>
      <c r="M21" s="34"/>
      <c r="N21" s="37">
        <f t="shared" ref="N21:N56" si="2">L21-H21</f>
        <v>-8.7994000000000003</v>
      </c>
      <c r="O21" s="38">
        <f t="shared" ref="O21:O42" si="3">IF((H21)=0,"",(N21/H21))</f>
        <v>-0.57474853037230567</v>
      </c>
    </row>
    <row r="22" spans="2:15" hidden="1" x14ac:dyDescent="0.2">
      <c r="B22" s="28" t="s">
        <v>73</v>
      </c>
      <c r="C22" s="28"/>
      <c r="D22" s="29"/>
      <c r="E22" s="30"/>
      <c r="F22" s="40"/>
      <c r="G22" s="32">
        <v>1</v>
      </c>
      <c r="H22" s="33">
        <f t="shared" si="0"/>
        <v>0</v>
      </c>
      <c r="I22" s="34"/>
      <c r="J22" s="42"/>
      <c r="K22" s="36">
        <v>1</v>
      </c>
      <c r="L22" s="33">
        <f t="shared" si="1"/>
        <v>0</v>
      </c>
      <c r="M22" s="34"/>
      <c r="N22" s="37">
        <f t="shared" si="2"/>
        <v>0</v>
      </c>
      <c r="O22" s="38" t="str">
        <f t="shared" si="3"/>
        <v/>
      </c>
    </row>
    <row r="23" spans="2:15" hidden="1" x14ac:dyDescent="0.2">
      <c r="B23" s="41"/>
      <c r="C23" s="28"/>
      <c r="D23" s="29"/>
      <c r="E23" s="30"/>
      <c r="F23" s="40"/>
      <c r="G23" s="32">
        <v>1</v>
      </c>
      <c r="H23" s="33">
        <f t="shared" si="0"/>
        <v>0</v>
      </c>
      <c r="I23" s="34"/>
      <c r="J23" s="42"/>
      <c r="K23" s="36">
        <v>1</v>
      </c>
      <c r="L23" s="33">
        <f t="shared" si="1"/>
        <v>0</v>
      </c>
      <c r="M23" s="34"/>
      <c r="N23" s="37">
        <f t="shared" si="2"/>
        <v>0</v>
      </c>
      <c r="O23" s="38" t="str">
        <f t="shared" si="3"/>
        <v/>
      </c>
    </row>
    <row r="24" spans="2:15" hidden="1" x14ac:dyDescent="0.2">
      <c r="B24" s="41"/>
      <c r="C24" s="28"/>
      <c r="D24" s="29"/>
      <c r="E24" s="30"/>
      <c r="F24" s="40"/>
      <c r="G24" s="32">
        <v>1</v>
      </c>
      <c r="H24" s="33">
        <f t="shared" si="0"/>
        <v>0</v>
      </c>
      <c r="I24" s="34"/>
      <c r="J24" s="42"/>
      <c r="K24" s="36">
        <v>1</v>
      </c>
      <c r="L24" s="33">
        <f t="shared" si="1"/>
        <v>0</v>
      </c>
      <c r="M24" s="34"/>
      <c r="N24" s="37">
        <f t="shared" si="2"/>
        <v>0</v>
      </c>
      <c r="O24" s="38" t="str">
        <f t="shared" si="3"/>
        <v/>
      </c>
    </row>
    <row r="25" spans="2:15" hidden="1" x14ac:dyDescent="0.2">
      <c r="B25" s="41"/>
      <c r="C25" s="28"/>
      <c r="D25" s="29"/>
      <c r="E25" s="30"/>
      <c r="F25" s="40"/>
      <c r="G25" s="32">
        <v>1</v>
      </c>
      <c r="H25" s="33">
        <f t="shared" si="0"/>
        <v>0</v>
      </c>
      <c r="I25" s="34"/>
      <c r="J25" s="42"/>
      <c r="K25" s="36">
        <v>1</v>
      </c>
      <c r="L25" s="33">
        <f t="shared" si="1"/>
        <v>0</v>
      </c>
      <c r="M25" s="34"/>
      <c r="N25" s="37">
        <f t="shared" si="2"/>
        <v>0</v>
      </c>
      <c r="O25" s="38" t="str">
        <f t="shared" si="3"/>
        <v/>
      </c>
    </row>
    <row r="26" spans="2:15" hidden="1" x14ac:dyDescent="0.2">
      <c r="B26" s="41"/>
      <c r="C26" s="28"/>
      <c r="D26" s="29"/>
      <c r="E26" s="30"/>
      <c r="F26" s="40"/>
      <c r="G26" s="32">
        <v>1</v>
      </c>
      <c r="H26" s="33">
        <f t="shared" si="0"/>
        <v>0</v>
      </c>
      <c r="I26" s="34"/>
      <c r="J26" s="42"/>
      <c r="K26" s="36">
        <v>1</v>
      </c>
      <c r="L26" s="33">
        <f t="shared" si="1"/>
        <v>0</v>
      </c>
      <c r="M26" s="34"/>
      <c r="N26" s="37">
        <f t="shared" si="2"/>
        <v>0</v>
      </c>
      <c r="O26" s="38" t="str">
        <f t="shared" si="3"/>
        <v/>
      </c>
    </row>
    <row r="27" spans="2:15" x14ac:dyDescent="0.2">
      <c r="B27" s="28" t="s">
        <v>27</v>
      </c>
      <c r="C27" s="28"/>
      <c r="D27" s="29" t="s">
        <v>28</v>
      </c>
      <c r="E27" s="30"/>
      <c r="F27" s="40">
        <f>+'[3]2012 Existing Rates'!$E$13</f>
        <v>2.4199999999999999E-2</v>
      </c>
      <c r="G27" s="32">
        <f>+F16</f>
        <v>275</v>
      </c>
      <c r="H27" s="33">
        <f t="shared" si="0"/>
        <v>6.6549999999999994</v>
      </c>
      <c r="I27" s="34"/>
      <c r="J27" s="42">
        <f>+'[3]Distribution Rate Schedule'!$E$16</f>
        <v>1.03E-2</v>
      </c>
      <c r="K27" s="32">
        <f>+F16</f>
        <v>275</v>
      </c>
      <c r="L27" s="33">
        <f t="shared" si="1"/>
        <v>2.8325</v>
      </c>
      <c r="M27" s="34"/>
      <c r="N27" s="37">
        <f t="shared" si="2"/>
        <v>-3.8224999999999993</v>
      </c>
      <c r="O27" s="38">
        <f t="shared" si="3"/>
        <v>-0.57438016528925617</v>
      </c>
    </row>
    <row r="28" spans="2:15" hidden="1" x14ac:dyDescent="0.2">
      <c r="B28" s="28"/>
      <c r="C28" s="28"/>
      <c r="D28" s="29"/>
      <c r="E28" s="30"/>
      <c r="F28" s="40"/>
      <c r="G28" s="32"/>
      <c r="H28" s="33">
        <f t="shared" si="0"/>
        <v>0</v>
      </c>
      <c r="I28" s="34"/>
      <c r="J28" s="42"/>
      <c r="K28" s="32"/>
      <c r="L28" s="33">
        <f t="shared" si="1"/>
        <v>0</v>
      </c>
      <c r="M28" s="34"/>
      <c r="N28" s="37">
        <f t="shared" si="2"/>
        <v>0</v>
      </c>
      <c r="O28" s="38" t="str">
        <f t="shared" si="3"/>
        <v/>
      </c>
    </row>
    <row r="29" spans="2:15" hidden="1" x14ac:dyDescent="0.2">
      <c r="B29" s="28"/>
      <c r="C29" s="28"/>
      <c r="D29" s="29"/>
      <c r="E29" s="30"/>
      <c r="F29" s="40"/>
      <c r="G29" s="32"/>
      <c r="H29" s="33">
        <f t="shared" si="0"/>
        <v>0</v>
      </c>
      <c r="I29" s="34"/>
      <c r="J29" s="42"/>
      <c r="K29" s="32"/>
      <c r="L29" s="33">
        <f t="shared" si="1"/>
        <v>0</v>
      </c>
      <c r="M29" s="34"/>
      <c r="N29" s="37">
        <f t="shared" si="2"/>
        <v>0</v>
      </c>
      <c r="O29" s="38" t="str">
        <f t="shared" si="3"/>
        <v/>
      </c>
    </row>
    <row r="30" spans="2:15" hidden="1" x14ac:dyDescent="0.2">
      <c r="B30" s="41"/>
      <c r="C30" s="28"/>
      <c r="D30" s="29"/>
      <c r="E30" s="30"/>
      <c r="F30" s="40"/>
      <c r="G30" s="32"/>
      <c r="H30" s="33">
        <f t="shared" si="0"/>
        <v>0</v>
      </c>
      <c r="I30" s="34"/>
      <c r="J30" s="42"/>
      <c r="K30" s="32"/>
      <c r="L30" s="33">
        <f t="shared" si="1"/>
        <v>0</v>
      </c>
      <c r="M30" s="34"/>
      <c r="N30" s="37">
        <f t="shared" si="2"/>
        <v>0</v>
      </c>
      <c r="O30" s="38" t="str">
        <f t="shared" si="3"/>
        <v/>
      </c>
    </row>
    <row r="31" spans="2:15" hidden="1" x14ac:dyDescent="0.2">
      <c r="B31" s="41"/>
      <c r="C31" s="28"/>
      <c r="D31" s="29"/>
      <c r="E31" s="30"/>
      <c r="F31" s="40"/>
      <c r="G31" s="32"/>
      <c r="H31" s="33">
        <f t="shared" si="0"/>
        <v>0</v>
      </c>
      <c r="I31" s="34"/>
      <c r="J31" s="42"/>
      <c r="K31" s="32"/>
      <c r="L31" s="33">
        <f t="shared" si="1"/>
        <v>0</v>
      </c>
      <c r="M31" s="34"/>
      <c r="N31" s="37">
        <f t="shared" si="2"/>
        <v>0</v>
      </c>
      <c r="O31" s="38" t="str">
        <f t="shared" si="3"/>
        <v/>
      </c>
    </row>
    <row r="32" spans="2:15" hidden="1" x14ac:dyDescent="0.2">
      <c r="B32" s="41"/>
      <c r="C32" s="28"/>
      <c r="D32" s="29"/>
      <c r="E32" s="30"/>
      <c r="F32" s="40"/>
      <c r="G32" s="32"/>
      <c r="H32" s="33">
        <f t="shared" si="0"/>
        <v>0</v>
      </c>
      <c r="I32" s="34"/>
      <c r="J32" s="42"/>
      <c r="K32" s="32"/>
      <c r="L32" s="33">
        <f t="shared" si="1"/>
        <v>0</v>
      </c>
      <c r="M32" s="34"/>
      <c r="N32" s="37">
        <f t="shared" si="2"/>
        <v>0</v>
      </c>
      <c r="O32" s="38" t="str">
        <f t="shared" si="3"/>
        <v/>
      </c>
    </row>
    <row r="33" spans="2:15" hidden="1" x14ac:dyDescent="0.2">
      <c r="B33" s="41"/>
      <c r="C33" s="28"/>
      <c r="D33" s="29"/>
      <c r="E33" s="30"/>
      <c r="F33" s="40"/>
      <c r="G33" s="32"/>
      <c r="H33" s="33">
        <f t="shared" si="0"/>
        <v>0</v>
      </c>
      <c r="I33" s="34"/>
      <c r="J33" s="42"/>
      <c r="K33" s="32"/>
      <c r="L33" s="33">
        <f t="shared" si="1"/>
        <v>0</v>
      </c>
      <c r="M33" s="34"/>
      <c r="N33" s="37">
        <f t="shared" si="2"/>
        <v>0</v>
      </c>
      <c r="O33" s="38" t="str">
        <f t="shared" si="3"/>
        <v/>
      </c>
    </row>
    <row r="34" spans="2:15" hidden="1" x14ac:dyDescent="0.2">
      <c r="B34" s="41"/>
      <c r="C34" s="28"/>
      <c r="D34" s="29"/>
      <c r="E34" s="30"/>
      <c r="F34" s="40"/>
      <c r="G34" s="32"/>
      <c r="H34" s="33">
        <f t="shared" si="0"/>
        <v>0</v>
      </c>
      <c r="I34" s="34"/>
      <c r="J34" s="42"/>
      <c r="K34" s="32"/>
      <c r="L34" s="33">
        <f t="shared" si="1"/>
        <v>0</v>
      </c>
      <c r="M34" s="34"/>
      <c r="N34" s="37">
        <f t="shared" si="2"/>
        <v>0</v>
      </c>
      <c r="O34" s="38" t="str">
        <f t="shared" si="3"/>
        <v/>
      </c>
    </row>
    <row r="35" spans="2:15" hidden="1" x14ac:dyDescent="0.2">
      <c r="B35" s="41"/>
      <c r="C35" s="28"/>
      <c r="D35" s="29"/>
      <c r="E35" s="30"/>
      <c r="F35" s="40"/>
      <c r="G35" s="32"/>
      <c r="H35" s="33">
        <f t="shared" si="0"/>
        <v>0</v>
      </c>
      <c r="I35" s="34"/>
      <c r="J35" s="42"/>
      <c r="K35" s="32"/>
      <c r="L35" s="33">
        <f t="shared" si="1"/>
        <v>0</v>
      </c>
      <c r="M35" s="34"/>
      <c r="N35" s="37">
        <f t="shared" si="2"/>
        <v>0</v>
      </c>
      <c r="O35" s="38" t="str">
        <f t="shared" si="3"/>
        <v/>
      </c>
    </row>
    <row r="36" spans="2:15" hidden="1" x14ac:dyDescent="0.2">
      <c r="B36" s="41"/>
      <c r="C36" s="28"/>
      <c r="D36" s="29"/>
      <c r="E36" s="30"/>
      <c r="F36" s="40"/>
      <c r="G36" s="32"/>
      <c r="H36" s="33">
        <f t="shared" si="0"/>
        <v>0</v>
      </c>
      <c r="I36" s="34"/>
      <c r="J36" s="42"/>
      <c r="K36" s="32"/>
      <c r="L36" s="33">
        <f t="shared" si="1"/>
        <v>0</v>
      </c>
      <c r="M36" s="34"/>
      <c r="N36" s="37">
        <f t="shared" si="2"/>
        <v>0</v>
      </c>
      <c r="O36" s="38" t="str">
        <f t="shared" si="3"/>
        <v/>
      </c>
    </row>
    <row r="37" spans="2:15" x14ac:dyDescent="0.2">
      <c r="B37" s="45" t="s">
        <v>31</v>
      </c>
      <c r="C37" s="46"/>
      <c r="D37" s="47"/>
      <c r="E37" s="46"/>
      <c r="F37" s="48"/>
      <c r="G37" s="49"/>
      <c r="H37" s="50">
        <f>SUM(H21:H36)</f>
        <v>21.965</v>
      </c>
      <c r="I37" s="51"/>
      <c r="J37" s="52"/>
      <c r="K37" s="53"/>
      <c r="L37" s="50">
        <f>SUM(L21:L36)</f>
        <v>9.3430999999999997</v>
      </c>
      <c r="M37" s="51"/>
      <c r="N37" s="54">
        <f t="shared" si="2"/>
        <v>-12.6219</v>
      </c>
      <c r="O37" s="55">
        <f t="shared" si="3"/>
        <v>-0.5746369223765081</v>
      </c>
    </row>
    <row r="38" spans="2:15" ht="25.5" x14ac:dyDescent="0.2">
      <c r="B38" s="56" t="s">
        <v>32</v>
      </c>
      <c r="C38" s="28"/>
      <c r="D38" s="29" t="s">
        <v>28</v>
      </c>
      <c r="E38" s="30"/>
      <c r="F38" s="177">
        <f>+'[3]2012 Existing Rates'!$B$26</f>
        <v>-1.8E-3</v>
      </c>
      <c r="G38" s="32">
        <f>+F16</f>
        <v>275</v>
      </c>
      <c r="H38" s="33">
        <f>G38*F38</f>
        <v>-0.495</v>
      </c>
      <c r="I38" s="34"/>
      <c r="J38" s="42">
        <f>[4]Sheet1!$F$24</f>
        <v>-3.0165714517524306E-3</v>
      </c>
      <c r="K38" s="32">
        <f>+F16</f>
        <v>275</v>
      </c>
      <c r="L38" s="33">
        <f t="shared" ref="L38:L43" si="4">K38*J38</f>
        <v>-0.82955714923191837</v>
      </c>
      <c r="M38" s="34"/>
      <c r="N38" s="37">
        <f t="shared" si="2"/>
        <v>-0.33455714923191837</v>
      </c>
      <c r="O38" s="38">
        <f t="shared" si="3"/>
        <v>0.67587302875135025</v>
      </c>
    </row>
    <row r="39" spans="2:15" x14ac:dyDescent="0.2">
      <c r="B39" s="175" t="s">
        <v>34</v>
      </c>
      <c r="C39" s="28"/>
      <c r="D39" s="57" t="s">
        <v>28</v>
      </c>
      <c r="E39" s="30"/>
      <c r="F39" s="40">
        <f>+'[3]2012 Existing Rates'!$B$88</f>
        <v>-1.5E-3</v>
      </c>
      <c r="G39" s="32">
        <f>+F16</f>
        <v>275</v>
      </c>
      <c r="H39" s="33">
        <f>G39*F39</f>
        <v>-0.41250000000000003</v>
      </c>
      <c r="I39" s="58"/>
      <c r="J39" s="42">
        <f>+F39</f>
        <v>-1.5E-3</v>
      </c>
      <c r="K39" s="32">
        <f>+F16</f>
        <v>275</v>
      </c>
      <c r="L39" s="33">
        <f t="shared" si="4"/>
        <v>-0.41250000000000003</v>
      </c>
      <c r="M39" s="59"/>
      <c r="N39" s="37">
        <f t="shared" si="2"/>
        <v>0</v>
      </c>
      <c r="O39" s="38">
        <f t="shared" si="3"/>
        <v>0</v>
      </c>
    </row>
    <row r="40" spans="2:15" x14ac:dyDescent="0.2">
      <c r="B40" s="175" t="s">
        <v>35</v>
      </c>
      <c r="C40" s="28"/>
      <c r="D40" s="57" t="s">
        <v>28</v>
      </c>
      <c r="E40" s="30"/>
      <c r="F40" s="40">
        <f>'[3]2012 Existing Rates'!$B$50</f>
        <v>1E-3</v>
      </c>
      <c r="G40" s="32">
        <f>+F16</f>
        <v>275</v>
      </c>
      <c r="H40" s="33">
        <f>G40*F40</f>
        <v>0.27500000000000002</v>
      </c>
      <c r="I40" s="58"/>
      <c r="J40" s="42"/>
      <c r="K40" s="32"/>
      <c r="L40" s="33">
        <f t="shared" si="4"/>
        <v>0</v>
      </c>
      <c r="M40" s="59"/>
      <c r="N40" s="37">
        <f t="shared" si="2"/>
        <v>-0.27500000000000002</v>
      </c>
      <c r="O40" s="38">
        <f t="shared" si="3"/>
        <v>-1</v>
      </c>
    </row>
    <row r="41" spans="2:15" x14ac:dyDescent="0.2">
      <c r="B41" s="41"/>
      <c r="C41" s="28"/>
      <c r="D41" s="29"/>
      <c r="E41" s="30"/>
      <c r="F41" s="40"/>
      <c r="G41" s="32"/>
      <c r="H41" s="33">
        <f>G41*F41</f>
        <v>0</v>
      </c>
      <c r="I41" s="58"/>
      <c r="J41" s="42"/>
      <c r="K41" s="32"/>
      <c r="L41" s="33">
        <f t="shared" si="4"/>
        <v>0</v>
      </c>
      <c r="M41" s="59"/>
      <c r="N41" s="37">
        <f t="shared" si="2"/>
        <v>0</v>
      </c>
      <c r="O41" s="38" t="str">
        <f t="shared" si="3"/>
        <v/>
      </c>
    </row>
    <row r="42" spans="2:15" x14ac:dyDescent="0.2">
      <c r="B42" s="39" t="s">
        <v>36</v>
      </c>
      <c r="C42" s="28"/>
      <c r="D42" s="29" t="s">
        <v>28</v>
      </c>
      <c r="E42" s="30"/>
      <c r="F42" s="40">
        <f>+'[3]2012 Existing Rates'!$B$38</f>
        <v>5.9999999999999995E-4</v>
      </c>
      <c r="G42" s="32">
        <f>+F16</f>
        <v>275</v>
      </c>
      <c r="H42" s="33">
        <f>G42*F42</f>
        <v>0.16499999999999998</v>
      </c>
      <c r="I42" s="34"/>
      <c r="J42" s="42">
        <f>+'[3]Distribution Rate Schedule'!$E$27</f>
        <v>1.6000000000000001E-3</v>
      </c>
      <c r="K42" s="32">
        <f>+F16</f>
        <v>275</v>
      </c>
      <c r="L42" s="33">
        <f t="shared" si="4"/>
        <v>0.44</v>
      </c>
      <c r="M42" s="34"/>
      <c r="N42" s="37">
        <f t="shared" si="2"/>
        <v>0.27500000000000002</v>
      </c>
      <c r="O42" s="38">
        <f t="shared" si="3"/>
        <v>1.666666666666667</v>
      </c>
    </row>
    <row r="43" spans="2:15" x14ac:dyDescent="0.2">
      <c r="B43" s="39" t="s">
        <v>37</v>
      </c>
      <c r="C43" s="28"/>
      <c r="D43" s="29" t="s">
        <v>25</v>
      </c>
      <c r="E43" s="30"/>
      <c r="F43" s="60"/>
      <c r="G43" s="61"/>
      <c r="H43" s="62"/>
      <c r="I43" s="34"/>
      <c r="J43" s="42"/>
      <c r="K43" s="32"/>
      <c r="L43" s="33">
        <f t="shared" si="4"/>
        <v>0</v>
      </c>
      <c r="M43" s="34"/>
      <c r="N43" s="37">
        <f t="shared" si="2"/>
        <v>0</v>
      </c>
      <c r="O43" s="38"/>
    </row>
    <row r="44" spans="2:15" ht="25.5" x14ac:dyDescent="0.2">
      <c r="B44" s="63" t="s">
        <v>38</v>
      </c>
      <c r="C44" s="64"/>
      <c r="D44" s="64"/>
      <c r="E44" s="64"/>
      <c r="F44" s="65"/>
      <c r="G44" s="66"/>
      <c r="H44" s="67">
        <f>SUM(H38:H42)+H37</f>
        <v>21.497499999999999</v>
      </c>
      <c r="I44" s="51"/>
      <c r="J44" s="68"/>
      <c r="K44" s="69"/>
      <c r="L44" s="67">
        <f>SUM(L38:L42)+L37</f>
        <v>8.5410428507680809</v>
      </c>
      <c r="M44" s="51"/>
      <c r="N44" s="54">
        <f t="shared" si="2"/>
        <v>-12.956457149231918</v>
      </c>
      <c r="O44" s="55">
        <f t="shared" ref="O44:O56" si="5">IF((H44)=0,"",(N44/H44))</f>
        <v>-0.60269599484739711</v>
      </c>
    </row>
    <row r="45" spans="2:15" x14ac:dyDescent="0.2">
      <c r="B45" s="34" t="s">
        <v>39</v>
      </c>
      <c r="C45" s="34"/>
      <c r="D45" s="70" t="s">
        <v>28</v>
      </c>
      <c r="E45" s="71"/>
      <c r="F45" s="42">
        <f>+'[5]3. Rate Classes'!$J$28</f>
        <v>4.8999999999999998E-3</v>
      </c>
      <c r="G45" s="72">
        <f>+$F$16*(1+$F$71)</f>
        <v>287.34749999999997</v>
      </c>
      <c r="H45" s="33">
        <f>G45*F45</f>
        <v>1.4080027499999999</v>
      </c>
      <c r="I45" s="34"/>
      <c r="J45" s="42">
        <f>+'[5]13. Final 2013 RTS Rates'!$F$30</f>
        <v>6.6889717256157048E-3</v>
      </c>
      <c r="K45" s="72">
        <f>+$F$16*(1+$J$71)</f>
        <v>288.6807</v>
      </c>
      <c r="L45" s="33">
        <f>K45*J45</f>
        <v>1.9309770400309496</v>
      </c>
      <c r="M45" s="34"/>
      <c r="N45" s="37">
        <f t="shared" si="2"/>
        <v>0.52297429003094975</v>
      </c>
      <c r="O45" s="38">
        <f t="shared" si="5"/>
        <v>0.37142987826618223</v>
      </c>
    </row>
    <row r="46" spans="2:15" ht="25.5" x14ac:dyDescent="0.2">
      <c r="B46" s="74" t="s">
        <v>40</v>
      </c>
      <c r="C46" s="34"/>
      <c r="D46" s="70" t="s">
        <v>28</v>
      </c>
      <c r="E46" s="71"/>
      <c r="F46" s="42">
        <f>+'[5]3. Rate Classes'!$M$28</f>
        <v>3.8999999999999998E-3</v>
      </c>
      <c r="G46" s="72">
        <f>+$F$16*(1+$F$71)</f>
        <v>287.34749999999997</v>
      </c>
      <c r="H46" s="33">
        <f>G46*F46</f>
        <v>1.1206552499999998</v>
      </c>
      <c r="I46" s="34"/>
      <c r="J46" s="42">
        <f>+'[5]13. Final 2013 RTS Rates'!$H$30</f>
        <v>4.8336648618893426E-3</v>
      </c>
      <c r="K46" s="72">
        <f>+$F$16*(1+$J$71)</f>
        <v>288.6807</v>
      </c>
      <c r="L46" s="33">
        <f>K46*J46</f>
        <v>1.3953857558956186</v>
      </c>
      <c r="M46" s="34"/>
      <c r="N46" s="37">
        <f t="shared" si="2"/>
        <v>0.27473050589561887</v>
      </c>
      <c r="O46" s="38">
        <f t="shared" si="5"/>
        <v>0.24515166987850986</v>
      </c>
    </row>
    <row r="47" spans="2:15" ht="25.5" x14ac:dyDescent="0.2">
      <c r="B47" s="63" t="s">
        <v>41</v>
      </c>
      <c r="C47" s="46"/>
      <c r="D47" s="46"/>
      <c r="E47" s="46"/>
      <c r="F47" s="75"/>
      <c r="G47" s="66"/>
      <c r="H47" s="67">
        <f>SUM(H44:H46)</f>
        <v>24.026157999999999</v>
      </c>
      <c r="I47" s="76"/>
      <c r="J47" s="77"/>
      <c r="K47" s="78"/>
      <c r="L47" s="67">
        <f>SUM(L44:L46)</f>
        <v>11.86740564669465</v>
      </c>
      <c r="M47" s="76"/>
      <c r="N47" s="54">
        <f t="shared" si="2"/>
        <v>-12.158752353305349</v>
      </c>
      <c r="O47" s="55">
        <f t="shared" si="5"/>
        <v>-0.50606311476455579</v>
      </c>
    </row>
    <row r="48" spans="2:15" ht="25.5" x14ac:dyDescent="0.2">
      <c r="B48" s="79" t="s">
        <v>42</v>
      </c>
      <c r="C48" s="28"/>
      <c r="D48" s="29"/>
      <c r="E48" s="30"/>
      <c r="F48" s="83">
        <v>5.1999999999999998E-3</v>
      </c>
      <c r="G48" s="72">
        <f>G46</f>
        <v>287.34749999999997</v>
      </c>
      <c r="H48" s="81">
        <f t="shared" ref="H48:H56" si="6">G48*F48</f>
        <v>1.4942069999999998</v>
      </c>
      <c r="I48" s="34"/>
      <c r="J48" s="80">
        <v>4.4000000000000003E-3</v>
      </c>
      <c r="K48" s="73">
        <f>K46</f>
        <v>288.6807</v>
      </c>
      <c r="L48" s="81">
        <f t="shared" ref="L48:L56" si="7">K48*J48</f>
        <v>1.2701950800000001</v>
      </c>
      <c r="M48" s="34"/>
      <c r="N48" s="37">
        <f t="shared" si="2"/>
        <v>-0.2240119199999997</v>
      </c>
      <c r="O48" s="82">
        <f t="shared" si="5"/>
        <v>-0.14992027209081454</v>
      </c>
    </row>
    <row r="49" spans="2:15" ht="25.5" x14ac:dyDescent="0.2">
      <c r="B49" s="79" t="s">
        <v>43</v>
      </c>
      <c r="C49" s="28"/>
      <c r="D49" s="29"/>
      <c r="E49" s="30"/>
      <c r="F49" s="83">
        <v>1.1000000000000001E-3</v>
      </c>
      <c r="G49" s="72">
        <f>G46</f>
        <v>287.34749999999997</v>
      </c>
      <c r="H49" s="81">
        <f t="shared" si="6"/>
        <v>0.31608225000000001</v>
      </c>
      <c r="I49" s="34"/>
      <c r="J49" s="80">
        <v>1.1999999999999999E-3</v>
      </c>
      <c r="K49" s="73">
        <f>K46</f>
        <v>288.6807</v>
      </c>
      <c r="L49" s="81">
        <f t="shared" si="7"/>
        <v>0.34641683999999995</v>
      </c>
      <c r="M49" s="34"/>
      <c r="N49" s="37">
        <f t="shared" si="2"/>
        <v>3.0334589999999939E-2</v>
      </c>
      <c r="O49" s="82">
        <f t="shared" si="5"/>
        <v>9.5970558296139499E-2</v>
      </c>
    </row>
    <row r="50" spans="2:15" x14ac:dyDescent="0.2">
      <c r="B50" s="28" t="s">
        <v>44</v>
      </c>
      <c r="C50" s="28"/>
      <c r="D50" s="29"/>
      <c r="E50" s="30"/>
      <c r="F50" s="83">
        <v>0.25</v>
      </c>
      <c r="G50" s="32">
        <v>1</v>
      </c>
      <c r="H50" s="81">
        <f t="shared" si="6"/>
        <v>0.25</v>
      </c>
      <c r="I50" s="34"/>
      <c r="J50" s="80">
        <v>0.25</v>
      </c>
      <c r="K50" s="32">
        <v>1</v>
      </c>
      <c r="L50" s="81">
        <f t="shared" si="7"/>
        <v>0.25</v>
      </c>
      <c r="M50" s="34"/>
      <c r="N50" s="37">
        <f t="shared" si="2"/>
        <v>0</v>
      </c>
      <c r="O50" s="82">
        <f t="shared" si="5"/>
        <v>0</v>
      </c>
    </row>
    <row r="51" spans="2:15" x14ac:dyDescent="0.2">
      <c r="B51" s="28" t="s">
        <v>45</v>
      </c>
      <c r="C51" s="28"/>
      <c r="D51" s="29"/>
      <c r="E51" s="30"/>
      <c r="F51" s="83">
        <v>7.0000000000000001E-3</v>
      </c>
      <c r="G51" s="72">
        <f>F16</f>
        <v>275</v>
      </c>
      <c r="H51" s="81">
        <f t="shared" si="6"/>
        <v>1.925</v>
      </c>
      <c r="I51" s="34"/>
      <c r="J51" s="80">
        <v>7.0000000000000001E-3</v>
      </c>
      <c r="K51" s="72">
        <f>F16</f>
        <v>275</v>
      </c>
      <c r="L51" s="81">
        <f t="shared" si="7"/>
        <v>1.925</v>
      </c>
      <c r="M51" s="34"/>
      <c r="N51" s="37">
        <f t="shared" si="2"/>
        <v>0</v>
      </c>
      <c r="O51" s="82">
        <f t="shared" si="5"/>
        <v>0</v>
      </c>
    </row>
    <row r="52" spans="2:15" x14ac:dyDescent="0.2">
      <c r="B52" s="39" t="s">
        <v>46</v>
      </c>
      <c r="C52" s="28"/>
      <c r="D52" s="29"/>
      <c r="E52" s="30"/>
      <c r="F52" s="161">
        <v>7.4999999999999997E-2</v>
      </c>
      <c r="G52" s="72">
        <f>IF($T$1=1,IF($F$16&gt;=600,600,IF($F$16&lt;600,$F$16*(1+$F$71),$F$16-600)),IF($T$1=2,IF($F$16&gt;=1000,1000,IF($F$16&lt;1000,$F$16*(1+$F$71),$F$16-1000))))</f>
        <v>287.34749999999997</v>
      </c>
      <c r="H52" s="81">
        <f t="shared" si="6"/>
        <v>21.551062499999997</v>
      </c>
      <c r="I52" s="34"/>
      <c r="J52" s="161">
        <v>7.4999999999999997E-2</v>
      </c>
      <c r="K52" s="72">
        <f>IF($T$1=1,IF($F$16&gt;=600,600,IF($F$16&lt;600,$F$16*(1+$J$71),$F$16-600)),IF($T$1=2,IF($F$16&gt;=1000,1000,IF($F$16&lt;1000,$F$16*(1+$J$71),$F$16-1000))))</f>
        <v>288.6807</v>
      </c>
      <c r="L52" s="81">
        <f t="shared" si="7"/>
        <v>21.651052499999999</v>
      </c>
      <c r="M52" s="34"/>
      <c r="N52" s="37">
        <f t="shared" si="2"/>
        <v>9.99900000000018E-2</v>
      </c>
      <c r="O52" s="82">
        <f t="shared" si="5"/>
        <v>4.6396784381281348E-3</v>
      </c>
    </row>
    <row r="53" spans="2:15" x14ac:dyDescent="0.2">
      <c r="B53" s="39" t="s">
        <v>47</v>
      </c>
      <c r="C53" s="28"/>
      <c r="D53" s="29"/>
      <c r="E53" s="30"/>
      <c r="F53" s="161">
        <v>8.7999999999999995E-2</v>
      </c>
      <c r="G53" s="72">
        <f>IF($T$1=1,IF($F$16&gt;=600,$F$16*(1+$F$71)-600,IF($F$16&lt;600,0,)), IF($T$1=2,IF($F$16&gt;=1000,$F$16*(1+$F$71)-1000,IF($F$16&lt;1000,0))))</f>
        <v>0</v>
      </c>
      <c r="H53" s="81">
        <f t="shared" si="6"/>
        <v>0</v>
      </c>
      <c r="I53" s="34"/>
      <c r="J53" s="161">
        <v>8.7999999999999995E-2</v>
      </c>
      <c r="K53" s="72">
        <f>IF($T$1=1,IF($F$16&gt;=600,$F$16*(1+$F$71)-600,IF($F$16&lt;600,0,)), IF($T$1=2,IF($F$16&gt;=1000,$F$16*(1+$F$71)-1000,IF($F$16&lt;1000,0))))</f>
        <v>0</v>
      </c>
      <c r="L53" s="81">
        <f t="shared" si="7"/>
        <v>0</v>
      </c>
      <c r="M53" s="34"/>
      <c r="N53" s="37">
        <f t="shared" si="2"/>
        <v>0</v>
      </c>
      <c r="O53" s="82" t="str">
        <f t="shared" si="5"/>
        <v/>
      </c>
    </row>
    <row r="54" spans="2:15" x14ac:dyDescent="0.2">
      <c r="B54" s="39" t="s">
        <v>48</v>
      </c>
      <c r="C54" s="28"/>
      <c r="D54" s="29"/>
      <c r="E54" s="30"/>
      <c r="F54" s="161">
        <v>6.5000000000000002E-2</v>
      </c>
      <c r="G54" s="85">
        <f>0.64*$F$16*(1+$F$71)</f>
        <v>183.9024</v>
      </c>
      <c r="H54" s="81">
        <f t="shared" si="6"/>
        <v>11.953656000000001</v>
      </c>
      <c r="I54" s="34"/>
      <c r="J54" s="161">
        <v>6.5000000000000002E-2</v>
      </c>
      <c r="K54" s="85">
        <f>0.64*$F$16*(1+$J$71)</f>
        <v>184.75564799999998</v>
      </c>
      <c r="L54" s="81">
        <f t="shared" si="7"/>
        <v>12.009117119999999</v>
      </c>
      <c r="M54" s="34"/>
      <c r="N54" s="37">
        <f t="shared" si="2"/>
        <v>5.5461119999998587E-2</v>
      </c>
      <c r="O54" s="82">
        <f t="shared" si="5"/>
        <v>4.6396784381279319E-3</v>
      </c>
    </row>
    <row r="55" spans="2:15" x14ac:dyDescent="0.2">
      <c r="B55" s="39" t="s">
        <v>49</v>
      </c>
      <c r="C55" s="28"/>
      <c r="D55" s="29"/>
      <c r="E55" s="30"/>
      <c r="F55" s="161">
        <v>0.1</v>
      </c>
      <c r="G55" s="85">
        <f>0.18*$F$16*(1+$F$71)</f>
        <v>51.722549999999998</v>
      </c>
      <c r="H55" s="81">
        <f t="shared" si="6"/>
        <v>5.1722549999999998</v>
      </c>
      <c r="I55" s="34"/>
      <c r="J55" s="161">
        <v>0.1</v>
      </c>
      <c r="K55" s="85">
        <f>0.18*$F$16*(1+$J$71)</f>
        <v>51.962525999999997</v>
      </c>
      <c r="L55" s="81">
        <f t="shared" si="7"/>
        <v>5.1962526000000002</v>
      </c>
      <c r="M55" s="34"/>
      <c r="N55" s="37">
        <f t="shared" si="2"/>
        <v>2.3997600000000396E-2</v>
      </c>
      <c r="O55" s="82">
        <f t="shared" si="5"/>
        <v>4.639678438128127E-3</v>
      </c>
    </row>
    <row r="56" spans="2:15" ht="13.5" thickBot="1" x14ac:dyDescent="0.25">
      <c r="B56" s="19" t="s">
        <v>50</v>
      </c>
      <c r="C56" s="28"/>
      <c r="D56" s="29"/>
      <c r="E56" s="30"/>
      <c r="F56" s="161">
        <v>0.11700000000000001</v>
      </c>
      <c r="G56" s="85">
        <f>0.18*$F$16*(1+$F$71)</f>
        <v>51.722549999999998</v>
      </c>
      <c r="H56" s="81">
        <f t="shared" si="6"/>
        <v>6.0515383500000004</v>
      </c>
      <c r="I56" s="34"/>
      <c r="J56" s="161">
        <v>0.11700000000000001</v>
      </c>
      <c r="K56" s="85">
        <f>0.18*$F$16*(1+$J$71)</f>
        <v>51.962525999999997</v>
      </c>
      <c r="L56" s="81">
        <f t="shared" si="7"/>
        <v>6.079615542</v>
      </c>
      <c r="M56" s="34"/>
      <c r="N56" s="37">
        <f t="shared" si="2"/>
        <v>2.8077191999999584E-2</v>
      </c>
      <c r="O56" s="82">
        <f t="shared" si="5"/>
        <v>4.6396784381279813E-3</v>
      </c>
    </row>
    <row r="57" spans="2:15" ht="13.5" thickBot="1" x14ac:dyDescent="0.25">
      <c r="B57" s="87"/>
      <c r="C57" s="88"/>
      <c r="D57" s="89"/>
      <c r="E57" s="88"/>
      <c r="F57" s="90"/>
      <c r="G57" s="91"/>
      <c r="H57" s="92"/>
      <c r="I57" s="93"/>
      <c r="J57" s="90"/>
      <c r="K57" s="94"/>
      <c r="L57" s="92"/>
      <c r="M57" s="93"/>
      <c r="N57" s="95"/>
      <c r="O57" s="96"/>
    </row>
    <row r="58" spans="2:15" x14ac:dyDescent="0.2">
      <c r="B58" s="97" t="s">
        <v>51</v>
      </c>
      <c r="C58" s="28"/>
      <c r="D58" s="28"/>
      <c r="E58" s="28"/>
      <c r="F58" s="98"/>
      <c r="G58" s="99"/>
      <c r="H58" s="100">
        <f>SUM(H47:H53)</f>
        <v>49.562509749999997</v>
      </c>
      <c r="I58" s="101"/>
      <c r="J58" s="102"/>
      <c r="K58" s="103"/>
      <c r="L58" s="104">
        <f>SUM(L47:L53)</f>
        <v>37.310070066694649</v>
      </c>
      <c r="M58" s="105"/>
      <c r="N58" s="106">
        <f>L58-H58</f>
        <v>-12.252439683305347</v>
      </c>
      <c r="O58" s="107">
        <f>IF((H58)=0,"",(N58/H58))</f>
        <v>-0.24721184913976937</v>
      </c>
    </row>
    <row r="59" spans="2:15" x14ac:dyDescent="0.2">
      <c r="B59" s="108" t="s">
        <v>52</v>
      </c>
      <c r="C59" s="28"/>
      <c r="D59" s="28"/>
      <c r="E59" s="28"/>
      <c r="F59" s="109">
        <v>0.13</v>
      </c>
      <c r="G59" s="99"/>
      <c r="H59" s="110">
        <f>H58*F59</f>
        <v>6.4431262674999994</v>
      </c>
      <c r="I59" s="111"/>
      <c r="J59" s="112">
        <v>0.13</v>
      </c>
      <c r="K59" s="113"/>
      <c r="L59" s="114">
        <f>L58*J59</f>
        <v>4.850309108670305</v>
      </c>
      <c r="M59" s="115"/>
      <c r="N59" s="116">
        <f>L59-H59</f>
        <v>-1.5928171588296944</v>
      </c>
      <c r="O59" s="117">
        <f>IF((H59)=0,"",(N59/H59))</f>
        <v>-0.24721184913976926</v>
      </c>
    </row>
    <row r="60" spans="2:15" x14ac:dyDescent="0.2">
      <c r="B60" s="118" t="s">
        <v>53</v>
      </c>
      <c r="C60" s="28"/>
      <c r="D60" s="28"/>
      <c r="E60" s="28"/>
      <c r="F60" s="119"/>
      <c r="G60" s="120"/>
      <c r="H60" s="110">
        <f>H58+H59</f>
        <v>56.005636017499995</v>
      </c>
      <c r="I60" s="111"/>
      <c r="J60" s="111"/>
      <c r="K60" s="121"/>
      <c r="L60" s="114">
        <f>L58+L59</f>
        <v>42.160379175364952</v>
      </c>
      <c r="M60" s="115"/>
      <c r="N60" s="116">
        <f>L60-H60</f>
        <v>-13.845256842135043</v>
      </c>
      <c r="O60" s="117">
        <f>IF((H60)=0,"",(N60/H60))</f>
        <v>-0.24721184913976937</v>
      </c>
    </row>
    <row r="61" spans="2:15" ht="17.45" customHeight="1" x14ac:dyDescent="0.2">
      <c r="B61" s="213" t="s">
        <v>54</v>
      </c>
      <c r="C61" s="213"/>
      <c r="D61" s="213"/>
      <c r="E61" s="28"/>
      <c r="F61" s="119"/>
      <c r="G61" s="120"/>
      <c r="H61" s="122">
        <f>ROUND(-H60*10%,2)</f>
        <v>-5.6</v>
      </c>
      <c r="I61" s="111"/>
      <c r="J61" s="111"/>
      <c r="K61" s="121"/>
      <c r="L61" s="123">
        <f>ROUND(-L60*10%,2)</f>
        <v>-4.22</v>
      </c>
      <c r="M61" s="115"/>
      <c r="N61" s="124">
        <f>L61-H61</f>
        <v>1.38</v>
      </c>
      <c r="O61" s="125">
        <f>IF((H61)=0,"",(N61/H61))</f>
        <v>-0.24642857142857141</v>
      </c>
    </row>
    <row r="62" spans="2:15" ht="13.5" customHeight="1" thickBot="1" x14ac:dyDescent="0.25">
      <c r="B62" s="223" t="s">
        <v>55</v>
      </c>
      <c r="C62" s="223"/>
      <c r="D62" s="223"/>
      <c r="E62" s="126"/>
      <c r="F62" s="127"/>
      <c r="G62" s="128"/>
      <c r="H62" s="129">
        <f>SUM(H60:H61)</f>
        <v>50.405636017499994</v>
      </c>
      <c r="I62" s="130"/>
      <c r="J62" s="130"/>
      <c r="K62" s="131"/>
      <c r="L62" s="132">
        <f>SUM(L60:L61)</f>
        <v>37.940379175364953</v>
      </c>
      <c r="M62" s="133"/>
      <c r="N62" s="134">
        <f>L62-H62</f>
        <v>-12.465256842135041</v>
      </c>
      <c r="O62" s="135">
        <f>IF((H62)=0,"",(N62/H62))</f>
        <v>-0.24729887026536701</v>
      </c>
    </row>
    <row r="63" spans="2:15" ht="13.5" thickBot="1" x14ac:dyDescent="0.25">
      <c r="B63" s="87"/>
      <c r="C63" s="88"/>
      <c r="D63" s="89"/>
      <c r="E63" s="88"/>
      <c r="F63" s="136"/>
      <c r="G63" s="137"/>
      <c r="H63" s="138"/>
      <c r="I63" s="139"/>
      <c r="J63" s="136"/>
      <c r="K63" s="91"/>
      <c r="L63" s="140"/>
      <c r="M63" s="93"/>
      <c r="N63" s="141"/>
      <c r="O63" s="96"/>
    </row>
    <row r="64" spans="2:15" x14ac:dyDescent="0.2">
      <c r="B64" s="97" t="s">
        <v>56</v>
      </c>
      <c r="C64" s="28"/>
      <c r="D64" s="28"/>
      <c r="E64" s="28"/>
      <c r="F64" s="98"/>
      <c r="G64" s="99"/>
      <c r="H64" s="100">
        <f>SUM(H47:H51,H54:H56)</f>
        <v>51.1888966</v>
      </c>
      <c r="I64" s="101"/>
      <c r="J64" s="102"/>
      <c r="K64" s="103"/>
      <c r="L64" s="142">
        <f>SUM(L47:L51,L54:L56)</f>
        <v>38.94400282869465</v>
      </c>
      <c r="M64" s="105"/>
      <c r="N64" s="106">
        <f>L64-H64</f>
        <v>-12.24489377130535</v>
      </c>
      <c r="O64" s="107">
        <f>IF((H64)=0,"",(N64/H64))</f>
        <v>-0.23920995732706124</v>
      </c>
    </row>
    <row r="65" spans="2:15" x14ac:dyDescent="0.2">
      <c r="B65" s="108" t="s">
        <v>52</v>
      </c>
      <c r="C65" s="28"/>
      <c r="D65" s="28"/>
      <c r="E65" s="28"/>
      <c r="F65" s="109">
        <v>0.13</v>
      </c>
      <c r="G65" s="120"/>
      <c r="H65" s="110">
        <f>H64*F65</f>
        <v>6.6545565580000003</v>
      </c>
      <c r="I65" s="111"/>
      <c r="J65" s="143">
        <v>0.13</v>
      </c>
      <c r="K65" s="121"/>
      <c r="L65" s="114">
        <f>L64*J65</f>
        <v>5.0627203677303045</v>
      </c>
      <c r="M65" s="115"/>
      <c r="N65" s="116">
        <f>L65-H65</f>
        <v>-1.5918361902696958</v>
      </c>
      <c r="O65" s="117">
        <f>IF((H65)=0,"",(N65/H65))</f>
        <v>-0.23920995732706127</v>
      </c>
    </row>
    <row r="66" spans="2:15" x14ac:dyDescent="0.2">
      <c r="B66" s="118" t="s">
        <v>53</v>
      </c>
      <c r="C66" s="28"/>
      <c r="D66" s="28"/>
      <c r="E66" s="28"/>
      <c r="F66" s="119"/>
      <c r="G66" s="120"/>
      <c r="H66" s="110">
        <f>H64+H65</f>
        <v>57.843453158000003</v>
      </c>
      <c r="I66" s="111"/>
      <c r="J66" s="111"/>
      <c r="K66" s="121"/>
      <c r="L66" s="114">
        <f>L64+L65</f>
        <v>44.006723196424957</v>
      </c>
      <c r="M66" s="115"/>
      <c r="N66" s="116">
        <f>L66-H66</f>
        <v>-13.836729961575045</v>
      </c>
      <c r="O66" s="117">
        <f>IF((H66)=0,"",(N66/H66))</f>
        <v>-0.23920995732706121</v>
      </c>
    </row>
    <row r="67" spans="2:15" ht="15" customHeight="1" x14ac:dyDescent="0.2">
      <c r="B67" s="213" t="s">
        <v>54</v>
      </c>
      <c r="C67" s="213"/>
      <c r="D67" s="213"/>
      <c r="E67" s="28"/>
      <c r="F67" s="119"/>
      <c r="G67" s="120"/>
      <c r="H67" s="122">
        <f>ROUND(-H66*10%,2)</f>
        <v>-5.78</v>
      </c>
      <c r="I67" s="111"/>
      <c r="J67" s="111"/>
      <c r="K67" s="121"/>
      <c r="L67" s="123">
        <f>ROUND(-L66*10%,2)</f>
        <v>-4.4000000000000004</v>
      </c>
      <c r="M67" s="115"/>
      <c r="N67" s="124">
        <f>L67-H67</f>
        <v>1.38</v>
      </c>
      <c r="O67" s="125">
        <f>IF((H67)=0,"",(N67/H67))</f>
        <v>-0.23875432525951554</v>
      </c>
    </row>
    <row r="68" spans="2:15" ht="13.5" customHeight="1" thickBot="1" x14ac:dyDescent="0.25">
      <c r="B68" s="223" t="s">
        <v>57</v>
      </c>
      <c r="C68" s="223"/>
      <c r="D68" s="223"/>
      <c r="E68" s="126"/>
      <c r="F68" s="144"/>
      <c r="G68" s="145"/>
      <c r="H68" s="146">
        <f>H66+H67</f>
        <v>52.063453158000002</v>
      </c>
      <c r="I68" s="147"/>
      <c r="J68" s="147"/>
      <c r="K68" s="148"/>
      <c r="L68" s="149">
        <f>L66+L67</f>
        <v>39.606723196424959</v>
      </c>
      <c r="M68" s="150"/>
      <c r="N68" s="151">
        <f>L68-H68</f>
        <v>-12.456729961575043</v>
      </c>
      <c r="O68" s="152">
        <f>IF((H68)=0,"",(N68/H68))</f>
        <v>-0.23926054085909126</v>
      </c>
    </row>
    <row r="69" spans="2:15" ht="13.5" thickBot="1" x14ac:dyDescent="0.25">
      <c r="B69" s="87"/>
      <c r="C69" s="88"/>
      <c r="D69" s="89"/>
      <c r="E69" s="88"/>
      <c r="F69" s="136"/>
      <c r="G69" s="153"/>
      <c r="H69" s="138"/>
      <c r="I69" s="139"/>
      <c r="J69" s="136"/>
      <c r="K69" s="154"/>
      <c r="L69" s="140"/>
      <c r="M69" s="93"/>
      <c r="N69" s="141"/>
      <c r="O69" s="96"/>
    </row>
    <row r="70" spans="2:15" x14ac:dyDescent="0.2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155"/>
      <c r="M70" s="20"/>
      <c r="N70" s="20"/>
      <c r="O70" s="20"/>
    </row>
    <row r="71" spans="2:15" x14ac:dyDescent="0.2">
      <c r="B71" s="156" t="s">
        <v>58</v>
      </c>
      <c r="C71" s="20"/>
      <c r="D71" s="20"/>
      <c r="E71" s="20"/>
      <c r="F71" s="157">
        <f>+'[2]Bill Impacts App 2-W Residentia'!F71</f>
        <v>4.4900000000000002E-2</v>
      </c>
      <c r="G71" s="20"/>
      <c r="H71" s="20"/>
      <c r="I71" s="20"/>
      <c r="J71" s="158">
        <f>+'[2]Bill Impacts App 2-W Residentia'!J71</f>
        <v>4.9748000000000001E-2</v>
      </c>
      <c r="K71" s="20"/>
      <c r="L71" s="20"/>
      <c r="M71" s="20"/>
      <c r="N71" s="20"/>
      <c r="O71" s="20"/>
    </row>
  </sheetData>
  <mergeCells count="12">
    <mergeCell ref="B68:D68"/>
    <mergeCell ref="D19:D20"/>
    <mergeCell ref="N19:N20"/>
    <mergeCell ref="O19:O20"/>
    <mergeCell ref="B61:D61"/>
    <mergeCell ref="B62:D62"/>
    <mergeCell ref="B67:D67"/>
    <mergeCell ref="D10:O10"/>
    <mergeCell ref="F18:H18"/>
    <mergeCell ref="J18:L18"/>
    <mergeCell ref="N18:O18"/>
    <mergeCell ref="A3:K3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Bill Impacts App 2-W Residentia</vt:lpstr>
      <vt:lpstr>Bill Impacts App 2-W GS&lt;50</vt:lpstr>
      <vt:lpstr>Bill Impacts App 2-W GS 50 -299</vt:lpstr>
      <vt:lpstr>Bill Impacts App 2-W GS 3000-49</vt:lpstr>
      <vt:lpstr>Bill Impacts App 2-W Street Lgt</vt:lpstr>
      <vt:lpstr>Bill Impacts App 2-W Sent Lgts</vt:lpstr>
      <vt:lpstr>Bill Impacts App 2-W USL</vt:lpstr>
      <vt:lpstr>'Bill Impacts App 2-W GS 3000-49'!Print_Area</vt:lpstr>
      <vt:lpstr>'Bill Impacts App 2-W GS 50 -299'!Print_Area</vt:lpstr>
      <vt:lpstr>'Bill Impacts App 2-W GS&lt;50'!Print_Area</vt:lpstr>
      <vt:lpstr>'Bill Impacts App 2-W Residentia'!Print_Area</vt:lpstr>
      <vt:lpstr>'Bill Impacts App 2-W Sent Lgts'!Print_Area</vt:lpstr>
      <vt:lpstr>'Bill Impacts App 2-W Street Lgt'!Print_Area</vt:lpstr>
      <vt:lpstr>'Bill Impacts App 2-W USL'!Print_Area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Thiessen</dc:creator>
  <cp:lastModifiedBy>David Proctor</cp:lastModifiedBy>
  <cp:lastPrinted>2013-06-20T15:08:43Z</cp:lastPrinted>
  <dcterms:created xsi:type="dcterms:W3CDTF">2013-06-14T16:11:46Z</dcterms:created>
  <dcterms:modified xsi:type="dcterms:W3CDTF">2013-06-20T15:53:49Z</dcterms:modified>
</cp:coreProperties>
</file>