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1360" windowHeight="9975"/>
  </bookViews>
  <sheets>
    <sheet name="Non-Capital RRR" sheetId="1" r:id="rId1"/>
    <sheet name="OM&amp;A Calculation" sheetId="2" r:id="rId2"/>
    <sheet name="Capital" sheetId="3" r:id="rId3"/>
    <sheet name="HV" sheetId="5" r:id="rId4"/>
  </sheets>
  <externalReferences>
    <externalReference r:id="rId5"/>
  </externalReferences>
  <definedNames>
    <definedName name="_xlnm.Print_Area" localSheetId="2">Capital!$A$1:$P$43</definedName>
    <definedName name="_xlnm.Print_Titles" localSheetId="0">'Non-Capital RRR'!$B:$C</definedName>
  </definedNames>
  <calcPr calcId="145621"/>
</workbook>
</file>

<file path=xl/calcChain.xml><?xml version="1.0" encoding="utf-8"?>
<calcChain xmlns="http://schemas.openxmlformats.org/spreadsheetml/2006/main">
  <c r="K34" i="1" l="1"/>
  <c r="J34" i="1"/>
  <c r="I34" i="1"/>
  <c r="H34" i="1"/>
  <c r="G34" i="1"/>
  <c r="F34" i="1"/>
  <c r="E34" i="1"/>
  <c r="D34" i="1"/>
  <c r="K33" i="1"/>
  <c r="J33" i="1"/>
  <c r="I33" i="1"/>
  <c r="H33" i="1"/>
  <c r="G33" i="1"/>
  <c r="F33" i="1"/>
  <c r="E33" i="1"/>
  <c r="D33" i="1"/>
  <c r="K32" i="1"/>
  <c r="J32" i="1"/>
  <c r="I32" i="1"/>
  <c r="H32" i="1"/>
  <c r="G32" i="1"/>
  <c r="F32" i="1"/>
  <c r="E32" i="1"/>
  <c r="D32" i="1"/>
  <c r="K31" i="1"/>
  <c r="J31" i="1"/>
  <c r="I31" i="1"/>
  <c r="H31" i="1"/>
  <c r="G31" i="1"/>
  <c r="F31" i="1"/>
  <c r="E31" i="1"/>
  <c r="D31" i="1"/>
  <c r="K30" i="1"/>
  <c r="J30" i="1"/>
  <c r="I30" i="1"/>
  <c r="H30" i="1"/>
  <c r="G30" i="1"/>
  <c r="F30" i="1"/>
  <c r="E30" i="1"/>
  <c r="D30" i="1"/>
  <c r="K29" i="1"/>
  <c r="J29" i="1"/>
  <c r="I29" i="1"/>
  <c r="H29" i="1"/>
  <c r="G29" i="1"/>
  <c r="F29" i="1"/>
  <c r="E29" i="1"/>
  <c r="D29" i="1"/>
  <c r="K28" i="1"/>
  <c r="J28" i="1"/>
  <c r="I28" i="1"/>
  <c r="H28" i="1"/>
  <c r="G28" i="1"/>
  <c r="F28" i="1"/>
  <c r="E28" i="1"/>
  <c r="D28" i="1"/>
  <c r="K27" i="1"/>
  <c r="J27" i="1"/>
  <c r="I27" i="1"/>
  <c r="H27" i="1"/>
  <c r="G27" i="1"/>
  <c r="F27" i="1"/>
  <c r="E27" i="1"/>
  <c r="D27" i="1"/>
  <c r="K26" i="1"/>
  <c r="J26" i="1"/>
  <c r="I26" i="1"/>
  <c r="H26" i="1"/>
  <c r="G26" i="1"/>
  <c r="F26" i="1"/>
  <c r="E26" i="1"/>
  <c r="D26" i="1"/>
  <c r="K25" i="1"/>
  <c r="J25" i="1"/>
  <c r="I25" i="1"/>
  <c r="H25" i="1"/>
  <c r="G25" i="1"/>
  <c r="F25" i="1"/>
  <c r="E25" i="1"/>
  <c r="D25" i="1"/>
  <c r="L11" i="5"/>
  <c r="K11" i="5"/>
  <c r="J11" i="5"/>
  <c r="I11" i="5"/>
  <c r="H10" i="5"/>
  <c r="H11" i="5" s="1"/>
  <c r="G10" i="5"/>
  <c r="G11" i="5" s="1"/>
  <c r="F10" i="5"/>
  <c r="F11" i="5" s="1"/>
  <c r="E10" i="5"/>
  <c r="E11" i="5" s="1"/>
  <c r="D10" i="5"/>
  <c r="D11" i="5" s="1"/>
  <c r="C10" i="5"/>
  <c r="C11" i="5" s="1"/>
  <c r="P39" i="3" l="1"/>
  <c r="O39" i="3"/>
  <c r="N39" i="3"/>
  <c r="M39" i="3"/>
  <c r="L39" i="3"/>
  <c r="K39" i="3"/>
  <c r="J39" i="3"/>
  <c r="I39" i="3"/>
  <c r="H39" i="3"/>
  <c r="P33" i="3"/>
  <c r="O33" i="3"/>
  <c r="N33" i="3"/>
  <c r="M33" i="3"/>
  <c r="L33" i="3"/>
  <c r="K33" i="3"/>
  <c r="J33" i="3"/>
  <c r="I33" i="3"/>
  <c r="H33" i="3"/>
  <c r="G33" i="3"/>
  <c r="P30" i="3"/>
  <c r="P34" i="3" s="1"/>
  <c r="O30" i="3"/>
  <c r="O34" i="3" s="1"/>
  <c r="N30" i="3"/>
  <c r="N34" i="3" s="1"/>
  <c r="M30" i="3"/>
  <c r="M34" i="3" s="1"/>
  <c r="L30" i="3"/>
  <c r="L34" i="3" s="1"/>
  <c r="K30" i="3"/>
  <c r="K34" i="3" s="1"/>
  <c r="J30" i="3"/>
  <c r="J34" i="3" s="1"/>
  <c r="I30" i="3"/>
  <c r="I34" i="3" s="1"/>
  <c r="H30" i="3"/>
  <c r="H34" i="3" s="1"/>
  <c r="G30" i="3"/>
  <c r="G34" i="3" s="1"/>
  <c r="P27" i="3"/>
  <c r="P28" i="3" s="1"/>
  <c r="O27" i="3"/>
  <c r="O28" i="3" s="1"/>
  <c r="N27" i="3"/>
  <c r="N28" i="3" s="1"/>
  <c r="M27" i="3"/>
  <c r="M28" i="3" s="1"/>
  <c r="L27" i="3"/>
  <c r="L28" i="3" s="1"/>
  <c r="K27" i="3"/>
  <c r="K28" i="3" s="1"/>
  <c r="J27" i="3"/>
  <c r="J28" i="3" s="1"/>
  <c r="I27" i="3"/>
  <c r="I28" i="3" s="1"/>
  <c r="H27" i="3"/>
  <c r="H28" i="3" s="1"/>
  <c r="G27" i="3"/>
  <c r="G28" i="3" s="1"/>
  <c r="O16" i="3"/>
  <c r="N16" i="3"/>
  <c r="M16" i="3"/>
  <c r="I16" i="3"/>
  <c r="H16" i="3"/>
  <c r="G16" i="3"/>
  <c r="P13" i="3"/>
  <c r="P16" i="3" s="1"/>
  <c r="L13" i="3"/>
  <c r="L16" i="3" s="1"/>
  <c r="K13" i="3"/>
  <c r="K16" i="3" s="1"/>
  <c r="J13" i="3"/>
  <c r="J16" i="3" s="1"/>
  <c r="P8" i="3"/>
  <c r="O8" i="3"/>
  <c r="N8" i="3"/>
  <c r="M8" i="3"/>
  <c r="L8" i="3"/>
  <c r="J8" i="3"/>
  <c r="H8" i="3"/>
  <c r="G8" i="3"/>
  <c r="K5" i="3"/>
  <c r="K8" i="3" s="1"/>
  <c r="I5" i="3" a="1"/>
  <c r="I5" i="3" s="1"/>
  <c r="I8" i="3" s="1"/>
  <c r="O35" i="2"/>
  <c r="O38" i="2" s="1"/>
  <c r="P34" i="2"/>
  <c r="O34" i="2"/>
  <c r="N34" i="2"/>
  <c r="M34" i="2"/>
  <c r="L34" i="2"/>
  <c r="K34" i="2"/>
  <c r="J34" i="2"/>
  <c r="I34" i="2"/>
  <c r="H34" i="2"/>
  <c r="G34" i="2"/>
  <c r="P33" i="2"/>
  <c r="O33" i="2"/>
  <c r="N33" i="2"/>
  <c r="M33" i="2"/>
  <c r="L33" i="2"/>
  <c r="K33" i="2"/>
  <c r="K35" i="2" s="1"/>
  <c r="K38" i="2" s="1"/>
  <c r="J33" i="2"/>
  <c r="I33" i="2"/>
  <c r="H33" i="2"/>
  <c r="G33" i="2"/>
  <c r="G35" i="2" s="1"/>
  <c r="G38" i="2" s="1"/>
  <c r="P32" i="2"/>
  <c r="P35" i="2" s="1"/>
  <c r="P38" i="2" s="1"/>
  <c r="O32" i="2"/>
  <c r="N32" i="2"/>
  <c r="N35" i="2" s="1"/>
  <c r="N38" i="2" s="1"/>
  <c r="M32" i="2"/>
  <c r="M35" i="2" s="1"/>
  <c r="M38" i="2" s="1"/>
  <c r="L32" i="2"/>
  <c r="L35" i="2" s="1"/>
  <c r="L38" i="2" s="1"/>
  <c r="K32" i="2"/>
  <c r="J32" i="2"/>
  <c r="J35" i="2" s="1"/>
  <c r="J38" i="2" s="1"/>
  <c r="I32" i="2"/>
  <c r="I35" i="2" s="1"/>
  <c r="I38" i="2" s="1"/>
  <c r="H32" i="2"/>
  <c r="H35" i="2" s="1"/>
  <c r="H38" i="2" s="1"/>
  <c r="G32" i="2"/>
  <c r="P28" i="2"/>
  <c r="O28" i="2"/>
  <c r="L28" i="2"/>
  <c r="K28" i="2"/>
  <c r="H28" i="2"/>
  <c r="G28" i="2"/>
  <c r="P24" i="2"/>
  <c r="O24" i="2"/>
  <c r="N24" i="2"/>
  <c r="N28" i="2" s="1"/>
  <c r="M24" i="2"/>
  <c r="M28" i="2" s="1"/>
  <c r="L24" i="2"/>
  <c r="K24" i="2"/>
  <c r="J24" i="2"/>
  <c r="J28" i="2" s="1"/>
  <c r="I24" i="2"/>
  <c r="I28" i="2" s="1"/>
  <c r="H24" i="2"/>
  <c r="G24" i="2"/>
  <c r="M23" i="2"/>
  <c r="AA13" i="2"/>
  <c r="AA14" i="2" s="1"/>
  <c r="Z13" i="2"/>
  <c r="Y13" i="2"/>
  <c r="X13" i="2"/>
  <c r="W13" i="2"/>
  <c r="W14" i="2" s="1"/>
  <c r="V13" i="2"/>
  <c r="U13" i="2"/>
  <c r="T13" i="2"/>
  <c r="S13" i="2"/>
  <c r="S14" i="2" s="1"/>
  <c r="R13" i="2"/>
  <c r="AA11" i="2"/>
  <c r="Z11" i="2"/>
  <c r="Z14" i="2" s="1"/>
  <c r="Y11" i="2"/>
  <c r="Y14" i="2" s="1"/>
  <c r="X11" i="2"/>
  <c r="X14" i="2" s="1"/>
  <c r="W11" i="2"/>
  <c r="V11" i="2"/>
  <c r="V14" i="2" s="1"/>
  <c r="U11" i="2"/>
  <c r="U14" i="2" s="1"/>
  <c r="T11" i="2"/>
  <c r="T14" i="2" s="1"/>
  <c r="S11" i="2"/>
  <c r="R11" i="2"/>
  <c r="R14" i="2" s="1"/>
  <c r="I11" i="2"/>
  <c r="I14" i="2" s="1"/>
  <c r="H11" i="2"/>
  <c r="H14" i="2" s="1"/>
  <c r="G11" i="2"/>
  <c r="G14" i="2" s="1"/>
  <c r="O10" i="2"/>
  <c r="L10" i="2"/>
  <c r="K10" i="2"/>
  <c r="P9" i="2"/>
  <c r="O9" i="2"/>
  <c r="N9" i="2"/>
  <c r="M9" i="2"/>
  <c r="L9" i="2"/>
  <c r="K9" i="2"/>
  <c r="J9" i="2"/>
  <c r="P8" i="2"/>
  <c r="O8" i="2"/>
  <c r="N8" i="2"/>
  <c r="M8" i="2"/>
  <c r="L8" i="2"/>
  <c r="K8" i="2"/>
  <c r="J8" i="2"/>
  <c r="P7" i="2"/>
  <c r="O7" i="2"/>
  <c r="N7" i="2"/>
  <c r="M7" i="2"/>
  <c r="L7" i="2"/>
  <c r="K7" i="2"/>
  <c r="J7" i="2"/>
  <c r="P6" i="2"/>
  <c r="O6" i="2"/>
  <c r="N6" i="2"/>
  <c r="M6" i="2"/>
  <c r="L6" i="2"/>
  <c r="K6" i="2"/>
  <c r="J6" i="2"/>
  <c r="P5" i="2"/>
  <c r="O5" i="2"/>
  <c r="N5" i="2"/>
  <c r="M5" i="2"/>
  <c r="L5" i="2"/>
  <c r="K5" i="2"/>
  <c r="J5" i="2"/>
  <c r="P4" i="2"/>
  <c r="P11" i="2" s="1"/>
  <c r="P14" i="2" s="1"/>
  <c r="O4" i="2"/>
  <c r="O11" i="2" s="1"/>
  <c r="O14" i="2" s="1"/>
  <c r="N4" i="2"/>
  <c r="N11" i="2" s="1"/>
  <c r="N14" i="2" s="1"/>
  <c r="M4" i="2"/>
  <c r="M11" i="2" s="1"/>
  <c r="M14" i="2" s="1"/>
  <c r="L4" i="2"/>
  <c r="L11" i="2" s="1"/>
  <c r="L14" i="2" s="1"/>
  <c r="K4" i="2"/>
  <c r="K11" i="2" s="1"/>
  <c r="K14" i="2" s="1"/>
  <c r="J4" i="2"/>
  <c r="J11" i="2" s="1"/>
  <c r="J14" i="2" s="1"/>
  <c r="G23" i="1" l="1"/>
  <c r="G22" i="1"/>
  <c r="G20" i="1"/>
  <c r="G19" i="1"/>
  <c r="G18" i="1"/>
  <c r="G17" i="1"/>
  <c r="G16" i="1"/>
  <c r="G15" i="1"/>
  <c r="F23" i="1"/>
  <c r="F22" i="1"/>
  <c r="F21" i="1"/>
  <c r="F20" i="1"/>
  <c r="F19" i="1"/>
  <c r="F15" i="1"/>
  <c r="F16" i="1"/>
  <c r="F17" i="1"/>
  <c r="F18" i="1"/>
  <c r="I14" i="1"/>
  <c r="E14" i="1"/>
  <c r="G14" i="1" s="1"/>
  <c r="G21" i="1"/>
  <c r="F14" i="1" l="1"/>
  <c r="H14" i="1" l="1"/>
  <c r="H15" i="1"/>
  <c r="H16" i="1"/>
  <c r="H17" i="1"/>
  <c r="H18" i="1"/>
  <c r="H19" i="1"/>
  <c r="H20" i="1"/>
  <c r="H21" i="1"/>
  <c r="H22" i="1"/>
  <c r="H23" i="1"/>
</calcChain>
</file>

<file path=xl/sharedStrings.xml><?xml version="1.0" encoding="utf-8"?>
<sst xmlns="http://schemas.openxmlformats.org/spreadsheetml/2006/main" count="170" uniqueCount="95">
  <si>
    <t>PEGID</t>
  </si>
  <si>
    <t>Year</t>
  </si>
  <si>
    <t>Average Load Factor (calculated)</t>
  </si>
  <si>
    <t>% of kWh delivered to embedded distributors</t>
  </si>
  <si>
    <t>yn</t>
  </si>
  <si>
    <t>yv</t>
  </si>
  <si>
    <t>pctlarge</t>
  </si>
  <si>
    <t>pctgs</t>
  </si>
  <si>
    <t>pctlargegs</t>
  </si>
  <si>
    <t>kwbill</t>
  </si>
  <si>
    <t>loadfactor</t>
  </si>
  <si>
    <t>pctkwh</t>
  </si>
  <si>
    <t>ENWIN UTILITIES LTD.</t>
  </si>
  <si>
    <t>*Customers, Deliveries, Billed kW exclude Sentinel, Streetlight and USL, include WMP</t>
  </si>
  <si>
    <t>EnWin Data</t>
  </si>
  <si>
    <t>PEG Data</t>
  </si>
  <si>
    <t>OM&amp;A</t>
  </si>
  <si>
    <t>Expense Type</t>
  </si>
  <si>
    <t>USoA Accounts</t>
  </si>
  <si>
    <t>OEB RRR Filing 2.1.7</t>
  </si>
  <si>
    <t>PEG File 'Non-Capital RRR Data'</t>
  </si>
  <si>
    <r>
      <t xml:space="preserve">USoA Accounts 5005 - 5055 </t>
    </r>
    <r>
      <rPr>
        <b/>
        <i/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 xml:space="preserve"> 5065 - 5096</t>
    </r>
  </si>
  <si>
    <t>Operation (Row 90)</t>
  </si>
  <si>
    <r>
      <t xml:space="preserve">USoA Accounts 5105 - 5160 </t>
    </r>
    <r>
      <rPr>
        <b/>
        <i/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 xml:space="preserve"> 5175</t>
    </r>
  </si>
  <si>
    <t>Maintenance (Row 91)</t>
  </si>
  <si>
    <r>
      <t xml:space="preserve">USoA Accounts 5305 - 5330 </t>
    </r>
    <r>
      <rPr>
        <b/>
        <i/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 xml:space="preserve"> 5340</t>
    </r>
  </si>
  <si>
    <t>Billing and Collection (Row 92)</t>
  </si>
  <si>
    <r>
      <t xml:space="preserve">USoA Accounts 5405 - 5410 </t>
    </r>
    <r>
      <rPr>
        <b/>
        <i/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 xml:space="preserve"> 5420 - 5425</t>
    </r>
  </si>
  <si>
    <t>Community Relations (Row 93)</t>
  </si>
  <si>
    <r>
      <t xml:space="preserve">USoA Accounts 5605 - 5630 </t>
    </r>
    <r>
      <rPr>
        <b/>
        <i/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 xml:space="preserve"> 5640 - 5655 </t>
    </r>
    <r>
      <rPr>
        <b/>
        <i/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 xml:space="preserve"> 5665 - 5680</t>
    </r>
  </si>
  <si>
    <t>Administrative and General Expenses (Row 95)</t>
  </si>
  <si>
    <r>
      <t xml:space="preserve">USoA Accounts 5635 </t>
    </r>
    <r>
      <rPr>
        <b/>
        <i/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 xml:space="preserve"> 6210</t>
    </r>
  </si>
  <si>
    <t>Insurance Expense (Row 96)</t>
  </si>
  <si>
    <r>
      <t xml:space="preserve">USoA Accounts 5515 </t>
    </r>
    <r>
      <rPr>
        <b/>
        <i/>
        <sz val="11"/>
        <color theme="1"/>
        <rFont val="Arial"/>
        <family val="2"/>
      </rPr>
      <t>and</t>
    </r>
    <r>
      <rPr>
        <sz val="11"/>
        <color theme="1"/>
        <rFont val="Arial"/>
        <family val="2"/>
      </rPr>
      <t xml:space="preserve"> 5660</t>
    </r>
  </si>
  <si>
    <t>Advertising Expenses (Row 98)</t>
  </si>
  <si>
    <t>Total</t>
  </si>
  <si>
    <r>
      <rPr>
        <b/>
        <sz val="11"/>
        <color theme="1"/>
        <rFont val="Arial"/>
        <family val="2"/>
      </rPr>
      <t>PEG File</t>
    </r>
    <r>
      <rPr>
        <sz val="11"/>
        <color theme="1"/>
        <rFont val="Arial"/>
        <family val="2"/>
      </rPr>
      <t xml:space="preserve"> ' 'TFP and BM Database Calculation 2' (included as part the </t>
    </r>
  </si>
  <si>
    <r>
      <t xml:space="preserve">     Working Papers – Part II), Tab '</t>
    </r>
    <r>
      <rPr>
        <b/>
        <sz val="11"/>
        <color theme="1"/>
        <rFont val="Arial"/>
        <family val="2"/>
      </rPr>
      <t>OM&amp;A Calculation</t>
    </r>
    <r>
      <rPr>
        <sz val="11"/>
        <color theme="1"/>
        <rFont val="Arial"/>
        <family val="2"/>
      </rPr>
      <t xml:space="preserve">', </t>
    </r>
    <r>
      <rPr>
        <b/>
        <sz val="11"/>
        <color theme="1"/>
        <rFont val="Arial"/>
        <family val="2"/>
      </rPr>
      <t>Column D</t>
    </r>
    <r>
      <rPr>
        <sz val="11"/>
        <color theme="1"/>
        <rFont val="Arial"/>
        <family val="2"/>
      </rPr>
      <t xml:space="preserve"> (by specific year).</t>
    </r>
  </si>
  <si>
    <t xml:space="preserve">Insert $ Columns G - I </t>
  </si>
  <si>
    <t>Auto Reference</t>
  </si>
  <si>
    <t>Difference</t>
  </si>
  <si>
    <t>[PEG then adjusts for LV and HV costs.]</t>
  </si>
  <si>
    <t>[Not included are: Community Relations – CDM, Bad Debt Expense, Charitable Contributions, Any amortization, taxes, interest, or offsets]</t>
  </si>
  <si>
    <t>HV OM&amp;A</t>
  </si>
  <si>
    <t>HV O&amp;M USoA Accounts</t>
  </si>
  <si>
    <t>TS Equipment - Operation Labour</t>
  </si>
  <si>
    <t>TS Equipment - Operation Supplies &amp; Expenses</t>
  </si>
  <si>
    <t>Maintenance of TS Equipment</t>
  </si>
  <si>
    <r>
      <rPr>
        <b/>
        <sz val="11"/>
        <color theme="1"/>
        <rFont val="Arial"/>
        <family val="2"/>
      </rPr>
      <t>PEG File</t>
    </r>
    <r>
      <rPr>
        <sz val="11"/>
        <color theme="1"/>
        <rFont val="Arial"/>
        <family val="2"/>
      </rPr>
      <t xml:space="preserve"> TFP and BM Database Calculation 2' (included as part the Working </t>
    </r>
  </si>
  <si>
    <r>
      <t xml:space="preserve">     Papers – Part II), </t>
    </r>
    <r>
      <rPr>
        <b/>
        <sz val="11"/>
        <color theme="1"/>
        <rFont val="Arial"/>
        <family val="2"/>
      </rPr>
      <t>Tab</t>
    </r>
    <r>
      <rPr>
        <sz val="11"/>
        <color theme="1"/>
        <rFont val="Arial"/>
        <family val="2"/>
      </rPr>
      <t xml:space="preserve"> '</t>
    </r>
    <r>
      <rPr>
        <b/>
        <sz val="11"/>
        <color theme="1"/>
        <rFont val="Arial"/>
        <family val="2"/>
      </rPr>
      <t>Aggregate HV Charges</t>
    </r>
    <r>
      <rPr>
        <sz val="11"/>
        <color theme="1"/>
        <rFont val="Arial"/>
        <family val="2"/>
      </rPr>
      <t xml:space="preserve">', </t>
    </r>
    <r>
      <rPr>
        <b/>
        <sz val="11"/>
        <color theme="1"/>
        <rFont val="Arial"/>
        <family val="2"/>
      </rPr>
      <t>Column C</t>
    </r>
    <r>
      <rPr>
        <sz val="11"/>
        <color theme="1"/>
        <rFont val="Arial"/>
        <family val="2"/>
      </rPr>
      <t xml:space="preserve"> </t>
    </r>
  </si>
  <si>
    <t xml:space="preserve">     Sum of Trial Balance Amounts in Accounts 5014, 5015 and 5112</t>
  </si>
  <si>
    <t>Insert $ Amount</t>
  </si>
  <si>
    <t>Automatically referenced</t>
  </si>
  <si>
    <t>from Rows 21-23 above</t>
  </si>
  <si>
    <r>
      <t xml:space="preserve">     Papers – Part II), </t>
    </r>
    <r>
      <rPr>
        <b/>
        <sz val="11"/>
        <color theme="1"/>
        <rFont val="Arial"/>
        <family val="2"/>
      </rPr>
      <t>Tab</t>
    </r>
    <r>
      <rPr>
        <sz val="11"/>
        <color theme="1"/>
        <rFont val="Arial"/>
        <family val="2"/>
      </rPr>
      <t xml:space="preserve"> '</t>
    </r>
    <r>
      <rPr>
        <b/>
        <sz val="11"/>
        <color theme="1"/>
        <rFont val="Arial"/>
        <family val="2"/>
      </rPr>
      <t>OM&amp;A Calculation</t>
    </r>
    <r>
      <rPr>
        <sz val="11"/>
        <color theme="1"/>
        <rFont val="Arial"/>
        <family val="2"/>
      </rPr>
      <t xml:space="preserve">', </t>
    </r>
    <r>
      <rPr>
        <b/>
        <sz val="11"/>
        <color theme="1"/>
        <rFont val="Arial"/>
        <family val="2"/>
      </rPr>
      <t>Column I</t>
    </r>
    <r>
      <rPr>
        <sz val="11"/>
        <color theme="1"/>
        <rFont val="Arial"/>
        <family val="2"/>
      </rPr>
      <t xml:space="preserve"> HV Charges</t>
    </r>
  </si>
  <si>
    <t>HV Capital</t>
  </si>
  <si>
    <t>HV Capital USoA Account</t>
  </si>
  <si>
    <t>USoA Account 1815</t>
  </si>
  <si>
    <t>TS Equipment-Normally Primary above 50 kV</t>
  </si>
  <si>
    <t>PEG File 'TFP and BM Database Calculation 2' (included as part the</t>
  </si>
  <si>
    <r>
      <t>Working Papers – Part II), Tab '</t>
    </r>
    <r>
      <rPr>
        <b/>
        <sz val="10"/>
        <color theme="1"/>
        <rFont val="Arial"/>
        <family val="2"/>
      </rPr>
      <t>Q Capital Data'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Column G</t>
    </r>
  </si>
  <si>
    <t>Capital</t>
  </si>
  <si>
    <t>USoA Accounts 1805 - 1990</t>
  </si>
  <si>
    <r>
      <t>Working Papers – Part II), Tab '</t>
    </r>
    <r>
      <rPr>
        <b/>
        <sz val="10"/>
        <rFont val="Arial"/>
        <family val="2"/>
      </rPr>
      <t>Q Capital Data</t>
    </r>
    <r>
      <rPr>
        <sz val="10"/>
        <rFont val="Arial"/>
        <family val="2"/>
      </rPr>
      <t xml:space="preserve">' </t>
    </r>
    <r>
      <rPr>
        <b/>
        <sz val="10"/>
        <rFont val="Arial"/>
        <family val="2"/>
      </rPr>
      <t>Column D</t>
    </r>
  </si>
  <si>
    <t xml:space="preserve">PEG file 'TFP and BM Database Calculation 2' </t>
  </si>
  <si>
    <t xml:space="preserve">     (included as part the Working Papers – Part II): </t>
  </si>
  <si>
    <t>Gross Plant</t>
  </si>
  <si>
    <r>
      <t>Tab '</t>
    </r>
    <r>
      <rPr>
        <b/>
        <sz val="10"/>
        <color theme="1"/>
        <rFont val="Arial"/>
        <family val="2"/>
      </rPr>
      <t>Capital Calculations for BM</t>
    </r>
    <r>
      <rPr>
        <sz val="10"/>
        <color theme="1"/>
        <rFont val="Arial"/>
        <family val="2"/>
      </rPr>
      <t>'</t>
    </r>
    <r>
      <rPr>
        <b/>
        <sz val="10"/>
        <color theme="1"/>
        <rFont val="Arial"/>
        <family val="2"/>
      </rPr>
      <t xml:space="preserve"> Column E</t>
    </r>
    <r>
      <rPr>
        <sz val="10"/>
        <color theme="1"/>
        <rFont val="Arial"/>
        <family val="2"/>
      </rPr>
      <t xml:space="preserve"> Gross Plant </t>
    </r>
  </si>
  <si>
    <r>
      <t>Working Papers – Part II), Tab 'Q</t>
    </r>
    <r>
      <rPr>
        <b/>
        <sz val="10"/>
        <color theme="1"/>
        <rFont val="Arial"/>
        <family val="2"/>
      </rPr>
      <t xml:space="preserve"> Capital Data' Column N </t>
    </r>
    <r>
      <rPr>
        <b/>
        <sz val="10"/>
        <color rgb="FF0070C0"/>
        <rFont val="Arial"/>
        <family val="2"/>
      </rPr>
      <t>**</t>
    </r>
  </si>
  <si>
    <r>
      <t>Insert $ Amount</t>
    </r>
    <r>
      <rPr>
        <sz val="10"/>
        <color rgb="FF0070C0"/>
        <rFont val="Arial"/>
        <family val="2"/>
      </rPr>
      <t>**</t>
    </r>
  </si>
  <si>
    <r>
      <t>Tab '</t>
    </r>
    <r>
      <rPr>
        <b/>
        <sz val="10"/>
        <color theme="1"/>
        <rFont val="Arial"/>
        <family val="2"/>
      </rPr>
      <t>Q Capital Data' Column E</t>
    </r>
    <r>
      <rPr>
        <sz val="10"/>
        <color theme="1"/>
        <rFont val="Arial"/>
        <family val="2"/>
      </rPr>
      <t xml:space="preserve"> Gross Plant for BM</t>
    </r>
  </si>
  <si>
    <t>Automatically referenced from Row 25</t>
  </si>
  <si>
    <r>
      <t xml:space="preserve">Tab </t>
    </r>
    <r>
      <rPr>
        <b/>
        <sz val="10"/>
        <color theme="1"/>
        <rFont val="Arial"/>
        <family val="2"/>
      </rPr>
      <t>'Q Capital Data' Column D</t>
    </r>
    <r>
      <rPr>
        <sz val="10"/>
        <color theme="1"/>
        <rFont val="Arial"/>
        <family val="2"/>
      </rPr>
      <t xml:space="preserve"> Gross Plant for Company Total</t>
    </r>
  </si>
  <si>
    <r>
      <rPr>
        <b/>
        <u/>
        <sz val="10"/>
        <color theme="1"/>
        <rFont val="Arial"/>
        <family val="2"/>
      </rPr>
      <t>Less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Tab</t>
    </r>
    <r>
      <rPr>
        <b/>
        <sz val="10"/>
        <color theme="1"/>
        <rFont val="Arial"/>
        <family val="2"/>
      </rPr>
      <t xml:space="preserve"> 'Q Capital Data' Column G </t>
    </r>
    <r>
      <rPr>
        <sz val="10"/>
        <color theme="1"/>
        <rFont val="Arial"/>
        <family val="2"/>
      </rPr>
      <t>Plant GT50</t>
    </r>
  </si>
  <si>
    <t>Insert $ Amount as Negative #</t>
  </si>
  <si>
    <t>Net Additions</t>
  </si>
  <si>
    <r>
      <t>Tab '</t>
    </r>
    <r>
      <rPr>
        <b/>
        <sz val="10"/>
        <color theme="1"/>
        <rFont val="Arial"/>
        <family val="2"/>
      </rPr>
      <t>Capital Calculations for BM' Column G</t>
    </r>
    <r>
      <rPr>
        <sz val="10"/>
        <color theme="1"/>
        <rFont val="Arial"/>
        <family val="2"/>
      </rPr>
      <t xml:space="preserve"> Net Additions </t>
    </r>
  </si>
  <si>
    <r>
      <t>Tab '</t>
    </r>
    <r>
      <rPr>
        <b/>
        <sz val="10"/>
        <color theme="1"/>
        <rFont val="Arial"/>
        <family val="2"/>
      </rPr>
      <t xml:space="preserve">Capital Calculations for BM' Column E </t>
    </r>
    <r>
      <rPr>
        <sz val="10"/>
        <color theme="1"/>
        <rFont val="Arial"/>
        <family val="2"/>
      </rPr>
      <t>Gross Plant of the</t>
    </r>
  </si>
  <si>
    <r>
      <t xml:space="preserve">     </t>
    </r>
    <r>
      <rPr>
        <b/>
        <u/>
        <sz val="10"/>
        <color theme="1"/>
        <rFont val="Arial"/>
        <family val="2"/>
      </rPr>
      <t>Current</t>
    </r>
    <r>
      <rPr>
        <sz val="10"/>
        <color theme="1"/>
        <rFont val="Arial"/>
        <family val="2"/>
      </rPr>
      <t xml:space="preserve"> Year </t>
    </r>
    <r>
      <rPr>
        <b/>
        <sz val="10"/>
        <color theme="1"/>
        <rFont val="Arial"/>
        <family val="2"/>
      </rPr>
      <t>less Column E</t>
    </r>
    <r>
      <rPr>
        <sz val="10"/>
        <color theme="1"/>
        <rFont val="Arial"/>
        <family val="2"/>
      </rPr>
      <t xml:space="preserve"> Gross Plant of the </t>
    </r>
    <r>
      <rPr>
        <b/>
        <u/>
        <sz val="10"/>
        <color theme="1"/>
        <rFont val="Arial"/>
        <family val="2"/>
      </rPr>
      <t>Prior</t>
    </r>
    <r>
      <rPr>
        <b/>
        <sz val="10"/>
        <color theme="1"/>
        <rFont val="Arial"/>
        <family val="2"/>
      </rPr>
      <t xml:space="preserve"> Year</t>
    </r>
    <r>
      <rPr>
        <sz val="10"/>
        <color theme="1"/>
        <rFont val="Arial"/>
        <family val="2"/>
      </rPr>
      <t>.  </t>
    </r>
  </si>
  <si>
    <r>
      <t xml:space="preserve"> ** Only add in if on Tab 'Capital Contributions for BM' Column C has a '1'</t>
    </r>
    <r>
      <rPr>
        <sz val="10"/>
        <rFont val="Arial"/>
        <family val="2"/>
      </rPr>
      <t xml:space="preserve"> (a query to the OEB has been sent re: its application)</t>
    </r>
  </si>
  <si>
    <t xml:space="preserve">PEG subsequently applies a number of factors. </t>
  </si>
  <si>
    <t>Customers Numbers*</t>
  </si>
  <si>
    <t>Deliveries*</t>
  </si>
  <si>
    <t>% Deliveries ot Large**</t>
  </si>
  <si>
    <t>**Intermediate included in GS</t>
  </si>
  <si>
    <t>% Deliveries to GS**</t>
  </si>
  <si>
    <t>% Deliveries to GS/LG**</t>
  </si>
  <si>
    <t>Billed kW*</t>
  </si>
  <si>
    <t>Enwin Utilities Ltd.</t>
  </si>
  <si>
    <t>Review of O&amp;M accounts for HV costs</t>
  </si>
  <si>
    <t>Trial Balances were reviewed to determine if transformer station operation and maintenance expenses were recorded in alternative GL accounts.</t>
  </si>
  <si>
    <t>Amounts related to internal transformer station GL accounts are shown below:</t>
  </si>
  <si>
    <t>USoA accounts</t>
  </si>
  <si>
    <t xml:space="preserve">System Operation Transformer Maintenance is currently mapped to USoA account 5005.  </t>
  </si>
  <si>
    <t>Variance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</si>
</sst>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(* #,##0.0000_);_(* \(#,##0.0000\);_(* &quot;-&quot;??_);_(@_)"/>
    <numFmt numFmtId="167" formatCode="_(&quot;$&quot;* #,##0_);_(&quot;$&quot;* \(#,##0\);_(&quot;$&quot;* &quot;-&quot;??_);_(@_)"/>
    <numFmt numFmtId="168" formatCode="_(&quot;$&quot;* #,##0.00_);_(&quot;$&quot;* \(#,##0.00\);_(&quot;$&quot;* &quot;-&quot;??_);_(@_)"/>
    <numFmt numFmtId="169" formatCode="_-* #,##0.00\ _$_-;_-* #,##0.00\ _$\-;_-* &quot;-&quot;??\ _$_-;_-@_-"/>
    <numFmt numFmtId="170" formatCode="_ * #,##0.00_)\ _$_ ;_ * \(#,##0.00\)\ _$_ ;_ * &quot;-&quot;??_)\ _$_ ;_ @_ "/>
    <numFmt numFmtId="171" formatCode="0.00_)"/>
  </numFmts>
  <fonts count="6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sz val="12"/>
      <color theme="1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b/>
      <u/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13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</font>
    <font>
      <sz val="8"/>
      <name val="Arial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1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8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6" fillId="0" borderId="0"/>
    <xf numFmtId="168" fontId="26" fillId="0" borderId="0" applyFont="0" applyFill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6" borderId="0" applyNumberFormat="0" applyBorder="0" applyAlignment="0" applyProtection="0"/>
    <xf numFmtId="0" fontId="35" fillId="47" borderId="0" applyNumberFormat="0" applyBorder="0" applyAlignment="0" applyProtection="0"/>
    <xf numFmtId="0" fontId="35" fillId="48" borderId="0" applyNumberFormat="0" applyBorder="0" applyAlignment="0" applyProtection="0"/>
    <xf numFmtId="0" fontId="35" fillId="41" borderId="0" applyNumberFormat="0" applyBorder="0" applyAlignment="0" applyProtection="0"/>
    <xf numFmtId="0" fontId="35" fillId="46" borderId="0" applyNumberFormat="0" applyBorder="0" applyAlignment="0" applyProtection="0"/>
    <xf numFmtId="0" fontId="35" fillId="49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44" borderId="0" applyNumberFormat="0" applyBorder="0" applyAlignment="0" applyProtection="0"/>
    <xf numFmtId="0" fontId="36" fillId="48" borderId="0" applyNumberFormat="0" applyBorder="0" applyAlignment="0" applyProtection="0"/>
    <xf numFmtId="0" fontId="36" fillId="56" borderId="0" applyNumberFormat="0" applyBorder="0" applyAlignment="0" applyProtection="0"/>
    <xf numFmtId="0" fontId="36" fillId="57" borderId="0" applyNumberFormat="0" applyBorder="0" applyAlignment="0" applyProtection="0"/>
    <xf numFmtId="0" fontId="36" fillId="50" borderId="0" applyNumberFormat="0" applyBorder="0" applyAlignment="0" applyProtection="0"/>
    <xf numFmtId="0" fontId="36" fillId="58" borderId="0" applyNumberFormat="0" applyBorder="0" applyAlignment="0" applyProtection="0"/>
    <xf numFmtId="0" fontId="36" fillId="59" borderId="0" applyNumberFormat="0" applyBorder="0" applyAlignment="0" applyProtection="0"/>
    <xf numFmtId="0" fontId="36" fillId="55" borderId="0" applyNumberFormat="0" applyBorder="0" applyAlignment="0" applyProtection="0"/>
    <xf numFmtId="0" fontId="36" fillId="56" borderId="0" applyNumberFormat="0" applyBorder="0" applyAlignment="0" applyProtection="0"/>
    <xf numFmtId="0" fontId="36" fillId="57" borderId="0" applyNumberFormat="0" applyBorder="0" applyAlignment="0" applyProtection="0"/>
    <xf numFmtId="0" fontId="36" fillId="59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3" borderId="0" applyNumberFormat="0" applyBorder="0" applyAlignment="0" applyProtection="0"/>
    <xf numFmtId="0" fontId="39" fillId="44" borderId="0" applyNumberFormat="0" applyBorder="0" applyAlignment="0" applyProtection="0"/>
    <xf numFmtId="0" fontId="40" fillId="44" borderId="38" applyNumberFormat="0" applyAlignment="0" applyProtection="0"/>
    <xf numFmtId="0" fontId="41" fillId="44" borderId="38" applyNumberFormat="0" applyAlignment="0" applyProtection="0"/>
    <xf numFmtId="0" fontId="42" fillId="0" borderId="39" applyNumberFormat="0" applyFill="0" applyAlignment="0" applyProtection="0"/>
    <xf numFmtId="0" fontId="43" fillId="60" borderId="40" applyNumberFormat="0" applyAlignment="0" applyProtection="0"/>
    <xf numFmtId="43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35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61" borderId="11" applyNumberFormat="0" applyFont="0" applyAlignment="0" applyProtection="0"/>
    <xf numFmtId="44" fontId="19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45" fillId="43" borderId="3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44" borderId="0" applyNumberFormat="0" applyBorder="0" applyAlignment="0" applyProtection="0"/>
    <xf numFmtId="38" fontId="49" fillId="62" borderId="0" applyNumberFormat="0" applyBorder="0" applyAlignment="0" applyProtection="0"/>
    <xf numFmtId="0" fontId="50" fillId="0" borderId="41" applyNumberFormat="0" applyFill="0" applyAlignment="0" applyProtection="0"/>
    <xf numFmtId="0" fontId="50" fillId="0" borderId="41" applyNumberFormat="0" applyFill="0" applyAlignment="0" applyProtection="0"/>
    <xf numFmtId="0" fontId="51" fillId="0" borderId="42" applyNumberFormat="0" applyFill="0" applyAlignment="0" applyProtection="0"/>
    <xf numFmtId="0" fontId="51" fillId="0" borderId="42" applyNumberFormat="0" applyFill="0" applyAlignment="0" applyProtection="0"/>
    <xf numFmtId="0" fontId="52" fillId="0" borderId="43" applyNumberFormat="0" applyFill="0" applyAlignment="0" applyProtection="0"/>
    <xf numFmtId="0" fontId="52" fillId="0" borderId="43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0" fontId="49" fillId="63" borderId="10" applyNumberFormat="0" applyBorder="0" applyAlignment="0" applyProtection="0"/>
    <xf numFmtId="0" fontId="53" fillId="44" borderId="38" applyNumberFormat="0" applyAlignment="0" applyProtection="0"/>
    <xf numFmtId="0" fontId="39" fillId="39" borderId="0" applyNumberFormat="0" applyBorder="0" applyAlignment="0" applyProtection="0"/>
    <xf numFmtId="0" fontId="54" fillId="0" borderId="44" applyNumberFormat="0" applyFill="0" applyAlignment="0" applyProtection="0"/>
    <xf numFmtId="0" fontId="54" fillId="0" borderId="44" applyNumberFormat="0" applyFill="0" applyAlignment="0" applyProtection="0"/>
    <xf numFmtId="169" fontId="19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55" fillId="44" borderId="0" applyNumberFormat="0" applyBorder="0" applyAlignment="0" applyProtection="0"/>
    <xf numFmtId="0" fontId="56" fillId="64" borderId="0" applyNumberFormat="0" applyBorder="0" applyAlignment="0" applyProtection="0"/>
    <xf numFmtId="171" fontId="57" fillId="0" borderId="0"/>
    <xf numFmtId="0" fontId="44" fillId="0" borderId="0"/>
    <xf numFmtId="0" fontId="44" fillId="0" borderId="0"/>
    <xf numFmtId="0" fontId="35" fillId="0" borderId="0"/>
    <xf numFmtId="0" fontId="44" fillId="0" borderId="0"/>
    <xf numFmtId="0" fontId="44" fillId="0" borderId="0"/>
    <xf numFmtId="0" fontId="19" fillId="0" borderId="0"/>
    <xf numFmtId="0" fontId="44" fillId="0" borderId="0"/>
    <xf numFmtId="0" fontId="44" fillId="0" borderId="0"/>
    <xf numFmtId="0" fontId="18" fillId="0" borderId="0"/>
    <xf numFmtId="0" fontId="19" fillId="0" borderId="0"/>
    <xf numFmtId="0" fontId="44" fillId="0" borderId="0"/>
    <xf numFmtId="0" fontId="4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35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8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44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35" fillId="45" borderId="11" applyNumberFormat="0" applyFont="0" applyAlignment="0" applyProtection="0"/>
    <xf numFmtId="0" fontId="35" fillId="45" borderId="11" applyNumberFormat="0" applyFont="0" applyAlignment="0" applyProtection="0"/>
    <xf numFmtId="0" fontId="35" fillId="45" borderId="11" applyNumberFormat="0" applyFont="0" applyAlignment="0" applyProtection="0"/>
    <xf numFmtId="0" fontId="58" fillId="44" borderId="45" applyNumberFormat="0" applyAlignment="0" applyProtection="0"/>
    <xf numFmtId="10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8" fillId="40" borderId="0" applyNumberFormat="0" applyBorder="0" applyAlignment="0" applyProtection="0"/>
    <xf numFmtId="0" fontId="59" fillId="44" borderId="46" applyNumberFormat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47" applyNumberFormat="0" applyFill="0" applyAlignment="0" applyProtection="0"/>
    <xf numFmtId="0" fontId="63" fillId="0" borderId="42" applyNumberFormat="0" applyFill="0" applyAlignment="0" applyProtection="0"/>
    <xf numFmtId="0" fontId="64" fillId="0" borderId="48" applyNumberFormat="0" applyFill="0" applyAlignment="0" applyProtection="0"/>
    <xf numFmtId="0" fontId="6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49" applyNumberFormat="0" applyFill="0" applyAlignment="0" applyProtection="0"/>
    <xf numFmtId="0" fontId="58" fillId="0" borderId="49" applyNumberFormat="0" applyFill="0" applyAlignment="0" applyProtection="0"/>
    <xf numFmtId="0" fontId="43" fillId="65" borderId="50" applyNumberFormat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</cellStyleXfs>
  <cellXfs count="183">
    <xf numFmtId="0" fontId="0" fillId="0" borderId="0" xfId="0"/>
    <xf numFmtId="0" fontId="23" fillId="33" borderId="17" xfId="0" applyFont="1" applyFill="1" applyBorder="1"/>
    <xf numFmtId="0" fontId="20" fillId="33" borderId="12" xfId="0" applyFont="1" applyFill="1" applyBorder="1" applyAlignment="1">
      <alignment horizontal="center"/>
    </xf>
    <xf numFmtId="0" fontId="23" fillId="33" borderId="12" xfId="0" applyFont="1" applyFill="1" applyBorder="1"/>
    <xf numFmtId="167" fontId="23" fillId="33" borderId="12" xfId="2" applyNumberFormat="1" applyFont="1" applyFill="1" applyBorder="1"/>
    <xf numFmtId="43" fontId="23" fillId="33" borderId="12" xfId="0" applyNumberFormat="1" applyFont="1" applyFill="1" applyBorder="1"/>
    <xf numFmtId="165" fontId="23" fillId="33" borderId="12" xfId="1" applyNumberFormat="1" applyFont="1" applyFill="1" applyBorder="1"/>
    <xf numFmtId="10" fontId="23" fillId="33" borderId="0" xfId="3" applyNumberFormat="1" applyFont="1" applyFill="1" applyBorder="1"/>
    <xf numFmtId="3" fontId="23" fillId="33" borderId="0" xfId="0" applyNumberFormat="1" applyFont="1" applyFill="1" applyBorder="1"/>
    <xf numFmtId="10" fontId="23" fillId="33" borderId="0" xfId="0" applyNumberFormat="1" applyFont="1" applyFill="1" applyBorder="1"/>
    <xf numFmtId="165" fontId="23" fillId="33" borderId="0" xfId="1" applyNumberFormat="1" applyFont="1" applyFill="1" applyBorder="1"/>
    <xf numFmtId="10" fontId="23" fillId="33" borderId="15" xfId="3" applyNumberFormat="1" applyFont="1" applyFill="1" applyBorder="1"/>
    <xf numFmtId="3" fontId="23" fillId="33" borderId="15" xfId="0" applyNumberFormat="1" applyFont="1" applyFill="1" applyBorder="1"/>
    <xf numFmtId="10" fontId="23" fillId="33" borderId="15" xfId="0" applyNumberFormat="1" applyFont="1" applyFill="1" applyBorder="1"/>
    <xf numFmtId="165" fontId="23" fillId="33" borderId="15" xfId="1" applyNumberFormat="1" applyFont="1" applyFill="1" applyBorder="1"/>
    <xf numFmtId="0" fontId="22" fillId="34" borderId="0" xfId="0" applyFont="1" applyFill="1" applyBorder="1" applyAlignment="1" applyProtection="1">
      <alignment horizontal="center" vertical="center" wrapText="1"/>
    </xf>
    <xf numFmtId="165" fontId="19" fillId="34" borderId="0" xfId="1" applyNumberFormat="1" applyFont="1" applyFill="1" applyBorder="1"/>
    <xf numFmtId="10" fontId="19" fillId="34" borderId="0" xfId="0" applyNumberFormat="1" applyFont="1" applyFill="1" applyBorder="1"/>
    <xf numFmtId="0" fontId="22" fillId="34" borderId="15" xfId="0" applyFont="1" applyFill="1" applyBorder="1" applyAlignment="1" applyProtection="1">
      <alignment horizontal="center" vertical="center" wrapText="1"/>
    </xf>
    <xf numFmtId="165" fontId="19" fillId="34" borderId="15" xfId="1" applyNumberFormat="1" applyFont="1" applyFill="1" applyBorder="1"/>
    <xf numFmtId="10" fontId="19" fillId="34" borderId="15" xfId="0" applyNumberFormat="1" applyFont="1" applyFill="1" applyBorder="1"/>
    <xf numFmtId="164" fontId="23" fillId="33" borderId="0" xfId="1" applyNumberFormat="1" applyFont="1" applyFill="1" applyBorder="1"/>
    <xf numFmtId="164" fontId="23" fillId="33" borderId="15" xfId="1" applyNumberFormat="1" applyFont="1" applyFill="1" applyBorder="1"/>
    <xf numFmtId="0" fontId="1" fillId="0" borderId="0" xfId="46" applyFont="1"/>
    <xf numFmtId="0" fontId="16" fillId="36" borderId="21" xfId="46" applyFont="1" applyFill="1" applyBorder="1" applyAlignment="1">
      <alignment horizontal="center"/>
    </xf>
    <xf numFmtId="0" fontId="16" fillId="36" borderId="22" xfId="46" applyFont="1" applyFill="1" applyBorder="1" applyAlignment="1">
      <alignment horizontal="center"/>
    </xf>
    <xf numFmtId="0" fontId="16" fillId="36" borderId="18" xfId="46" applyFont="1" applyFill="1" applyBorder="1" applyAlignment="1">
      <alignment vertical="center" wrapText="1"/>
    </xf>
    <xf numFmtId="0" fontId="16" fillId="36" borderId="19" xfId="46" applyFont="1" applyFill="1" applyBorder="1" applyAlignment="1">
      <alignment vertical="center" wrapText="1"/>
    </xf>
    <xf numFmtId="0" fontId="16" fillId="36" borderId="20" xfId="46" applyFont="1" applyFill="1" applyBorder="1" applyAlignment="1">
      <alignment vertical="center" wrapText="1"/>
    </xf>
    <xf numFmtId="0" fontId="16" fillId="36" borderId="18" xfId="46" applyFont="1" applyFill="1" applyBorder="1" applyAlignment="1">
      <alignment horizontal="center" vertical="center" wrapText="1"/>
    </xf>
    <xf numFmtId="0" fontId="16" fillId="0" borderId="0" xfId="46" applyFont="1" applyAlignment="1">
      <alignment horizontal="center" vertical="center" wrapText="1"/>
    </xf>
    <xf numFmtId="0" fontId="1" fillId="0" borderId="23" xfId="46" applyFont="1" applyBorder="1"/>
    <xf numFmtId="0" fontId="1" fillId="0" borderId="24" xfId="46" applyFont="1" applyBorder="1"/>
    <xf numFmtId="167" fontId="1" fillId="0" borderId="25" xfId="47" applyNumberFormat="1" applyFont="1" applyBorder="1"/>
    <xf numFmtId="167" fontId="1" fillId="0" borderId="23" xfId="47" applyNumberFormat="1" applyFont="1" applyBorder="1"/>
    <xf numFmtId="167" fontId="1" fillId="0" borderId="0" xfId="46" applyNumberFormat="1" applyFont="1"/>
    <xf numFmtId="0" fontId="1" fillId="0" borderId="26" xfId="46" applyFont="1" applyBorder="1"/>
    <xf numFmtId="0" fontId="1" fillId="0" borderId="27" xfId="46" applyFont="1" applyBorder="1"/>
    <xf numFmtId="167" fontId="1" fillId="0" borderId="28" xfId="47" applyNumberFormat="1" applyFont="1" applyBorder="1"/>
    <xf numFmtId="0" fontId="1" fillId="0" borderId="29" xfId="46" applyFont="1" applyBorder="1"/>
    <xf numFmtId="0" fontId="1" fillId="0" borderId="0" xfId="46" applyFont="1" applyBorder="1"/>
    <xf numFmtId="167" fontId="1" fillId="0" borderId="30" xfId="47" applyNumberFormat="1" applyFont="1" applyBorder="1"/>
    <xf numFmtId="167" fontId="1" fillId="0" borderId="26" xfId="47" applyNumberFormat="1" applyFont="1" applyBorder="1"/>
    <xf numFmtId="167" fontId="1" fillId="0" borderId="29" xfId="47" applyNumberFormat="1" applyFont="1" applyBorder="1"/>
    <xf numFmtId="0" fontId="16" fillId="0" borderId="18" xfId="46" applyFont="1" applyBorder="1"/>
    <xf numFmtId="0" fontId="1" fillId="0" borderId="19" xfId="46" applyFont="1" applyBorder="1"/>
    <xf numFmtId="167" fontId="16" fillId="37" borderId="21" xfId="47" applyNumberFormat="1" applyFont="1" applyFill="1" applyBorder="1"/>
    <xf numFmtId="167" fontId="16" fillId="0" borderId="21" xfId="47" applyNumberFormat="1" applyFont="1" applyBorder="1"/>
    <xf numFmtId="0" fontId="1" fillId="0" borderId="17" xfId="46" applyFont="1" applyBorder="1"/>
    <xf numFmtId="0" fontId="1" fillId="0" borderId="12" xfId="46" applyFont="1" applyBorder="1"/>
    <xf numFmtId="167" fontId="1" fillId="0" borderId="22" xfId="47" applyNumberFormat="1" applyFont="1" applyBorder="1"/>
    <xf numFmtId="167" fontId="14" fillId="0" borderId="29" xfId="47" applyNumberFormat="1" applyFont="1" applyBorder="1"/>
    <xf numFmtId="0" fontId="1" fillId="0" borderId="30" xfId="46" applyFont="1" applyBorder="1"/>
    <xf numFmtId="0" fontId="1" fillId="0" borderId="31" xfId="46" applyFont="1" applyBorder="1"/>
    <xf numFmtId="0" fontId="1" fillId="0" borderId="15" xfId="46" applyFont="1" applyBorder="1"/>
    <xf numFmtId="167" fontId="28" fillId="0" borderId="29" xfId="47" applyNumberFormat="1" applyFont="1" applyBorder="1"/>
    <xf numFmtId="0" fontId="1" fillId="0" borderId="14" xfId="46" applyFont="1" applyBorder="1"/>
    <xf numFmtId="167" fontId="1" fillId="0" borderId="31" xfId="47" applyNumberFormat="1" applyFont="1" applyBorder="1"/>
    <xf numFmtId="0" fontId="16" fillId="0" borderId="0" xfId="46" applyFont="1" applyBorder="1"/>
    <xf numFmtId="167" fontId="16" fillId="0" borderId="0" xfId="47" applyNumberFormat="1" applyFont="1" applyFill="1" applyBorder="1"/>
    <xf numFmtId="0" fontId="29" fillId="0" borderId="0" xfId="46" applyFont="1"/>
    <xf numFmtId="0" fontId="16" fillId="36" borderId="19" xfId="46" applyFont="1" applyFill="1" applyBorder="1" applyAlignment="1">
      <alignment horizontal="center" vertical="center" wrapText="1"/>
    </xf>
    <xf numFmtId="0" fontId="1" fillId="0" borderId="0" xfId="46" applyFont="1" applyBorder="1" applyAlignment="1">
      <alignment horizontal="center"/>
    </xf>
    <xf numFmtId="167" fontId="1" fillId="0" borderId="14" xfId="47" applyNumberFormat="1" applyFont="1" applyBorder="1"/>
    <xf numFmtId="0" fontId="1" fillId="0" borderId="0" xfId="46" applyFont="1" applyFill="1" applyBorder="1"/>
    <xf numFmtId="4" fontId="1" fillId="0" borderId="0" xfId="46" applyNumberFormat="1" applyFont="1" applyBorder="1"/>
    <xf numFmtId="167" fontId="16" fillId="0" borderId="22" xfId="47" applyNumberFormat="1" applyFont="1" applyBorder="1"/>
    <xf numFmtId="167" fontId="16" fillId="0" borderId="30" xfId="47" applyNumberFormat="1" applyFont="1" applyBorder="1"/>
    <xf numFmtId="0" fontId="23" fillId="0" borderId="0" xfId="46" applyFont="1"/>
    <xf numFmtId="167" fontId="23" fillId="0" borderId="0" xfId="46" applyNumberFormat="1" applyFont="1"/>
    <xf numFmtId="0" fontId="30" fillId="36" borderId="21" xfId="46" applyFont="1" applyFill="1" applyBorder="1" applyAlignment="1">
      <alignment horizontal="center"/>
    </xf>
    <xf numFmtId="0" fontId="30" fillId="36" borderId="19" xfId="46" applyFont="1" applyFill="1" applyBorder="1" applyAlignment="1">
      <alignment horizontal="center" vertical="center" wrapText="1"/>
    </xf>
    <xf numFmtId="0" fontId="30" fillId="0" borderId="18" xfId="46" applyFont="1" applyBorder="1"/>
    <xf numFmtId="0" fontId="30" fillId="0" borderId="19" xfId="46" applyFont="1" applyBorder="1"/>
    <xf numFmtId="0" fontId="23" fillId="0" borderId="19" xfId="46" applyFont="1" applyBorder="1"/>
    <xf numFmtId="167" fontId="30" fillId="37" borderId="21" xfId="47" applyNumberFormat="1" applyFont="1" applyFill="1" applyBorder="1"/>
    <xf numFmtId="0" fontId="23" fillId="0" borderId="17" xfId="46" applyFont="1" applyBorder="1"/>
    <xf numFmtId="0" fontId="23" fillId="0" borderId="12" xfId="46" applyFont="1" applyBorder="1"/>
    <xf numFmtId="167" fontId="23" fillId="0" borderId="22" xfId="47" applyNumberFormat="1" applyFont="1" applyBorder="1"/>
    <xf numFmtId="0" fontId="23" fillId="0" borderId="31" xfId="46" applyFont="1" applyBorder="1"/>
    <xf numFmtId="0" fontId="23" fillId="0" borderId="15" xfId="46" applyFont="1" applyBorder="1"/>
    <xf numFmtId="167" fontId="23" fillId="0" borderId="0" xfId="47" applyNumberFormat="1" applyFont="1"/>
    <xf numFmtId="0" fontId="19" fillId="0" borderId="0" xfId="46" applyFont="1" applyFill="1"/>
    <xf numFmtId="0" fontId="19" fillId="0" borderId="31" xfId="46" applyFont="1" applyBorder="1"/>
    <xf numFmtId="0" fontId="30" fillId="36" borderId="20" xfId="46" applyFont="1" applyFill="1" applyBorder="1" applyAlignment="1">
      <alignment horizontal="center"/>
    </xf>
    <xf numFmtId="0" fontId="31" fillId="0" borderId="29" xfId="46" applyFont="1" applyBorder="1"/>
    <xf numFmtId="0" fontId="23" fillId="0" borderId="0" xfId="46" applyFont="1" applyBorder="1"/>
    <xf numFmtId="0" fontId="23" fillId="0" borderId="30" xfId="46" applyFont="1" applyBorder="1"/>
    <xf numFmtId="0" fontId="23" fillId="0" borderId="14" xfId="46" applyFont="1" applyBorder="1"/>
    <xf numFmtId="0" fontId="23" fillId="0" borderId="29" xfId="46" applyFont="1" applyBorder="1"/>
    <xf numFmtId="167" fontId="23" fillId="0" borderId="22" xfId="47" applyNumberFormat="1" applyFont="1" applyFill="1" applyBorder="1"/>
    <xf numFmtId="0" fontId="23" fillId="0" borderId="23" xfId="46" applyFont="1" applyBorder="1"/>
    <xf numFmtId="0" fontId="23" fillId="0" borderId="24" xfId="46" applyFont="1" applyBorder="1"/>
    <xf numFmtId="0" fontId="23" fillId="0" borderId="32" xfId="46" applyFont="1" applyBorder="1"/>
    <xf numFmtId="167" fontId="23" fillId="0" borderId="30" xfId="47" applyNumberFormat="1" applyFont="1" applyFill="1" applyBorder="1"/>
    <xf numFmtId="0" fontId="23" fillId="0" borderId="26" xfId="46" applyFont="1" applyBorder="1"/>
    <xf numFmtId="0" fontId="23" fillId="0" borderId="27" xfId="46" applyFont="1" applyBorder="1"/>
    <xf numFmtId="0" fontId="23" fillId="0" borderId="33" xfId="46" applyFont="1" applyBorder="1"/>
    <xf numFmtId="167" fontId="23" fillId="0" borderId="21" xfId="47" applyNumberFormat="1" applyFont="1" applyFill="1" applyBorder="1"/>
    <xf numFmtId="0" fontId="30" fillId="0" borderId="31" xfId="46" applyFont="1" applyBorder="1"/>
    <xf numFmtId="0" fontId="23" fillId="0" borderId="35" xfId="46" applyFont="1" applyBorder="1"/>
    <xf numFmtId="0" fontId="23" fillId="0" borderId="36" xfId="46" applyFont="1" applyBorder="1"/>
    <xf numFmtId="0" fontId="23" fillId="0" borderId="37" xfId="46" applyFont="1" applyBorder="1"/>
    <xf numFmtId="0" fontId="30" fillId="0" borderId="26" xfId="46" applyFont="1" applyBorder="1"/>
    <xf numFmtId="0" fontId="30" fillId="0" borderId="29" xfId="46" applyFont="1" applyBorder="1"/>
    <xf numFmtId="0" fontId="33" fillId="0" borderId="0" xfId="46" applyFont="1"/>
    <xf numFmtId="0" fontId="31" fillId="0" borderId="0" xfId="46" applyFont="1"/>
    <xf numFmtId="0" fontId="23" fillId="66" borderId="12" xfId="0" applyFont="1" applyFill="1" applyBorder="1"/>
    <xf numFmtId="165" fontId="23" fillId="66" borderId="0" xfId="0" applyNumberFormat="1" applyFont="1" applyFill="1" applyBorder="1"/>
    <xf numFmtId="9" fontId="23" fillId="66" borderId="0" xfId="3" applyFont="1" applyFill="1" applyBorder="1"/>
    <xf numFmtId="165" fontId="23" fillId="66" borderId="15" xfId="0" applyNumberFormat="1" applyFont="1" applyFill="1" applyBorder="1"/>
    <xf numFmtId="9" fontId="23" fillId="66" borderId="15" xfId="3" applyFont="1" applyFill="1" applyBorder="1"/>
    <xf numFmtId="9" fontId="23" fillId="0" borderId="0" xfId="3" applyFont="1" applyFill="1" applyBorder="1"/>
    <xf numFmtId="0" fontId="25" fillId="0" borderId="0" xfId="0" applyFont="1" applyFill="1" applyBorder="1" applyAlignment="1">
      <alignment wrapText="1"/>
    </xf>
    <xf numFmtId="0" fontId="20" fillId="0" borderId="0" xfId="0" applyFont="1" applyFill="1" applyBorder="1" applyAlignment="1">
      <alignment wrapText="1"/>
    </xf>
    <xf numFmtId="0" fontId="22" fillId="0" borderId="0" xfId="0" applyFont="1" applyFill="1" applyBorder="1" applyAlignment="1" applyProtection="1">
      <alignment vertical="center"/>
    </xf>
    <xf numFmtId="0" fontId="23" fillId="0" borderId="0" xfId="0" applyFont="1" applyFill="1" applyBorder="1"/>
    <xf numFmtId="0" fontId="23" fillId="0" borderId="0" xfId="0" applyFont="1" applyFill="1" applyBorder="1" applyAlignment="1"/>
    <xf numFmtId="0" fontId="0" fillId="0" borderId="0" xfId="0" applyFill="1" applyBorder="1"/>
    <xf numFmtId="0" fontId="0" fillId="0" borderId="0" xfId="0" applyFill="1" applyBorder="1" applyAlignment="1"/>
    <xf numFmtId="0" fontId="24" fillId="0" borderId="18" xfId="0" applyFont="1" applyFill="1" applyBorder="1" applyAlignment="1" applyProtection="1">
      <alignment horizontal="center"/>
    </xf>
    <xf numFmtId="0" fontId="24" fillId="0" borderId="19" xfId="0" applyFont="1" applyFill="1" applyBorder="1" applyAlignment="1" applyProtection="1">
      <alignment horizontal="center"/>
    </xf>
    <xf numFmtId="0" fontId="25" fillId="0" borderId="19" xfId="0" applyFont="1" applyFill="1" applyBorder="1" applyAlignment="1">
      <alignment horizontal="center" wrapText="1"/>
    </xf>
    <xf numFmtId="0" fontId="25" fillId="0" borderId="19" xfId="0" applyFont="1" applyFill="1" applyBorder="1" applyAlignment="1">
      <alignment wrapText="1"/>
    </xf>
    <xf numFmtId="165" fontId="25" fillId="0" borderId="19" xfId="1" applyNumberFormat="1" applyFont="1" applyFill="1" applyBorder="1" applyAlignment="1">
      <alignment wrapText="1"/>
    </xf>
    <xf numFmtId="3" fontId="25" fillId="0" borderId="19" xfId="0" applyNumberFormat="1" applyFont="1" applyFill="1" applyBorder="1" applyAlignment="1">
      <alignment wrapText="1"/>
    </xf>
    <xf numFmtId="166" fontId="25" fillId="0" borderId="20" xfId="1" applyNumberFormat="1" applyFont="1" applyFill="1" applyBorder="1" applyAlignment="1">
      <alignment wrapText="1"/>
    </xf>
    <xf numFmtId="0" fontId="65" fillId="0" borderId="0" xfId="149" applyFont="1"/>
    <xf numFmtId="0" fontId="44" fillId="0" borderId="0" xfId="149"/>
    <xf numFmtId="0" fontId="44" fillId="0" borderId="0" xfId="149" applyAlignment="1">
      <alignment horizontal="center"/>
    </xf>
    <xf numFmtId="41" fontId="44" fillId="0" borderId="0" xfId="149" applyNumberFormat="1"/>
    <xf numFmtId="41" fontId="66" fillId="0" borderId="51" xfId="149" applyNumberFormat="1" applyFont="1" applyBorder="1"/>
    <xf numFmtId="0" fontId="22" fillId="66" borderId="0" xfId="0" applyFont="1" applyFill="1" applyBorder="1" applyAlignment="1" applyProtection="1">
      <alignment vertical="center"/>
    </xf>
    <xf numFmtId="0" fontId="22" fillId="66" borderId="0" xfId="0" applyFont="1" applyFill="1" applyBorder="1" applyAlignment="1" applyProtection="1">
      <alignment horizontal="center" vertical="center" wrapText="1"/>
    </xf>
    <xf numFmtId="0" fontId="22" fillId="66" borderId="15" xfId="0" applyFont="1" applyFill="1" applyBorder="1" applyAlignment="1" applyProtection="1">
      <alignment vertical="center"/>
    </xf>
    <xf numFmtId="0" fontId="22" fillId="66" borderId="15" xfId="0" applyFont="1" applyFill="1" applyBorder="1" applyAlignment="1" applyProtection="1">
      <alignment horizontal="center" vertical="center" wrapText="1"/>
    </xf>
    <xf numFmtId="0" fontId="21" fillId="34" borderId="17" xfId="0" applyFont="1" applyFill="1" applyBorder="1" applyAlignment="1" applyProtection="1">
      <alignment horizontal="center"/>
    </xf>
    <xf numFmtId="0" fontId="24" fillId="34" borderId="12" xfId="0" applyFont="1" applyFill="1" applyBorder="1" applyAlignment="1" applyProtection="1">
      <alignment horizontal="center"/>
    </xf>
    <xf numFmtId="0" fontId="21" fillId="34" borderId="12" xfId="0" applyFont="1" applyFill="1" applyBorder="1" applyAlignment="1" applyProtection="1">
      <alignment horizontal="center" vertical="center"/>
    </xf>
    <xf numFmtId="0" fontId="20" fillId="34" borderId="12" xfId="0" applyFont="1" applyFill="1" applyBorder="1" applyAlignment="1">
      <alignment horizontal="center" wrapText="1"/>
    </xf>
    <xf numFmtId="0" fontId="20" fillId="34" borderId="12" xfId="0" applyFont="1" applyFill="1" applyBorder="1" applyAlignment="1">
      <alignment wrapText="1"/>
    </xf>
    <xf numFmtId="165" fontId="20" fillId="34" borderId="12" xfId="1" applyNumberFormat="1" applyFont="1" applyFill="1" applyBorder="1" applyAlignment="1">
      <alignment wrapText="1"/>
    </xf>
    <xf numFmtId="3" fontId="20" fillId="34" borderId="12" xfId="0" applyNumberFormat="1" applyFont="1" applyFill="1" applyBorder="1" applyAlignment="1">
      <alignment wrapText="1"/>
    </xf>
    <xf numFmtId="166" fontId="20" fillId="34" borderId="13" xfId="1" applyNumberFormat="1" applyFont="1" applyFill="1" applyBorder="1" applyAlignment="1">
      <alignment wrapText="1"/>
    </xf>
    <xf numFmtId="0" fontId="22" fillId="34" borderId="29" xfId="0" applyFont="1" applyFill="1" applyBorder="1" applyAlignment="1" applyProtection="1">
      <alignment horizontal="center" wrapText="1"/>
    </xf>
    <xf numFmtId="0" fontId="22" fillId="34" borderId="0" xfId="0" applyFont="1" applyFill="1" applyBorder="1" applyAlignment="1" applyProtection="1">
      <alignment vertical="center"/>
    </xf>
    <xf numFmtId="166" fontId="19" fillId="34" borderId="14" xfId="1" applyNumberFormat="1" applyFont="1" applyFill="1" applyBorder="1"/>
    <xf numFmtId="0" fontId="22" fillId="34" borderId="31" xfId="0" applyFont="1" applyFill="1" applyBorder="1" applyAlignment="1" applyProtection="1">
      <alignment horizontal="center" wrapText="1"/>
    </xf>
    <xf numFmtId="0" fontId="22" fillId="34" borderId="15" xfId="0" applyFont="1" applyFill="1" applyBorder="1" applyAlignment="1" applyProtection="1">
      <alignment vertical="center"/>
    </xf>
    <xf numFmtId="166" fontId="19" fillId="34" borderId="16" xfId="1" applyNumberFormat="1" applyFont="1" applyFill="1" applyBorder="1"/>
    <xf numFmtId="166" fontId="23" fillId="33" borderId="13" xfId="1" applyNumberFormat="1" applyFont="1" applyFill="1" applyBorder="1"/>
    <xf numFmtId="0" fontId="22" fillId="33" borderId="29" xfId="0" applyFont="1" applyFill="1" applyBorder="1" applyAlignment="1" applyProtection="1">
      <alignment horizontal="center" wrapText="1"/>
    </xf>
    <xf numFmtId="0" fontId="22" fillId="33" borderId="0" xfId="0" applyFont="1" applyFill="1" applyBorder="1" applyAlignment="1" applyProtection="1">
      <alignment vertical="center"/>
    </xf>
    <xf numFmtId="0" fontId="22" fillId="33" borderId="0" xfId="0" applyFont="1" applyFill="1" applyBorder="1" applyAlignment="1" applyProtection="1">
      <alignment horizontal="center" vertical="center" wrapText="1"/>
    </xf>
    <xf numFmtId="0" fontId="22" fillId="33" borderId="31" xfId="0" applyFont="1" applyFill="1" applyBorder="1" applyAlignment="1" applyProtection="1">
      <alignment horizontal="center" wrapText="1"/>
    </xf>
    <xf numFmtId="0" fontId="22" fillId="33" borderId="15" xfId="0" applyFont="1" applyFill="1" applyBorder="1" applyAlignment="1" applyProtection="1">
      <alignment vertical="center"/>
    </xf>
    <xf numFmtId="0" fontId="22" fillId="33" borderId="15" xfId="0" applyFont="1" applyFill="1" applyBorder="1" applyAlignment="1" applyProtection="1">
      <alignment horizontal="center" vertical="center" wrapText="1"/>
    </xf>
    <xf numFmtId="0" fontId="23" fillId="66" borderId="17" xfId="0" applyFont="1" applyFill="1" applyBorder="1"/>
    <xf numFmtId="0" fontId="30" fillId="66" borderId="12" xfId="0" applyFont="1" applyFill="1" applyBorder="1" applyAlignment="1"/>
    <xf numFmtId="0" fontId="23" fillId="66" borderId="13" xfId="0" applyFont="1" applyFill="1" applyBorder="1"/>
    <xf numFmtId="0" fontId="23" fillId="66" borderId="29" xfId="0" applyFont="1" applyFill="1" applyBorder="1"/>
    <xf numFmtId="164" fontId="23" fillId="66" borderId="14" xfId="0" applyNumberFormat="1" applyFont="1" applyFill="1" applyBorder="1"/>
    <xf numFmtId="0" fontId="23" fillId="66" borderId="31" xfId="0" applyFont="1" applyFill="1" applyBorder="1"/>
    <xf numFmtId="164" fontId="23" fillId="66" borderId="16" xfId="0" applyNumberFormat="1" applyFont="1" applyFill="1" applyBorder="1"/>
    <xf numFmtId="3" fontId="23" fillId="33" borderId="14" xfId="1" applyNumberFormat="1" applyFont="1" applyFill="1" applyBorder="1"/>
    <xf numFmtId="3" fontId="23" fillId="33" borderId="16" xfId="1" applyNumberFormat="1" applyFont="1" applyFill="1" applyBorder="1"/>
    <xf numFmtId="0" fontId="16" fillId="36" borderId="18" xfId="46" applyFont="1" applyFill="1" applyBorder="1" applyAlignment="1">
      <alignment horizontal="center" vertical="center" wrapText="1"/>
    </xf>
    <xf numFmtId="0" fontId="16" fillId="36" borderId="19" xfId="46" applyFont="1" applyFill="1" applyBorder="1" applyAlignment="1">
      <alignment horizontal="center" vertical="center" wrapText="1"/>
    </xf>
    <xf numFmtId="0" fontId="16" fillId="36" borderId="20" xfId="46" applyFont="1" applyFill="1" applyBorder="1" applyAlignment="1">
      <alignment horizontal="center" vertical="center" wrapText="1"/>
    </xf>
    <xf numFmtId="0" fontId="16" fillId="35" borderId="18" xfId="46" applyFont="1" applyFill="1" applyBorder="1" applyAlignment="1">
      <alignment horizontal="center"/>
    </xf>
    <xf numFmtId="0" fontId="16" fillId="35" borderId="19" xfId="46" applyFont="1" applyFill="1" applyBorder="1" applyAlignment="1">
      <alignment horizontal="center"/>
    </xf>
    <xf numFmtId="0" fontId="16" fillId="35" borderId="20" xfId="46" applyFont="1" applyFill="1" applyBorder="1" applyAlignment="1">
      <alignment horizontal="center"/>
    </xf>
    <xf numFmtId="0" fontId="30" fillId="35" borderId="18" xfId="46" applyFont="1" applyFill="1" applyBorder="1" applyAlignment="1">
      <alignment horizontal="center"/>
    </xf>
    <xf numFmtId="0" fontId="30" fillId="35" borderId="19" xfId="46" applyFont="1" applyFill="1" applyBorder="1" applyAlignment="1">
      <alignment horizontal="center"/>
    </xf>
    <xf numFmtId="0" fontId="30" fillId="35" borderId="20" xfId="46" applyFont="1" applyFill="1" applyBorder="1" applyAlignment="1">
      <alignment horizontal="center"/>
    </xf>
    <xf numFmtId="0" fontId="30" fillId="36" borderId="18" xfId="46" applyFont="1" applyFill="1" applyBorder="1" applyAlignment="1">
      <alignment horizontal="center" vertical="center" wrapText="1"/>
    </xf>
    <xf numFmtId="0" fontId="30" fillId="36" borderId="19" xfId="46" applyFont="1" applyFill="1" applyBorder="1" applyAlignment="1">
      <alignment horizontal="center" vertical="center" wrapText="1"/>
    </xf>
    <xf numFmtId="0" fontId="30" fillId="36" borderId="20" xfId="46" applyFont="1" applyFill="1" applyBorder="1" applyAlignment="1">
      <alignment horizontal="center" vertical="center" wrapText="1"/>
    </xf>
    <xf numFmtId="0" fontId="30" fillId="36" borderId="18" xfId="46" applyFont="1" applyFill="1" applyBorder="1" applyAlignment="1">
      <alignment horizontal="center"/>
    </xf>
    <xf numFmtId="0" fontId="30" fillId="36" borderId="19" xfId="46" applyFont="1" applyFill="1" applyBorder="1" applyAlignment="1">
      <alignment horizontal="center"/>
    </xf>
    <xf numFmtId="0" fontId="30" fillId="36" borderId="20" xfId="46" applyFont="1" applyFill="1" applyBorder="1" applyAlignment="1">
      <alignment horizontal="center"/>
    </xf>
    <xf numFmtId="0" fontId="44" fillId="0" borderId="0" xfId="149" applyAlignment="1">
      <alignment wrapText="1"/>
    </xf>
    <xf numFmtId="167" fontId="67" fillId="37" borderId="34" xfId="47" applyNumberFormat="1" applyFont="1" applyFill="1" applyBorder="1"/>
  </cellXfs>
  <cellStyles count="284">
    <cellStyle name="20 % - Accent1" xfId="48"/>
    <cellStyle name="20 % - Accent2" xfId="49"/>
    <cellStyle name="20 % - Accent3" xfId="50"/>
    <cellStyle name="20 % - Accent4" xfId="51"/>
    <cellStyle name="20 % - Accent5" xfId="52"/>
    <cellStyle name="20 % - Accent6" xfId="53"/>
    <cellStyle name="20% - Accent1" xfId="22" builtinId="30" customBuiltin="1"/>
    <cellStyle name="20% - Accent1 2" xfId="54"/>
    <cellStyle name="20% - Accent1 3" xfId="55"/>
    <cellStyle name="20% - Accent2" xfId="26" builtinId="34" customBuiltin="1"/>
    <cellStyle name="20% - Accent2 2" xfId="56"/>
    <cellStyle name="20% - Accent2 3" xfId="57"/>
    <cellStyle name="20% - Accent3" xfId="30" builtinId="38" customBuiltin="1"/>
    <cellStyle name="20% - Accent3 2" xfId="58"/>
    <cellStyle name="20% - Accent3 3" xfId="59"/>
    <cellStyle name="20% - Accent4" xfId="34" builtinId="42" customBuiltin="1"/>
    <cellStyle name="20% - Accent4 2" xfId="60"/>
    <cellStyle name="20% - Accent4 3" xfId="61"/>
    <cellStyle name="20% - Accent5" xfId="38" builtinId="46" customBuiltin="1"/>
    <cellStyle name="20% - Accent5 2" xfId="62"/>
    <cellStyle name="20% - Accent5 3" xfId="63"/>
    <cellStyle name="20% - Accent6" xfId="42" builtinId="50" customBuiltin="1"/>
    <cellStyle name="20% - Accent6 2" xfId="64"/>
    <cellStyle name="20% - Accent6 3" xfId="65"/>
    <cellStyle name="40 % - Accent1" xfId="66"/>
    <cellStyle name="40 % - Accent2" xfId="67"/>
    <cellStyle name="40 % - Accent3" xfId="68"/>
    <cellStyle name="40 % - Accent4" xfId="69"/>
    <cellStyle name="40 % - Accent5" xfId="70"/>
    <cellStyle name="40 % - Accent6" xfId="71"/>
    <cellStyle name="40% - Accent1" xfId="23" builtinId="31" customBuiltin="1"/>
    <cellStyle name="40% - Accent1 2" xfId="72"/>
    <cellStyle name="40% - Accent1 3" xfId="73"/>
    <cellStyle name="40% - Accent2" xfId="27" builtinId="35" customBuiltin="1"/>
    <cellStyle name="40% - Accent2 2" xfId="74"/>
    <cellStyle name="40% - Accent2 3" xfId="75"/>
    <cellStyle name="40% - Accent3" xfId="31" builtinId="39" customBuiltin="1"/>
    <cellStyle name="40% - Accent3 2" xfId="76"/>
    <cellStyle name="40% - Accent3 3" xfId="77"/>
    <cellStyle name="40% - Accent4" xfId="35" builtinId="43" customBuiltin="1"/>
    <cellStyle name="40% - Accent4 2" xfId="78"/>
    <cellStyle name="40% - Accent4 3" xfId="79"/>
    <cellStyle name="40% - Accent5" xfId="39" builtinId="47" customBuiltin="1"/>
    <cellStyle name="40% - Accent5 2" xfId="80"/>
    <cellStyle name="40% - Accent5 3" xfId="81"/>
    <cellStyle name="40% - Accent6" xfId="43" builtinId="51" customBuiltin="1"/>
    <cellStyle name="40% - Accent6 2" xfId="82"/>
    <cellStyle name="40% - Accent6 3" xfId="83"/>
    <cellStyle name="60 % - Accent1" xfId="84"/>
    <cellStyle name="60 % - Accent2" xfId="85"/>
    <cellStyle name="60 % - Accent3" xfId="86"/>
    <cellStyle name="60 % - Accent4" xfId="87"/>
    <cellStyle name="60 % - Accent5" xfId="88"/>
    <cellStyle name="60 % - Accent6" xfId="89"/>
    <cellStyle name="60% - Accent1" xfId="24" builtinId="32" customBuiltin="1"/>
    <cellStyle name="60% - Accent1 2" xfId="90"/>
    <cellStyle name="60% - Accent2" xfId="28" builtinId="36" customBuiltin="1"/>
    <cellStyle name="60% - Accent2 2" xfId="91"/>
    <cellStyle name="60% - Accent3" xfId="32" builtinId="40" customBuiltin="1"/>
    <cellStyle name="60% - Accent3 2" xfId="92"/>
    <cellStyle name="60% - Accent4" xfId="36" builtinId="44" customBuiltin="1"/>
    <cellStyle name="60% - Accent4 2" xfId="93"/>
    <cellStyle name="60% - Accent5" xfId="40" builtinId="48" customBuiltin="1"/>
    <cellStyle name="60% - Accent5 2" xfId="94"/>
    <cellStyle name="60% - Accent6" xfId="44" builtinId="52" customBuiltin="1"/>
    <cellStyle name="60% - Accent6 2" xfId="95"/>
    <cellStyle name="Accent1" xfId="21" builtinId="29" customBuiltin="1"/>
    <cellStyle name="Accent1 2" xfId="96"/>
    <cellStyle name="Accent2" xfId="25" builtinId="33" customBuiltin="1"/>
    <cellStyle name="Accent2 2" xfId="97"/>
    <cellStyle name="Accent3" xfId="29" builtinId="37" customBuiltin="1"/>
    <cellStyle name="Accent3 2" xfId="98"/>
    <cellStyle name="Accent4" xfId="33" builtinId="41" customBuiltin="1"/>
    <cellStyle name="Accent4 2" xfId="99"/>
    <cellStyle name="Accent5" xfId="37" builtinId="45" customBuiltin="1"/>
    <cellStyle name="Accent5 2" xfId="100"/>
    <cellStyle name="Accent6" xfId="41" builtinId="49" customBuiltin="1"/>
    <cellStyle name="Accent6 2" xfId="101"/>
    <cellStyle name="Avertissement" xfId="102"/>
    <cellStyle name="Bad" xfId="10" builtinId="27" customBuiltin="1"/>
    <cellStyle name="Bad 2" xfId="103"/>
    <cellStyle name="Bad 2 2" xfId="104"/>
    <cellStyle name="Calcul" xfId="105"/>
    <cellStyle name="Calculation" xfId="14" builtinId="22" customBuiltin="1"/>
    <cellStyle name="Calculation 2" xfId="106"/>
    <cellStyle name="Cellule liée" xfId="107"/>
    <cellStyle name="Check Cell" xfId="16" builtinId="23" customBuiltin="1"/>
    <cellStyle name="Check Cell 2" xfId="108"/>
    <cellStyle name="Comma" xfId="1" builtinId="3"/>
    <cellStyle name="Comma 2" xfId="109"/>
    <cellStyle name="Comma 2 2" xfId="110"/>
    <cellStyle name="Comma 3" xfId="111"/>
    <cellStyle name="Comma 3 2" xfId="112"/>
    <cellStyle name="Comma 4" xfId="113"/>
    <cellStyle name="Comma 4 2" xfId="114"/>
    <cellStyle name="Comma 4 3" xfId="115"/>
    <cellStyle name="Comma 5" xfId="116"/>
    <cellStyle name="Comma 5 2" xfId="117"/>
    <cellStyle name="Comma 6" xfId="118"/>
    <cellStyle name="Comma 7" xfId="119"/>
    <cellStyle name="Comma 8" xfId="120"/>
    <cellStyle name="Comma 9" xfId="121"/>
    <cellStyle name="Commentaire" xfId="122"/>
    <cellStyle name="Currency" xfId="2" builtinId="4"/>
    <cellStyle name="Currency 2" xfId="47"/>
    <cellStyle name="Currency 3" xfId="123"/>
    <cellStyle name="Currency 4" xfId="124"/>
    <cellStyle name="Entrée" xfId="125"/>
    <cellStyle name="Explanatory Text" xfId="19" builtinId="53" customBuiltin="1"/>
    <cellStyle name="Explanatory Text 2" xfId="126"/>
    <cellStyle name="Explanatory Text 3" xfId="127"/>
    <cellStyle name="Good" xfId="9" builtinId="26" customBuiltin="1"/>
    <cellStyle name="Good 2" xfId="128"/>
    <cellStyle name="Good 2 2" xfId="129"/>
    <cellStyle name="Grey" xfId="130"/>
    <cellStyle name="Heading 1" xfId="5" builtinId="16" customBuiltin="1"/>
    <cellStyle name="Heading 1 2" xfId="131"/>
    <cellStyle name="Heading 1 3" xfId="132"/>
    <cellStyle name="Heading 2" xfId="6" builtinId="17" customBuiltin="1"/>
    <cellStyle name="Heading 2 2" xfId="133"/>
    <cellStyle name="Heading 2 3" xfId="134"/>
    <cellStyle name="Heading 3" xfId="7" builtinId="18" customBuiltin="1"/>
    <cellStyle name="Heading 3 2" xfId="135"/>
    <cellStyle name="Heading 3 3" xfId="136"/>
    <cellStyle name="Heading 4" xfId="8" builtinId="19" customBuiltin="1"/>
    <cellStyle name="Heading 4 2" xfId="137"/>
    <cellStyle name="Heading 4 3" xfId="138"/>
    <cellStyle name="Input" xfId="12" builtinId="20" customBuiltin="1"/>
    <cellStyle name="Input [yellow]" xfId="139"/>
    <cellStyle name="Input 2" xfId="140"/>
    <cellStyle name="Insatisfaisant" xfId="141"/>
    <cellStyle name="Linked Cell" xfId="15" builtinId="24" customBuiltin="1"/>
    <cellStyle name="Linked Cell 2" xfId="142"/>
    <cellStyle name="Linked Cell 3" xfId="143"/>
    <cellStyle name="Milliers 2" xfId="144"/>
    <cellStyle name="Milliers 3" xfId="145"/>
    <cellStyle name="Neutral" xfId="11" builtinId="28" customBuiltin="1"/>
    <cellStyle name="Neutral 2" xfId="146"/>
    <cellStyle name="Neutre" xfId="147"/>
    <cellStyle name="Normal" xfId="0" builtinId="0"/>
    <cellStyle name="Normal - Style1" xfId="148"/>
    <cellStyle name="Normal 10" xfId="149"/>
    <cellStyle name="Normal 10 2" xfId="150"/>
    <cellStyle name="Normal 10_Gaz Metro TFP Tables Second Draft" xfId="151"/>
    <cellStyle name="Normal 11" xfId="152"/>
    <cellStyle name="Normal 12" xfId="153"/>
    <cellStyle name="Normal 13" xfId="154"/>
    <cellStyle name="Normal 14" xfId="155"/>
    <cellStyle name="Normal 15" xfId="156"/>
    <cellStyle name="Normal 16" xfId="157"/>
    <cellStyle name="Normal 17" xfId="158"/>
    <cellStyle name="Normal 18" xfId="159"/>
    <cellStyle name="Normal 19" xfId="160"/>
    <cellStyle name="Normal 2" xfId="46"/>
    <cellStyle name="Normal 2 2" xfId="161"/>
    <cellStyle name="Normal 2 3" xfId="162"/>
    <cellStyle name="Normal 20" xfId="163"/>
    <cellStyle name="Normal 21" xfId="45"/>
    <cellStyle name="Normal 22" xfId="164"/>
    <cellStyle name="Normal 23" xfId="165"/>
    <cellStyle name="Normal 24" xfId="166"/>
    <cellStyle name="Normal 25" xfId="167"/>
    <cellStyle name="Normal 26" xfId="168"/>
    <cellStyle name="Normal 27" xfId="169"/>
    <cellStyle name="Normal 28" xfId="170"/>
    <cellStyle name="Normal 29" xfId="171"/>
    <cellStyle name="Normal 3" xfId="172"/>
    <cellStyle name="Normal 3 2" xfId="173"/>
    <cellStyle name="Normal 3 3" xfId="174"/>
    <cellStyle name="Normal 3_ComEd Table 7" xfId="175"/>
    <cellStyle name="Normal 30" xfId="176"/>
    <cellStyle name="Normal 31" xfId="177"/>
    <cellStyle name="Normal 32" xfId="178"/>
    <cellStyle name="Normal 33" xfId="179"/>
    <cellStyle name="Normal 34" xfId="180"/>
    <cellStyle name="Normal 35" xfId="181"/>
    <cellStyle name="Normal 36" xfId="182"/>
    <cellStyle name="Normal 37" xfId="183"/>
    <cellStyle name="Normal 38" xfId="184"/>
    <cellStyle name="Normal 39" xfId="185"/>
    <cellStyle name="Normal 4" xfId="186"/>
    <cellStyle name="Normal 4 2" xfId="187"/>
    <cellStyle name="Normal 4_Copy of Gaz Metro TFP draft Tables 2012 (with inflation measure table)" xfId="188"/>
    <cellStyle name="Normal 40" xfId="189"/>
    <cellStyle name="Normal 41" xfId="190"/>
    <cellStyle name="Normal 42" xfId="191"/>
    <cellStyle name="Normal 43" xfId="192"/>
    <cellStyle name="Normal 44" xfId="193"/>
    <cellStyle name="Normal 45" xfId="194"/>
    <cellStyle name="Normal 46" xfId="195"/>
    <cellStyle name="Normal 47" xfId="196"/>
    <cellStyle name="Normal 48" xfId="197"/>
    <cellStyle name="Normal 49" xfId="198"/>
    <cellStyle name="Normal 5" xfId="199"/>
    <cellStyle name="Normal 50" xfId="200"/>
    <cellStyle name="Normal 51" xfId="201"/>
    <cellStyle name="Normal 52" xfId="202"/>
    <cellStyle name="Normal 53" xfId="203"/>
    <cellStyle name="Normal 54" xfId="204"/>
    <cellStyle name="Normal 55" xfId="205"/>
    <cellStyle name="Normal 56" xfId="206"/>
    <cellStyle name="Normal 57" xfId="207"/>
    <cellStyle name="Normal 58" xfId="208"/>
    <cellStyle name="Normal 59" xfId="209"/>
    <cellStyle name="Normal 6" xfId="210"/>
    <cellStyle name="Normal 6 2" xfId="211"/>
    <cellStyle name="Normal 6_Copy of Gaz Metro TFP draft Tables 2012 (with inflation measure table)" xfId="212"/>
    <cellStyle name="Normal 60" xfId="213"/>
    <cellStyle name="Normal 61" xfId="214"/>
    <cellStyle name="Normal 62" xfId="215"/>
    <cellStyle name="Normal 63" xfId="216"/>
    <cellStyle name="Normal 64" xfId="217"/>
    <cellStyle name="Normal 65" xfId="218"/>
    <cellStyle name="Normal 66" xfId="219"/>
    <cellStyle name="Normal 67" xfId="220"/>
    <cellStyle name="Normal 68" xfId="221"/>
    <cellStyle name="Normal 69" xfId="222"/>
    <cellStyle name="Normal 7" xfId="223"/>
    <cellStyle name="Normal 7 2" xfId="224"/>
    <cellStyle name="Normal 7 3" xfId="225"/>
    <cellStyle name="Normal 7_Copy of Gaz Metro TFP draft Tables 2012 (with inflation measure table)" xfId="226"/>
    <cellStyle name="Normal 70" xfId="227"/>
    <cellStyle name="Normal 71" xfId="228"/>
    <cellStyle name="Normal 72" xfId="229"/>
    <cellStyle name="Normal 73" xfId="230"/>
    <cellStyle name="Normal 74" xfId="231"/>
    <cellStyle name="Normal 75" xfId="232"/>
    <cellStyle name="Normal 76" xfId="233"/>
    <cellStyle name="Normal 8" xfId="234"/>
    <cellStyle name="Normal 9" xfId="235"/>
    <cellStyle name="Note" xfId="18" builtinId="10" customBuiltin="1"/>
    <cellStyle name="Note 2" xfId="236"/>
    <cellStyle name="Note 3" xfId="237"/>
    <cellStyle name="Note 4" xfId="238"/>
    <cellStyle name="Output" xfId="13" builtinId="21" customBuiltin="1"/>
    <cellStyle name="Output 2" xfId="239"/>
    <cellStyle name="Percent" xfId="3" builtinId="5"/>
    <cellStyle name="Percent [2]" xfId="240"/>
    <cellStyle name="Percent 10" xfId="241"/>
    <cellStyle name="Percent 11" xfId="242"/>
    <cellStyle name="Percent 12" xfId="243"/>
    <cellStyle name="Percent 13" xfId="244"/>
    <cellStyle name="Percent 14" xfId="245"/>
    <cellStyle name="Percent 15" xfId="246"/>
    <cellStyle name="Percent 16" xfId="247"/>
    <cellStyle name="Percent 17" xfId="248"/>
    <cellStyle name="Percent 18" xfId="249"/>
    <cellStyle name="Percent 19" xfId="250"/>
    <cellStyle name="Percent 2" xfId="251"/>
    <cellStyle name="Percent 2 2" xfId="252"/>
    <cellStyle name="Percent 20" xfId="253"/>
    <cellStyle name="Percent 3" xfId="254"/>
    <cellStyle name="Percent 4" xfId="255"/>
    <cellStyle name="Percent 4 2" xfId="256"/>
    <cellStyle name="Percent 5" xfId="257"/>
    <cellStyle name="Percent 5 2" xfId="258"/>
    <cellStyle name="Percent 5 3" xfId="259"/>
    <cellStyle name="Percent 5 4" xfId="260"/>
    <cellStyle name="Percent 6" xfId="261"/>
    <cellStyle name="Percent 6 2" xfId="262"/>
    <cellStyle name="Percent 6 3" xfId="263"/>
    <cellStyle name="Percent 7" xfId="264"/>
    <cellStyle name="Percent 8" xfId="265"/>
    <cellStyle name="Percent 9" xfId="266"/>
    <cellStyle name="Pourcentage 2" xfId="267"/>
    <cellStyle name="Satisfaisant" xfId="268"/>
    <cellStyle name="Sortie" xfId="269"/>
    <cellStyle name="Texte explicatif" xfId="270"/>
    <cellStyle name="Title" xfId="4" builtinId="15" customBuiltin="1"/>
    <cellStyle name="Title 2" xfId="271"/>
    <cellStyle name="Title 3" xfId="272"/>
    <cellStyle name="Titre" xfId="273"/>
    <cellStyle name="Titre 1" xfId="274"/>
    <cellStyle name="Titre 2" xfId="275"/>
    <cellStyle name="Titre 3" xfId="276"/>
    <cellStyle name="Titre 4" xfId="277"/>
    <cellStyle name="Titre_Gaz Metro TFP Tables Second Draft" xfId="278"/>
    <cellStyle name="Total" xfId="20" builtinId="25" customBuiltin="1"/>
    <cellStyle name="Total 2" xfId="279"/>
    <cellStyle name="Total 3" xfId="280"/>
    <cellStyle name="Vérification" xfId="281"/>
    <cellStyle name="Warning Text" xfId="17" builtinId="11" customBuiltin="1"/>
    <cellStyle name="Warning Text 2" xfId="282"/>
    <cellStyle name="Warning Text 3" xfId="283"/>
  </cellStyles>
  <dxfs count="0"/>
  <tableStyles count="0" defaultTableStyle="TableStyleMedium2" defaultPivotStyle="PivotStyleLight16"/>
  <colors>
    <mruColors>
      <color rgb="FFBC9B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arcturus\docshare\Regulatory%20Services\Reg%20Reporting\RRR%20and%20ESQR%20(SQI)%20OEB\Filing%20Year%202005\2.1.7%20Trial%20Balance\2004-12-31_OEB%20Trial%20Balanc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2004!R202C7" advise="1">
            <x14:values>
              <value>
                <val>21261558.73</val>
              </value>
            </x14:values>
          </x14:oleItem>
        </mc:Choice>
        <mc:Fallback>
          <oleItem name="!2004!R202C7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tabSelected="1" workbookViewId="0">
      <pane xSplit="3" ySplit="2" topLeftCell="D6" activePane="bottomRight" state="frozen"/>
      <selection pane="topRight" activeCell="R1" sqref="R1"/>
      <selection pane="bottomLeft" activeCell="A3" sqref="A3"/>
      <selection pane="bottomRight" activeCell="N10" sqref="N10"/>
    </sheetView>
  </sheetViews>
  <sheetFormatPr defaultRowHeight="14.25" x14ac:dyDescent="0.2"/>
  <cols>
    <col min="1" max="1" width="4.75" style="118" customWidth="1"/>
    <col min="2" max="2" width="18" style="119" bestFit="1" customWidth="1"/>
    <col min="3" max="3" width="4.375" style="118" bestFit="1" customWidth="1"/>
    <col min="4" max="4" width="8.75" style="118" bestFit="1" customWidth="1"/>
    <col min="5" max="5" width="12.625" style="118" bestFit="1" customWidth="1"/>
    <col min="6" max="7" width="11.125" style="118" bestFit="1" customWidth="1"/>
    <col min="8" max="8" width="9.125" style="118" bestFit="1" customWidth="1"/>
    <col min="9" max="9" width="9" style="118" bestFit="1" customWidth="1"/>
    <col min="10" max="10" width="10.625" style="118" bestFit="1" customWidth="1"/>
    <col min="11" max="11" width="9.125" style="118" bestFit="1" customWidth="1"/>
    <col min="12" max="16384" width="9" style="118"/>
  </cols>
  <sheetData>
    <row r="1" spans="1:11" s="113" customFormat="1" ht="67.5" customHeight="1" thickBot="1" x14ac:dyDescent="0.25">
      <c r="A1" s="120" t="s">
        <v>0</v>
      </c>
      <c r="B1" s="121"/>
      <c r="C1" s="121" t="s">
        <v>1</v>
      </c>
      <c r="D1" s="122" t="s">
        <v>81</v>
      </c>
      <c r="E1" s="122" t="s">
        <v>82</v>
      </c>
      <c r="F1" s="123" t="s">
        <v>83</v>
      </c>
      <c r="G1" s="123" t="s">
        <v>85</v>
      </c>
      <c r="H1" s="123" t="s">
        <v>86</v>
      </c>
      <c r="I1" s="124" t="s">
        <v>87</v>
      </c>
      <c r="J1" s="125" t="s">
        <v>2</v>
      </c>
      <c r="K1" s="126" t="s">
        <v>3</v>
      </c>
    </row>
    <row r="2" spans="1:11" s="114" customFormat="1" ht="12.75" x14ac:dyDescent="0.2">
      <c r="A2" s="136"/>
      <c r="B2" s="137" t="s">
        <v>15</v>
      </c>
      <c r="C2" s="138"/>
      <c r="D2" s="139" t="s">
        <v>4</v>
      </c>
      <c r="E2" s="139" t="s">
        <v>5</v>
      </c>
      <c r="F2" s="140" t="s">
        <v>6</v>
      </c>
      <c r="G2" s="140" t="s">
        <v>7</v>
      </c>
      <c r="H2" s="140" t="s">
        <v>8</v>
      </c>
      <c r="I2" s="141" t="s">
        <v>9</v>
      </c>
      <c r="J2" s="142" t="s">
        <v>10</v>
      </c>
      <c r="K2" s="143" t="s">
        <v>11</v>
      </c>
    </row>
    <row r="3" spans="1:11" s="116" customFormat="1" ht="12.75" x14ac:dyDescent="0.2">
      <c r="A3" s="144">
        <v>16</v>
      </c>
      <c r="B3" s="145" t="s">
        <v>12</v>
      </c>
      <c r="C3" s="15">
        <v>2002</v>
      </c>
      <c r="D3" s="16">
        <v>80733</v>
      </c>
      <c r="E3" s="16">
        <v>936089556</v>
      </c>
      <c r="F3" s="17">
        <v>0</v>
      </c>
      <c r="G3" s="17">
        <v>0.26843360594015642</v>
      </c>
      <c r="H3" s="17">
        <v>0.26843360594015642</v>
      </c>
      <c r="I3" s="16">
        <v>5167186</v>
      </c>
      <c r="J3" s="17">
        <v>0.16685374529431896</v>
      </c>
      <c r="K3" s="146">
        <v>-0.01</v>
      </c>
    </row>
    <row r="4" spans="1:11" s="116" customFormat="1" ht="12.75" x14ac:dyDescent="0.2">
      <c r="A4" s="144">
        <v>16</v>
      </c>
      <c r="B4" s="145" t="s">
        <v>12</v>
      </c>
      <c r="C4" s="15">
        <v>2003</v>
      </c>
      <c r="D4" s="16">
        <v>82132</v>
      </c>
      <c r="E4" s="16">
        <v>904313775</v>
      </c>
      <c r="F4" s="17">
        <v>0</v>
      </c>
      <c r="G4" s="17">
        <v>0.27610986684350797</v>
      </c>
      <c r="H4" s="17">
        <v>0.27610986684350797</v>
      </c>
      <c r="I4" s="16">
        <v>4977340</v>
      </c>
      <c r="J4" s="17">
        <v>0.16118985551420259</v>
      </c>
      <c r="K4" s="146">
        <v>-0.01</v>
      </c>
    </row>
    <row r="5" spans="1:11" s="116" customFormat="1" ht="12.75" x14ac:dyDescent="0.2">
      <c r="A5" s="144">
        <v>16</v>
      </c>
      <c r="B5" s="145" t="s">
        <v>12</v>
      </c>
      <c r="C5" s="15">
        <v>2004</v>
      </c>
      <c r="D5" s="16">
        <v>83426</v>
      </c>
      <c r="E5" s="16">
        <v>892419399</v>
      </c>
      <c r="F5" s="17">
        <v>0</v>
      </c>
      <c r="G5" s="17">
        <v>0.27542754256062513</v>
      </c>
      <c r="H5" s="17">
        <v>0.27542754256062513</v>
      </c>
      <c r="I5" s="16">
        <v>4919783</v>
      </c>
      <c r="J5" s="17">
        <v>0.15906973658880905</v>
      </c>
      <c r="K5" s="146">
        <v>-0.01</v>
      </c>
    </row>
    <row r="6" spans="1:11" s="116" customFormat="1" ht="12.75" x14ac:dyDescent="0.2">
      <c r="A6" s="144">
        <v>16</v>
      </c>
      <c r="B6" s="145" t="s">
        <v>12</v>
      </c>
      <c r="C6" s="15">
        <v>2005</v>
      </c>
      <c r="D6" s="16">
        <v>84254</v>
      </c>
      <c r="E6" s="16">
        <v>961633772</v>
      </c>
      <c r="F6" s="17">
        <v>0</v>
      </c>
      <c r="G6" s="17">
        <v>0.26327929235829706</v>
      </c>
      <c r="H6" s="17">
        <v>0.26327929235829706</v>
      </c>
      <c r="I6" s="16">
        <v>4894173</v>
      </c>
      <c r="J6" s="17">
        <v>0.17132657735976703</v>
      </c>
      <c r="K6" s="146">
        <v>-0.01</v>
      </c>
    </row>
    <row r="7" spans="1:11" s="116" customFormat="1" ht="12.75" x14ac:dyDescent="0.2">
      <c r="A7" s="144">
        <v>16</v>
      </c>
      <c r="B7" s="145" t="s">
        <v>12</v>
      </c>
      <c r="C7" s="15">
        <v>2006</v>
      </c>
      <c r="D7" s="16">
        <v>84701</v>
      </c>
      <c r="E7" s="16">
        <v>899872611</v>
      </c>
      <c r="F7" s="17">
        <v>0</v>
      </c>
      <c r="G7" s="17">
        <v>0.27195975631266323</v>
      </c>
      <c r="H7" s="17">
        <v>0.27195975631266323</v>
      </c>
      <c r="I7" s="16">
        <v>4773055</v>
      </c>
      <c r="J7" s="17">
        <v>0.15631928178423488</v>
      </c>
      <c r="K7" s="146">
        <v>-0.01</v>
      </c>
    </row>
    <row r="8" spans="1:11" s="116" customFormat="1" ht="12.75" x14ac:dyDescent="0.2">
      <c r="A8" s="144">
        <v>16</v>
      </c>
      <c r="B8" s="145" t="s">
        <v>12</v>
      </c>
      <c r="C8" s="15">
        <v>2007</v>
      </c>
      <c r="D8" s="16">
        <v>84757</v>
      </c>
      <c r="E8" s="16">
        <v>2586778728</v>
      </c>
      <c r="F8" s="17">
        <v>0.2133003584835417</v>
      </c>
      <c r="G8" s="17">
        <v>0.5227056931326366</v>
      </c>
      <c r="H8" s="17">
        <v>0.73600605161617827</v>
      </c>
      <c r="I8" s="16">
        <v>3943379</v>
      </c>
      <c r="J8" s="17">
        <v>0.44935626215619617</v>
      </c>
      <c r="K8" s="146">
        <v>-0.01</v>
      </c>
    </row>
    <row r="9" spans="1:11" s="116" customFormat="1" ht="12.75" x14ac:dyDescent="0.2">
      <c r="A9" s="144">
        <v>16</v>
      </c>
      <c r="B9" s="145" t="s">
        <v>12</v>
      </c>
      <c r="C9" s="15">
        <v>2008</v>
      </c>
      <c r="D9" s="16">
        <v>84644</v>
      </c>
      <c r="E9" s="16">
        <v>2456938199</v>
      </c>
      <c r="F9" s="17">
        <v>0.20628204291271227</v>
      </c>
      <c r="G9" s="17">
        <v>0.52707890720534967</v>
      </c>
      <c r="H9" s="17">
        <v>0.73336095011806191</v>
      </c>
      <c r="I9" s="16">
        <v>4108019</v>
      </c>
      <c r="J9" s="17">
        <v>0.42680131605420263</v>
      </c>
      <c r="K9" s="146">
        <v>-0.01</v>
      </c>
    </row>
    <row r="10" spans="1:11" s="116" customFormat="1" ht="12.75" x14ac:dyDescent="0.2">
      <c r="A10" s="144">
        <v>16</v>
      </c>
      <c r="B10" s="145" t="s">
        <v>12</v>
      </c>
      <c r="C10" s="15">
        <v>2009</v>
      </c>
      <c r="D10" s="16">
        <v>84726</v>
      </c>
      <c r="E10" s="16">
        <v>2217497147</v>
      </c>
      <c r="F10" s="17">
        <v>0.18461387224504058</v>
      </c>
      <c r="G10" s="17">
        <v>0.53307162157985855</v>
      </c>
      <c r="H10" s="17">
        <v>0.7176854938248991</v>
      </c>
      <c r="I10" s="16">
        <v>3827049</v>
      </c>
      <c r="J10" s="17">
        <v>0.38520736951024942</v>
      </c>
      <c r="K10" s="146">
        <v>-0.01</v>
      </c>
    </row>
    <row r="11" spans="1:11" s="116" customFormat="1" ht="12.75" x14ac:dyDescent="0.2">
      <c r="A11" s="144">
        <v>16</v>
      </c>
      <c r="B11" s="145" t="s">
        <v>12</v>
      </c>
      <c r="C11" s="15">
        <v>2010</v>
      </c>
      <c r="D11" s="16">
        <v>84866</v>
      </c>
      <c r="E11" s="16">
        <v>2310814488.4099998</v>
      </c>
      <c r="F11" s="17">
        <v>0.21435364684805239</v>
      </c>
      <c r="G11" s="17">
        <v>0.50545869142168975</v>
      </c>
      <c r="H11" s="17">
        <v>0.71981233826974211</v>
      </c>
      <c r="I11" s="16">
        <v>3423698</v>
      </c>
      <c r="J11" s="17">
        <v>0.40141777485975222</v>
      </c>
      <c r="K11" s="146">
        <v>-0.01</v>
      </c>
    </row>
    <row r="12" spans="1:11" s="116" customFormat="1" ht="13.5" thickBot="1" x14ac:dyDescent="0.25">
      <c r="A12" s="147">
        <v>16</v>
      </c>
      <c r="B12" s="148" t="s">
        <v>12</v>
      </c>
      <c r="C12" s="18">
        <v>2011</v>
      </c>
      <c r="D12" s="19">
        <v>85083</v>
      </c>
      <c r="E12" s="19">
        <v>2250502159</v>
      </c>
      <c r="F12" s="20">
        <v>0.17607989773094904</v>
      </c>
      <c r="G12" s="20">
        <v>0.53966637718742128</v>
      </c>
      <c r="H12" s="20">
        <v>0.71574627491837028</v>
      </c>
      <c r="I12" s="19">
        <v>3329464</v>
      </c>
      <c r="J12" s="20">
        <v>0.39094075855671306</v>
      </c>
      <c r="K12" s="149">
        <v>-0.01</v>
      </c>
    </row>
    <row r="13" spans="1:11" s="116" customFormat="1" ht="12.75" x14ac:dyDescent="0.2">
      <c r="A13" s="1"/>
      <c r="B13" s="2" t="s">
        <v>14</v>
      </c>
      <c r="C13" s="3"/>
      <c r="D13" s="4"/>
      <c r="E13" s="4"/>
      <c r="F13" s="5"/>
      <c r="G13" s="3"/>
      <c r="H13" s="5"/>
      <c r="I13" s="6"/>
      <c r="J13" s="6"/>
      <c r="K13" s="150"/>
    </row>
    <row r="14" spans="1:11" s="116" customFormat="1" ht="12.75" x14ac:dyDescent="0.2">
      <c r="A14" s="151">
        <v>16</v>
      </c>
      <c r="B14" s="152" t="s">
        <v>12</v>
      </c>
      <c r="C14" s="153">
        <v>2002</v>
      </c>
      <c r="D14" s="8">
        <v>81211</v>
      </c>
      <c r="E14" s="8">
        <f>684811660.5+251277895.4+1065657492.5+100819650.2+1144457157</f>
        <v>3247023855.6000004</v>
      </c>
      <c r="F14" s="7">
        <f>1144457157/E14</f>
        <v>0.35246342740174352</v>
      </c>
      <c r="G14" s="7">
        <f>(251277895.4+1065657492.5+100819650.2)/E14</f>
        <v>0.43663215952505552</v>
      </c>
      <c r="H14" s="9">
        <f t="shared" ref="H14:H22" si="0">F14+G14</f>
        <v>0.78909558692679904</v>
      </c>
      <c r="I14" s="10">
        <f>2746306.81+248619.79+2172259</f>
        <v>5167185.5999999996</v>
      </c>
      <c r="J14" s="21">
        <v>82.2</v>
      </c>
      <c r="K14" s="164">
        <v>0</v>
      </c>
    </row>
    <row r="15" spans="1:11" s="116" customFormat="1" ht="12.75" x14ac:dyDescent="0.2">
      <c r="A15" s="151">
        <v>16</v>
      </c>
      <c r="B15" s="152" t="s">
        <v>12</v>
      </c>
      <c r="C15" s="153">
        <v>2003</v>
      </c>
      <c r="D15" s="8">
        <v>82365</v>
      </c>
      <c r="E15" s="8">
        <v>3178285022.7700005</v>
      </c>
      <c r="F15" s="7">
        <f>1106631252/E15</f>
        <v>0.34818502559456649</v>
      </c>
      <c r="G15" s="7">
        <f>1417120307/E15</f>
        <v>0.44587577792658883</v>
      </c>
      <c r="H15" s="9">
        <f t="shared" si="0"/>
        <v>0.79406080352115538</v>
      </c>
      <c r="I15" s="10">
        <v>5268591.6579999998</v>
      </c>
      <c r="J15" s="21">
        <v>81.8</v>
      </c>
      <c r="K15" s="164">
        <v>0</v>
      </c>
    </row>
    <row r="16" spans="1:11" s="116" customFormat="1" ht="12.75" x14ac:dyDescent="0.2">
      <c r="A16" s="151">
        <v>16</v>
      </c>
      <c r="B16" s="152" t="s">
        <v>12</v>
      </c>
      <c r="C16" s="153">
        <v>2004</v>
      </c>
      <c r="D16" s="8">
        <v>83806</v>
      </c>
      <c r="E16" s="8">
        <v>3128353703</v>
      </c>
      <c r="F16" s="7">
        <f>1076394906/E16</f>
        <v>0.34407711153881632</v>
      </c>
      <c r="G16" s="7">
        <f>1405336280/E16</f>
        <v>0.44922550754165791</v>
      </c>
      <c r="H16" s="9">
        <f t="shared" si="0"/>
        <v>0.79330261908047417</v>
      </c>
      <c r="I16" s="10">
        <v>5057275.9740000004</v>
      </c>
      <c r="J16" s="21">
        <v>82</v>
      </c>
      <c r="K16" s="164">
        <v>0</v>
      </c>
    </row>
    <row r="17" spans="1:11" s="116" customFormat="1" ht="12.75" x14ac:dyDescent="0.2">
      <c r="A17" s="151">
        <v>16</v>
      </c>
      <c r="B17" s="152" t="s">
        <v>12</v>
      </c>
      <c r="C17" s="153">
        <v>2005</v>
      </c>
      <c r="D17" s="8">
        <v>84552</v>
      </c>
      <c r="E17" s="8">
        <v>3211040090</v>
      </c>
      <c r="F17" s="7">
        <f>1058969074/E17</f>
        <v>0.3297900506748267</v>
      </c>
      <c r="G17" s="7">
        <f>1443615504/E17</f>
        <v>0.44957878554546482</v>
      </c>
      <c r="H17" s="9">
        <f t="shared" si="0"/>
        <v>0.77936883622029152</v>
      </c>
      <c r="I17" s="10">
        <v>5037062.8789999997</v>
      </c>
      <c r="J17" s="21">
        <v>58</v>
      </c>
      <c r="K17" s="164">
        <v>0</v>
      </c>
    </row>
    <row r="18" spans="1:11" s="116" customFormat="1" ht="12.75" x14ac:dyDescent="0.2">
      <c r="A18" s="151">
        <v>16</v>
      </c>
      <c r="B18" s="152" t="s">
        <v>12</v>
      </c>
      <c r="C18" s="153">
        <v>2006</v>
      </c>
      <c r="D18" s="8">
        <v>84932</v>
      </c>
      <c r="E18" s="8">
        <v>3013881497</v>
      </c>
      <c r="F18" s="7">
        <f>1006699560/E18</f>
        <v>0.33402094972946444</v>
      </c>
      <c r="G18" s="7">
        <f>1350585109/E18</f>
        <v>0.44812150389601069</v>
      </c>
      <c r="H18" s="9">
        <f t="shared" si="0"/>
        <v>0.78214245362547508</v>
      </c>
      <c r="I18" s="10">
        <v>4898721.0290000001</v>
      </c>
      <c r="J18" s="21">
        <v>53</v>
      </c>
      <c r="K18" s="164">
        <v>0</v>
      </c>
    </row>
    <row r="19" spans="1:11" s="116" customFormat="1" ht="12.75" x14ac:dyDescent="0.2">
      <c r="A19" s="151">
        <v>16</v>
      </c>
      <c r="B19" s="152" t="s">
        <v>12</v>
      </c>
      <c r="C19" s="153">
        <v>2007</v>
      </c>
      <c r="D19" s="8">
        <v>84917</v>
      </c>
      <c r="E19" s="8">
        <v>2962167821</v>
      </c>
      <c r="F19" s="7">
        <f>945045101.7/E19</f>
        <v>0.3190383390840299</v>
      </c>
      <c r="G19" s="7">
        <f>1352123967/E19</f>
        <v>0.45646433581995216</v>
      </c>
      <c r="H19" s="9">
        <f t="shared" si="0"/>
        <v>0.77550267490398206</v>
      </c>
      <c r="I19" s="10">
        <v>4731258.0619999999</v>
      </c>
      <c r="J19" s="21">
        <v>59</v>
      </c>
      <c r="K19" s="164">
        <v>0</v>
      </c>
    </row>
    <row r="20" spans="1:11" s="116" customFormat="1" ht="12.75" x14ac:dyDescent="0.2">
      <c r="A20" s="151">
        <v>16</v>
      </c>
      <c r="B20" s="152" t="s">
        <v>12</v>
      </c>
      <c r="C20" s="153">
        <v>2008</v>
      </c>
      <c r="D20" s="8">
        <v>84889</v>
      </c>
      <c r="E20" s="8">
        <v>2713471892</v>
      </c>
      <c r="F20" s="7">
        <f>781417866.1/E20</f>
        <v>0.28797713674640119</v>
      </c>
      <c r="G20" s="7">
        <f>1295000301/E20</f>
        <v>0.47724846710886809</v>
      </c>
      <c r="H20" s="9">
        <f t="shared" si="0"/>
        <v>0.76522560385526928</v>
      </c>
      <c r="I20" s="10">
        <v>4270153.5599999996</v>
      </c>
      <c r="J20" s="21">
        <v>59</v>
      </c>
      <c r="K20" s="164">
        <v>0</v>
      </c>
    </row>
    <row r="21" spans="1:11" s="116" customFormat="1" ht="12.75" x14ac:dyDescent="0.2">
      <c r="A21" s="151">
        <v>16</v>
      </c>
      <c r="B21" s="152" t="s">
        <v>12</v>
      </c>
      <c r="C21" s="153">
        <v>2009</v>
      </c>
      <c r="D21" s="8">
        <v>84840</v>
      </c>
      <c r="E21" s="8">
        <v>2440458569</v>
      </c>
      <c r="F21" s="7">
        <f>650285553.4/E21</f>
        <v>0.2664603946406926</v>
      </c>
      <c r="G21" s="7">
        <f>1182084801/E21</f>
        <v>0.4843699524406882</v>
      </c>
      <c r="H21" s="9">
        <f t="shared" si="0"/>
        <v>0.75083034708138086</v>
      </c>
      <c r="I21" s="10">
        <v>3926136.335</v>
      </c>
      <c r="J21" s="21">
        <v>58</v>
      </c>
      <c r="K21" s="164">
        <v>0</v>
      </c>
    </row>
    <row r="22" spans="1:11" s="116" customFormat="1" ht="12.75" x14ac:dyDescent="0.2">
      <c r="A22" s="151">
        <v>16</v>
      </c>
      <c r="B22" s="152" t="s">
        <v>12</v>
      </c>
      <c r="C22" s="153">
        <v>2010</v>
      </c>
      <c r="D22" s="8">
        <v>84866</v>
      </c>
      <c r="E22" s="8">
        <v>2563827251</v>
      </c>
      <c r="F22" s="7">
        <f>699272387.3/E22</f>
        <v>0.27274551630857907</v>
      </c>
      <c r="G22" s="7">
        <f>1217093155/E22</f>
        <v>0.47471730184835298</v>
      </c>
      <c r="H22" s="9">
        <f t="shared" si="0"/>
        <v>0.74746281815693205</v>
      </c>
      <c r="I22" s="10">
        <v>3919426.1889999998</v>
      </c>
      <c r="J22" s="21">
        <v>57</v>
      </c>
      <c r="K22" s="164">
        <v>0</v>
      </c>
    </row>
    <row r="23" spans="1:11" s="116" customFormat="1" ht="13.5" thickBot="1" x14ac:dyDescent="0.25">
      <c r="A23" s="154">
        <v>16</v>
      </c>
      <c r="B23" s="155" t="s">
        <v>12</v>
      </c>
      <c r="C23" s="156">
        <v>2011</v>
      </c>
      <c r="D23" s="12">
        <v>85087</v>
      </c>
      <c r="E23" s="12">
        <v>2487539937</v>
      </c>
      <c r="F23" s="11">
        <f>633305968.9/E23</f>
        <v>0.25459127689976863</v>
      </c>
      <c r="G23" s="11">
        <f>1214520347/E23</f>
        <v>0.48824154697380445</v>
      </c>
      <c r="H23" s="13">
        <f>F23+G23</f>
        <v>0.74283282387357308</v>
      </c>
      <c r="I23" s="14">
        <v>3817181.17</v>
      </c>
      <c r="J23" s="22">
        <v>54</v>
      </c>
      <c r="K23" s="165">
        <v>0</v>
      </c>
    </row>
    <row r="24" spans="1:11" s="116" customFormat="1" ht="12.75" x14ac:dyDescent="0.2">
      <c r="A24" s="157"/>
      <c r="B24" s="158" t="s">
        <v>94</v>
      </c>
      <c r="C24" s="107"/>
      <c r="D24" s="107"/>
      <c r="E24" s="107"/>
      <c r="F24" s="107"/>
      <c r="G24" s="107"/>
      <c r="H24" s="107"/>
      <c r="I24" s="107"/>
      <c r="J24" s="107"/>
      <c r="K24" s="159"/>
    </row>
    <row r="25" spans="1:11" s="116" customFormat="1" ht="12.75" x14ac:dyDescent="0.2">
      <c r="A25" s="160"/>
      <c r="B25" s="132" t="s">
        <v>94</v>
      </c>
      <c r="C25" s="133">
        <v>2002</v>
      </c>
      <c r="D25" s="108">
        <f>ABS(D3-D14)</f>
        <v>478</v>
      </c>
      <c r="E25" s="108">
        <f t="shared" ref="E25:K25" si="1">ABS(E3-E14)</f>
        <v>2310934299.6000004</v>
      </c>
      <c r="F25" s="109">
        <f t="shared" si="1"/>
        <v>0.35246342740174352</v>
      </c>
      <c r="G25" s="109">
        <f t="shared" si="1"/>
        <v>0.1681985535848991</v>
      </c>
      <c r="H25" s="109">
        <f t="shared" si="1"/>
        <v>0.52066198098664263</v>
      </c>
      <c r="I25" s="108">
        <f t="shared" si="1"/>
        <v>0.40000000037252903</v>
      </c>
      <c r="J25" s="108">
        <f t="shared" si="1"/>
        <v>82.033146254705684</v>
      </c>
      <c r="K25" s="161">
        <f t="shared" si="1"/>
        <v>0.01</v>
      </c>
    </row>
    <row r="26" spans="1:11" s="116" customFormat="1" ht="12.75" x14ac:dyDescent="0.2">
      <c r="A26" s="160"/>
      <c r="B26" s="132" t="s">
        <v>94</v>
      </c>
      <c r="C26" s="133">
        <v>2003</v>
      </c>
      <c r="D26" s="108">
        <f t="shared" ref="D26:K26" si="2">ABS(D4-D15)</f>
        <v>233</v>
      </c>
      <c r="E26" s="108">
        <f t="shared" si="2"/>
        <v>2273971247.7700005</v>
      </c>
      <c r="F26" s="109">
        <f t="shared" si="2"/>
        <v>0.34818502559456649</v>
      </c>
      <c r="G26" s="109">
        <f t="shared" si="2"/>
        <v>0.16976591108308087</v>
      </c>
      <c r="H26" s="109">
        <f t="shared" si="2"/>
        <v>0.51795093667764736</v>
      </c>
      <c r="I26" s="108">
        <f t="shared" si="2"/>
        <v>291251.65799999982</v>
      </c>
      <c r="J26" s="108">
        <f t="shared" si="2"/>
        <v>81.638810144485788</v>
      </c>
      <c r="K26" s="161">
        <f t="shared" si="2"/>
        <v>0.01</v>
      </c>
    </row>
    <row r="27" spans="1:11" s="116" customFormat="1" ht="12.75" x14ac:dyDescent="0.2">
      <c r="A27" s="160"/>
      <c r="B27" s="132" t="s">
        <v>94</v>
      </c>
      <c r="C27" s="133">
        <v>2004</v>
      </c>
      <c r="D27" s="108">
        <f t="shared" ref="D27:K27" si="3">ABS(D5-D16)</f>
        <v>380</v>
      </c>
      <c r="E27" s="108">
        <f t="shared" si="3"/>
        <v>2235934304</v>
      </c>
      <c r="F27" s="109">
        <f t="shared" si="3"/>
        <v>0.34407711153881632</v>
      </c>
      <c r="G27" s="109">
        <f t="shared" si="3"/>
        <v>0.17379796498103278</v>
      </c>
      <c r="H27" s="109">
        <f t="shared" si="3"/>
        <v>0.51787507651984899</v>
      </c>
      <c r="I27" s="108">
        <f t="shared" si="3"/>
        <v>137492.97400000039</v>
      </c>
      <c r="J27" s="108">
        <f t="shared" si="3"/>
        <v>81.840930263411195</v>
      </c>
      <c r="K27" s="161">
        <f t="shared" si="3"/>
        <v>0.01</v>
      </c>
    </row>
    <row r="28" spans="1:11" s="116" customFormat="1" ht="12.75" x14ac:dyDescent="0.2">
      <c r="A28" s="160"/>
      <c r="B28" s="132" t="s">
        <v>94</v>
      </c>
      <c r="C28" s="133">
        <v>2005</v>
      </c>
      <c r="D28" s="108">
        <f t="shared" ref="D28:K28" si="4">ABS(D6-D17)</f>
        <v>298</v>
      </c>
      <c r="E28" s="108">
        <f t="shared" si="4"/>
        <v>2249406318</v>
      </c>
      <c r="F28" s="109">
        <f t="shared" si="4"/>
        <v>0.3297900506748267</v>
      </c>
      <c r="G28" s="109">
        <f t="shared" si="4"/>
        <v>0.18629949318716776</v>
      </c>
      <c r="H28" s="109">
        <f t="shared" si="4"/>
        <v>0.51608954386199446</v>
      </c>
      <c r="I28" s="108">
        <f t="shared" si="4"/>
        <v>142889.87899999972</v>
      </c>
      <c r="J28" s="108">
        <f t="shared" si="4"/>
        <v>57.828673422640236</v>
      </c>
      <c r="K28" s="161">
        <f t="shared" si="4"/>
        <v>0.01</v>
      </c>
    </row>
    <row r="29" spans="1:11" s="116" customFormat="1" ht="12.75" x14ac:dyDescent="0.2">
      <c r="A29" s="160"/>
      <c r="B29" s="132" t="s">
        <v>94</v>
      </c>
      <c r="C29" s="133">
        <v>2006</v>
      </c>
      <c r="D29" s="108">
        <f t="shared" ref="D29:K29" si="5">ABS(D7-D18)</f>
        <v>231</v>
      </c>
      <c r="E29" s="108">
        <f t="shared" si="5"/>
        <v>2114008886</v>
      </c>
      <c r="F29" s="109">
        <f t="shared" si="5"/>
        <v>0.33402094972946444</v>
      </c>
      <c r="G29" s="109">
        <f t="shared" si="5"/>
        <v>0.17616174758334746</v>
      </c>
      <c r="H29" s="109">
        <f t="shared" si="5"/>
        <v>0.51018269731281185</v>
      </c>
      <c r="I29" s="108">
        <f t="shared" si="5"/>
        <v>125666.0290000001</v>
      </c>
      <c r="J29" s="108">
        <f t="shared" si="5"/>
        <v>52.843680718215765</v>
      </c>
      <c r="K29" s="161">
        <f t="shared" si="5"/>
        <v>0.01</v>
      </c>
    </row>
    <row r="30" spans="1:11" s="116" customFormat="1" ht="12.75" x14ac:dyDescent="0.2">
      <c r="A30" s="160"/>
      <c r="B30" s="132" t="s">
        <v>94</v>
      </c>
      <c r="C30" s="133">
        <v>2007</v>
      </c>
      <c r="D30" s="108">
        <f t="shared" ref="D30:K30" si="6">ABS(D8-D19)</f>
        <v>160</v>
      </c>
      <c r="E30" s="108">
        <f t="shared" si="6"/>
        <v>375389093</v>
      </c>
      <c r="F30" s="109">
        <f t="shared" si="6"/>
        <v>0.1057379806004882</v>
      </c>
      <c r="G30" s="109">
        <f t="shared" si="6"/>
        <v>6.6241357312684435E-2</v>
      </c>
      <c r="H30" s="109">
        <f t="shared" si="6"/>
        <v>3.9496623287803789E-2</v>
      </c>
      <c r="I30" s="108">
        <f t="shared" si="6"/>
        <v>787879.06199999992</v>
      </c>
      <c r="J30" s="108">
        <f t="shared" si="6"/>
        <v>58.550643737843806</v>
      </c>
      <c r="K30" s="161">
        <f t="shared" si="6"/>
        <v>0.01</v>
      </c>
    </row>
    <row r="31" spans="1:11" s="116" customFormat="1" ht="12.75" x14ac:dyDescent="0.2">
      <c r="A31" s="160"/>
      <c r="B31" s="132" t="s">
        <v>94</v>
      </c>
      <c r="C31" s="133">
        <v>2008</v>
      </c>
      <c r="D31" s="108">
        <f t="shared" ref="D31:K31" si="7">ABS(D9-D20)</f>
        <v>245</v>
      </c>
      <c r="E31" s="108">
        <f t="shared" si="7"/>
        <v>256533693</v>
      </c>
      <c r="F31" s="109">
        <f t="shared" si="7"/>
        <v>8.169509383368892E-2</v>
      </c>
      <c r="G31" s="109">
        <f t="shared" si="7"/>
        <v>4.9830440096481576E-2</v>
      </c>
      <c r="H31" s="109">
        <f t="shared" si="7"/>
        <v>3.1864653737207371E-2</v>
      </c>
      <c r="I31" s="108">
        <f t="shared" si="7"/>
        <v>162134.55999999959</v>
      </c>
      <c r="J31" s="108">
        <f t="shared" si="7"/>
        <v>58.573198683945797</v>
      </c>
      <c r="K31" s="161">
        <f t="shared" si="7"/>
        <v>0.01</v>
      </c>
    </row>
    <row r="32" spans="1:11" s="116" customFormat="1" ht="12.75" x14ac:dyDescent="0.2">
      <c r="A32" s="160"/>
      <c r="B32" s="132" t="s">
        <v>94</v>
      </c>
      <c r="C32" s="133">
        <v>2009</v>
      </c>
      <c r="D32" s="108">
        <f t="shared" ref="D32:K32" si="8">ABS(D10-D21)</f>
        <v>114</v>
      </c>
      <c r="E32" s="108">
        <f t="shared" si="8"/>
        <v>222961422</v>
      </c>
      <c r="F32" s="109">
        <f t="shared" si="8"/>
        <v>8.1846522395652016E-2</v>
      </c>
      <c r="G32" s="109">
        <f t="shared" si="8"/>
        <v>4.8701669139170345E-2</v>
      </c>
      <c r="H32" s="109">
        <f t="shared" si="8"/>
        <v>3.3144853256481754E-2</v>
      </c>
      <c r="I32" s="108">
        <f t="shared" si="8"/>
        <v>99087.334999999963</v>
      </c>
      <c r="J32" s="108">
        <f t="shared" si="8"/>
        <v>57.614792630489752</v>
      </c>
      <c r="K32" s="161">
        <f t="shared" si="8"/>
        <v>0.01</v>
      </c>
    </row>
    <row r="33" spans="1:11" s="116" customFormat="1" ht="12.75" x14ac:dyDescent="0.2">
      <c r="A33" s="160"/>
      <c r="B33" s="132" t="s">
        <v>94</v>
      </c>
      <c r="C33" s="133">
        <v>2010</v>
      </c>
      <c r="D33" s="108">
        <f t="shared" ref="D33:K33" si="9">ABS(D11-D22)</f>
        <v>0</v>
      </c>
      <c r="E33" s="108">
        <f t="shared" si="9"/>
        <v>253012762.59000015</v>
      </c>
      <c r="F33" s="109">
        <f t="shared" si="9"/>
        <v>5.8391869460526685E-2</v>
      </c>
      <c r="G33" s="109">
        <f t="shared" si="9"/>
        <v>3.0741389573336775E-2</v>
      </c>
      <c r="H33" s="109">
        <f t="shared" si="9"/>
        <v>2.7650479887189938E-2</v>
      </c>
      <c r="I33" s="108">
        <f t="shared" si="9"/>
        <v>495728.18899999978</v>
      </c>
      <c r="J33" s="108">
        <f t="shared" si="9"/>
        <v>56.598582225140248</v>
      </c>
      <c r="K33" s="161">
        <f t="shared" si="9"/>
        <v>0.01</v>
      </c>
    </row>
    <row r="34" spans="1:11" s="116" customFormat="1" ht="13.5" thickBot="1" x14ac:dyDescent="0.25">
      <c r="A34" s="162"/>
      <c r="B34" s="134" t="s">
        <v>94</v>
      </c>
      <c r="C34" s="135">
        <v>2011</v>
      </c>
      <c r="D34" s="110">
        <f t="shared" ref="D34:K34" si="10">ABS(D12-D23)</f>
        <v>4</v>
      </c>
      <c r="E34" s="110">
        <f t="shared" si="10"/>
        <v>237037778</v>
      </c>
      <c r="F34" s="111">
        <f t="shared" si="10"/>
        <v>7.8511379168819589E-2</v>
      </c>
      <c r="G34" s="111">
        <f t="shared" si="10"/>
        <v>5.1424830213616823E-2</v>
      </c>
      <c r="H34" s="111">
        <f t="shared" si="10"/>
        <v>2.7086548955202794E-2</v>
      </c>
      <c r="I34" s="110">
        <f t="shared" si="10"/>
        <v>487717.16999999993</v>
      </c>
      <c r="J34" s="110">
        <f t="shared" si="10"/>
        <v>53.60905924144329</v>
      </c>
      <c r="K34" s="163">
        <f t="shared" si="10"/>
        <v>0.01</v>
      </c>
    </row>
    <row r="35" spans="1:11" s="116" customFormat="1" ht="12.75" x14ac:dyDescent="0.2">
      <c r="A35" s="115" t="s">
        <v>13</v>
      </c>
      <c r="B35" s="115"/>
      <c r="F35" s="112"/>
      <c r="G35" s="112"/>
      <c r="H35" s="112"/>
    </row>
    <row r="36" spans="1:11" s="116" customFormat="1" ht="12.75" x14ac:dyDescent="0.2">
      <c r="A36" s="115" t="s">
        <v>84</v>
      </c>
      <c r="B36" s="115"/>
    </row>
    <row r="37" spans="1:11" s="116" customFormat="1" ht="12.75" x14ac:dyDescent="0.2">
      <c r="B37" s="117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8"/>
  <sheetViews>
    <sheetView showGridLines="0" zoomScale="96" zoomScaleNormal="96" workbookViewId="0">
      <pane xSplit="6" topLeftCell="G1" activePane="topRight" state="frozen"/>
      <selection activeCell="AD12" sqref="AD12"/>
      <selection pane="topRight" activeCell="J8" sqref="J8"/>
    </sheetView>
  </sheetViews>
  <sheetFormatPr defaultRowHeight="14.25" x14ac:dyDescent="0.2"/>
  <cols>
    <col min="1" max="1" width="10" style="23" customWidth="1"/>
    <col min="2" max="5" width="9" style="23"/>
    <col min="6" max="6" width="20.75" style="23" customWidth="1"/>
    <col min="7" max="16" width="12.625" style="23" bestFit="1" customWidth="1"/>
    <col min="17" max="17" width="41.75" style="23" bestFit="1" customWidth="1"/>
    <col min="18" max="27" width="12.625" style="23" bestFit="1" customWidth="1"/>
    <col min="28" max="29" width="9" style="23"/>
    <col min="30" max="30" width="13.625" style="23" bestFit="1" customWidth="1"/>
    <col min="31" max="16384" width="9" style="23"/>
  </cols>
  <sheetData>
    <row r="1" spans="1:30" ht="15" thickBot="1" x14ac:dyDescent="0.25"/>
    <row r="2" spans="1:30" ht="15.75" thickBot="1" x14ac:dyDescent="0.3">
      <c r="A2" s="169" t="s">
        <v>16</v>
      </c>
      <c r="B2" s="170"/>
      <c r="C2" s="170"/>
      <c r="D2" s="170"/>
      <c r="E2" s="170"/>
      <c r="F2" s="171"/>
      <c r="G2" s="24">
        <v>2002</v>
      </c>
      <c r="H2" s="24">
        <v>2003</v>
      </c>
      <c r="I2" s="24">
        <v>2004</v>
      </c>
      <c r="J2" s="24">
        <v>2005</v>
      </c>
      <c r="K2" s="24">
        <v>2006</v>
      </c>
      <c r="L2" s="24">
        <v>2007</v>
      </c>
      <c r="M2" s="24">
        <v>2008</v>
      </c>
      <c r="N2" s="24">
        <v>2009</v>
      </c>
      <c r="O2" s="24">
        <v>2010</v>
      </c>
      <c r="P2" s="24">
        <v>2011</v>
      </c>
      <c r="Q2" s="24" t="s">
        <v>17</v>
      </c>
      <c r="R2" s="24">
        <v>2002</v>
      </c>
      <c r="S2" s="24">
        <v>2003</v>
      </c>
      <c r="T2" s="24">
        <v>2004</v>
      </c>
      <c r="U2" s="24">
        <v>2005</v>
      </c>
      <c r="V2" s="24">
        <v>2006</v>
      </c>
      <c r="W2" s="24">
        <v>2007</v>
      </c>
      <c r="X2" s="24">
        <v>2008</v>
      </c>
      <c r="Y2" s="25">
        <v>2009</v>
      </c>
      <c r="Z2" s="25">
        <v>2010</v>
      </c>
      <c r="AA2" s="25">
        <v>2011</v>
      </c>
    </row>
    <row r="3" spans="1:30" s="30" customFormat="1" ht="32.25" customHeight="1" thickBot="1" x14ac:dyDescent="0.25">
      <c r="A3" s="166" t="s">
        <v>18</v>
      </c>
      <c r="B3" s="167"/>
      <c r="C3" s="167"/>
      <c r="D3" s="167"/>
      <c r="E3" s="167"/>
      <c r="F3" s="168"/>
      <c r="G3" s="166"/>
      <c r="H3" s="167"/>
      <c r="I3" s="168"/>
      <c r="J3" s="26"/>
      <c r="K3" s="27"/>
      <c r="L3" s="28"/>
      <c r="M3" s="29"/>
      <c r="N3" s="166" t="s">
        <v>19</v>
      </c>
      <c r="O3" s="167"/>
      <c r="P3" s="168"/>
      <c r="Q3" s="166" t="s">
        <v>20</v>
      </c>
      <c r="R3" s="167"/>
      <c r="S3" s="167"/>
      <c r="T3" s="167"/>
      <c r="U3" s="167"/>
      <c r="V3" s="167"/>
      <c r="W3" s="167"/>
      <c r="X3" s="167"/>
      <c r="Y3" s="167"/>
      <c r="Z3" s="167"/>
      <c r="AA3" s="168"/>
    </row>
    <row r="4" spans="1:30" x14ac:dyDescent="0.2">
      <c r="A4" s="31" t="s">
        <v>21</v>
      </c>
      <c r="B4" s="32"/>
      <c r="C4" s="32"/>
      <c r="D4" s="32"/>
      <c r="E4" s="32"/>
      <c r="F4" s="32"/>
      <c r="G4" s="33">
        <v>2556581.38</v>
      </c>
      <c r="H4" s="33">
        <v>1503631.4000000001</v>
      </c>
      <c r="I4" s="33">
        <v>1604002.13</v>
      </c>
      <c r="J4" s="33">
        <f>442126+688123+38556+398235+132477+221289+17384</f>
        <v>1938190</v>
      </c>
      <c r="K4" s="34">
        <f>426140+83711+666404+29746+389001+111551+420517+21939+12235</f>
        <v>2161244</v>
      </c>
      <c r="L4" s="34">
        <f>454271+94110+610456+38243+436814+193339+455389+17455+26851</f>
        <v>2326928</v>
      </c>
      <c r="M4" s="33">
        <f>391562+84864+547780+89937+504652+77788+426745+18036+53541</f>
        <v>2194905</v>
      </c>
      <c r="N4" s="34">
        <f>374629.49+111044.01+666246.58+34773.98+306660.99+80695.96+368665.1+24712.74+39584.34</f>
        <v>2007013.19</v>
      </c>
      <c r="O4" s="34">
        <f>332455+84065+442596+24230+305978+57931+356666+16763+62827</f>
        <v>1683511</v>
      </c>
      <c r="P4" s="34">
        <f>376431.65+87060.73+396129.48+27966.54+341275.96+81616+215802.23+34434.38+51884.84</f>
        <v>1612601.81</v>
      </c>
      <c r="Q4" s="34" t="s">
        <v>22</v>
      </c>
      <c r="R4" s="34">
        <v>2556582</v>
      </c>
      <c r="S4" s="34">
        <v>1503630</v>
      </c>
      <c r="T4" s="34">
        <v>1604003</v>
      </c>
      <c r="U4" s="34">
        <v>1938190</v>
      </c>
      <c r="V4" s="34">
        <v>2161244</v>
      </c>
      <c r="W4" s="34">
        <v>2334643</v>
      </c>
      <c r="X4" s="34">
        <v>2194905</v>
      </c>
      <c r="Y4" s="33">
        <v>2007013.19</v>
      </c>
      <c r="Z4" s="33">
        <v>1683511</v>
      </c>
      <c r="AA4" s="33">
        <v>1612601.81</v>
      </c>
      <c r="AD4" s="35"/>
    </row>
    <row r="5" spans="1:30" x14ac:dyDescent="0.2">
      <c r="A5" s="36" t="s">
        <v>23</v>
      </c>
      <c r="B5" s="37"/>
      <c r="C5" s="37"/>
      <c r="D5" s="37"/>
      <c r="E5" s="37"/>
      <c r="F5" s="37"/>
      <c r="G5" s="38">
        <v>4579052.1500000004</v>
      </c>
      <c r="H5" s="38">
        <v>1936648.23</v>
      </c>
      <c r="I5" s="38">
        <v>1970703.3499999999</v>
      </c>
      <c r="J5" s="38">
        <f>427937+646981+434464+252049+295583+242808</f>
        <v>2299822</v>
      </c>
      <c r="K5" s="34">
        <f>142817+217404+659877+548917+315518+215479</f>
        <v>2100012</v>
      </c>
      <c r="L5" s="34">
        <f>113117+257123+723620+556407+234002+258867</f>
        <v>2143136</v>
      </c>
      <c r="M5" s="38">
        <f>176980+217161+1101514+642025+458413+308151+22733</f>
        <v>2926977</v>
      </c>
      <c r="N5" s="34">
        <f>182782.35+140699.96+781994.64+691024.35+497720.38+233552.42+118.64</f>
        <v>2527892.7399999998</v>
      </c>
      <c r="O5" s="34">
        <f>189937+142770+793866+761810+459383+226473+8367</f>
        <v>2582606</v>
      </c>
      <c r="P5" s="34">
        <f>124989.34+124854.24+815752.57+584173.57+319261.98+114339.51+13556.2</f>
        <v>2096927.4099999997</v>
      </c>
      <c r="Q5" s="34" t="s">
        <v>24</v>
      </c>
      <c r="R5" s="34">
        <v>4579053</v>
      </c>
      <c r="S5" s="34">
        <v>1936648</v>
      </c>
      <c r="T5" s="34">
        <v>1970704</v>
      </c>
      <c r="U5" s="34">
        <v>2299822</v>
      </c>
      <c r="V5" s="34">
        <v>2100012</v>
      </c>
      <c r="W5" s="34">
        <v>2142073</v>
      </c>
      <c r="X5" s="34">
        <v>2926977</v>
      </c>
      <c r="Y5" s="33">
        <v>2527892.7400000002</v>
      </c>
      <c r="Z5" s="33">
        <v>2582606</v>
      </c>
      <c r="AA5" s="33">
        <v>2096927.4100000001</v>
      </c>
      <c r="AD5" s="35"/>
    </row>
    <row r="6" spans="1:30" x14ac:dyDescent="0.2">
      <c r="A6" s="36" t="s">
        <v>25</v>
      </c>
      <c r="B6" s="37"/>
      <c r="C6" s="37"/>
      <c r="D6" s="37"/>
      <c r="E6" s="37"/>
      <c r="F6" s="37"/>
      <c r="G6" s="38">
        <v>0</v>
      </c>
      <c r="H6" s="38">
        <v>2606.6799999999998</v>
      </c>
      <c r="I6" s="38">
        <v>0</v>
      </c>
      <c r="J6" s="38">
        <f>0</f>
        <v>0</v>
      </c>
      <c r="K6" s="34">
        <f>0</f>
        <v>0</v>
      </c>
      <c r="L6" s="34">
        <f>292147+245051+17422</f>
        <v>554620</v>
      </c>
      <c r="M6" s="38">
        <f>293034+246005+45431</f>
        <v>584470</v>
      </c>
      <c r="N6" s="34">
        <f>329235.31+258767.26+53261.23</f>
        <v>641263.80000000005</v>
      </c>
      <c r="O6" s="34">
        <f>337029+542497+45944</f>
        <v>925470</v>
      </c>
      <c r="P6" s="34">
        <f>422279.99+291316.44+40730.86</f>
        <v>754327.28999999992</v>
      </c>
      <c r="Q6" s="34" t="s">
        <v>26</v>
      </c>
      <c r="R6" s="34">
        <v>0</v>
      </c>
      <c r="S6" s="34">
        <v>2607</v>
      </c>
      <c r="T6" s="34">
        <v>0</v>
      </c>
      <c r="U6" s="34">
        <v>0</v>
      </c>
      <c r="V6" s="34">
        <v>0</v>
      </c>
      <c r="W6" s="34">
        <v>1289680</v>
      </c>
      <c r="X6" s="34">
        <v>584470</v>
      </c>
      <c r="Y6" s="33">
        <v>641263.80000000005</v>
      </c>
      <c r="Z6" s="33">
        <v>925470</v>
      </c>
      <c r="AA6" s="33">
        <v>754327.28999999992</v>
      </c>
      <c r="AD6" s="35"/>
    </row>
    <row r="7" spans="1:30" x14ac:dyDescent="0.2">
      <c r="A7" s="36" t="s">
        <v>27</v>
      </c>
      <c r="B7" s="37"/>
      <c r="C7" s="37"/>
      <c r="D7" s="37"/>
      <c r="E7" s="37"/>
      <c r="F7" s="37"/>
      <c r="G7" s="38">
        <v>28586.16</v>
      </c>
      <c r="H7" s="38">
        <v>7278.74</v>
      </c>
      <c r="I7" s="38">
        <v>10857.14</v>
      </c>
      <c r="J7" s="38">
        <f>20019</f>
        <v>20019</v>
      </c>
      <c r="K7" s="34">
        <f>38570</f>
        <v>38570</v>
      </c>
      <c r="L7" s="34">
        <f>43602</f>
        <v>43602</v>
      </c>
      <c r="M7" s="38">
        <f>59781</f>
        <v>59781</v>
      </c>
      <c r="N7" s="34">
        <f>39117.42</f>
        <v>39117.42</v>
      </c>
      <c r="O7" s="34">
        <f>53370</f>
        <v>53370</v>
      </c>
      <c r="P7" s="34">
        <f>106603.17</f>
        <v>106603.17</v>
      </c>
      <c r="Q7" s="34" t="s">
        <v>28</v>
      </c>
      <c r="R7" s="34">
        <v>28586</v>
      </c>
      <c r="S7" s="34">
        <v>7279</v>
      </c>
      <c r="T7" s="34">
        <v>10857</v>
      </c>
      <c r="U7" s="34">
        <v>20019</v>
      </c>
      <c r="V7" s="34">
        <v>38570</v>
      </c>
      <c r="W7" s="34">
        <v>67819</v>
      </c>
      <c r="X7" s="34">
        <v>59781</v>
      </c>
      <c r="Y7" s="33">
        <v>39117.42</v>
      </c>
      <c r="Z7" s="33">
        <v>53370</v>
      </c>
      <c r="AA7" s="33">
        <v>106603.17</v>
      </c>
      <c r="AD7" s="35"/>
    </row>
    <row r="8" spans="1:30" x14ac:dyDescent="0.2">
      <c r="A8" s="39" t="s">
        <v>29</v>
      </c>
      <c r="B8" s="40"/>
      <c r="C8" s="40"/>
      <c r="D8" s="40"/>
      <c r="E8" s="40"/>
      <c r="F8" s="40"/>
      <c r="G8" s="41">
        <v>16501288.729999995</v>
      </c>
      <c r="H8" s="41">
        <v>18621783.450000003</v>
      </c>
      <c r="I8" s="41">
        <v>18488058.089999996</v>
      </c>
      <c r="J8" s="41">
        <f>1786286+307115+105125+11995756+231791+2303650+52000-427630+36129</f>
        <v>16390222</v>
      </c>
      <c r="K8" s="42">
        <f>1994490+6953+117000+11221143+256449+3179466+203922+54600+-343816+35020</f>
        <v>16725227</v>
      </c>
      <c r="L8" s="38">
        <f>4954656+1149884+306628+787713+352939+4964142+269136+58822+1031718+35307</f>
        <v>13910945</v>
      </c>
      <c r="M8" s="41">
        <f>4728469+1571063+181729+1337267+303976+4986389+293763+61190+920994+38154</f>
        <v>14422994</v>
      </c>
      <c r="N8" s="42">
        <f>5372833.52+1169094.2+138657.18+1091235.94+306933.47+3843258.57+446225.35+478204.32+769331.49+39410.53</f>
        <v>13655184.569999998</v>
      </c>
      <c r="O8" s="42">
        <f>5802780+3167497+171421+1106683+308949+4435331+325245+63314+768125+39838</f>
        <v>16189183</v>
      </c>
      <c r="P8" s="38">
        <f>6032631.19+3041512.78+187023.79+1020897.43+307751.4+5477741.77+330769.1+68337.8+884748.15+41986.86</f>
        <v>17393400.27</v>
      </c>
      <c r="Q8" s="34" t="s">
        <v>30</v>
      </c>
      <c r="R8" s="34">
        <v>16501283</v>
      </c>
      <c r="S8" s="34">
        <v>18621785</v>
      </c>
      <c r="T8" s="34">
        <v>18488058</v>
      </c>
      <c r="U8" s="34">
        <v>16390222</v>
      </c>
      <c r="V8" s="34">
        <v>16725227</v>
      </c>
      <c r="W8" s="34">
        <v>21876813</v>
      </c>
      <c r="X8" s="34">
        <v>14422994</v>
      </c>
      <c r="Y8" s="33">
        <v>13655184.569999998</v>
      </c>
      <c r="Z8" s="33">
        <v>16189183</v>
      </c>
      <c r="AA8" s="33">
        <v>17393400.27</v>
      </c>
      <c r="AD8" s="35"/>
    </row>
    <row r="9" spans="1:30" x14ac:dyDescent="0.2">
      <c r="A9" s="36" t="s">
        <v>31</v>
      </c>
      <c r="B9" s="37"/>
      <c r="C9" s="37"/>
      <c r="D9" s="37"/>
      <c r="E9" s="37"/>
      <c r="F9" s="37"/>
      <c r="G9" s="38">
        <v>282905.02999999997</v>
      </c>
      <c r="H9" s="38">
        <v>284508.83</v>
      </c>
      <c r="I9" s="38">
        <v>190221.56</v>
      </c>
      <c r="J9" s="38">
        <f>264042</f>
        <v>264042</v>
      </c>
      <c r="K9" s="34">
        <f>298501</f>
        <v>298501</v>
      </c>
      <c r="L9" s="34">
        <f>464384</f>
        <v>464384</v>
      </c>
      <c r="M9" s="38">
        <f>436600</f>
        <v>436600</v>
      </c>
      <c r="N9" s="34">
        <f>489218.96</f>
        <v>489218.96</v>
      </c>
      <c r="O9" s="34">
        <f>337321</f>
        <v>337321</v>
      </c>
      <c r="P9" s="34">
        <f>368931.1</f>
        <v>368931.1</v>
      </c>
      <c r="Q9" s="34" t="s">
        <v>32</v>
      </c>
      <c r="R9" s="34">
        <v>282905</v>
      </c>
      <c r="S9" s="34">
        <v>284509</v>
      </c>
      <c r="T9" s="34">
        <v>190222</v>
      </c>
      <c r="U9" s="34">
        <v>264042</v>
      </c>
      <c r="V9" s="34">
        <v>298501</v>
      </c>
      <c r="W9" s="34">
        <v>638223</v>
      </c>
      <c r="X9" s="34">
        <v>436600</v>
      </c>
      <c r="Y9" s="33">
        <v>489218.96</v>
      </c>
      <c r="Z9" s="33">
        <v>337321</v>
      </c>
      <c r="AA9" s="33">
        <v>368931.10000000003</v>
      </c>
      <c r="AD9" s="35"/>
    </row>
    <row r="10" spans="1:30" ht="15" thickBot="1" x14ac:dyDescent="0.25">
      <c r="A10" s="36" t="s">
        <v>33</v>
      </c>
      <c r="B10" s="37"/>
      <c r="C10" s="37"/>
      <c r="D10" s="37"/>
      <c r="E10" s="37"/>
      <c r="F10" s="37"/>
      <c r="G10" s="38">
        <v>43988.69</v>
      </c>
      <c r="H10" s="38">
        <v>38197.730000000003</v>
      </c>
      <c r="I10" s="38">
        <v>33061.910000000003</v>
      </c>
      <c r="J10" s="38">
        <v>18464</v>
      </c>
      <c r="K10" s="43">
        <f>10908</f>
        <v>10908</v>
      </c>
      <c r="L10" s="43">
        <f>68998</f>
        <v>68998</v>
      </c>
      <c r="M10" s="38">
        <v>74805</v>
      </c>
      <c r="N10" s="43">
        <v>58144.72</v>
      </c>
      <c r="O10" s="43">
        <f>130031</f>
        <v>130031</v>
      </c>
      <c r="P10" s="43">
        <v>64911.18</v>
      </c>
      <c r="Q10" s="43" t="s">
        <v>34</v>
      </c>
      <c r="R10" s="34">
        <v>43989</v>
      </c>
      <c r="S10" s="34">
        <v>38198</v>
      </c>
      <c r="T10" s="34">
        <v>33062</v>
      </c>
      <c r="U10" s="34">
        <v>18464</v>
      </c>
      <c r="V10" s="34">
        <v>10908</v>
      </c>
      <c r="W10" s="34">
        <v>125246</v>
      </c>
      <c r="X10" s="34">
        <v>74805</v>
      </c>
      <c r="Y10" s="33">
        <v>58144.72</v>
      </c>
      <c r="Z10" s="33">
        <v>130031</v>
      </c>
      <c r="AA10" s="33">
        <v>64911.18</v>
      </c>
      <c r="AD10" s="35"/>
    </row>
    <row r="11" spans="1:30" ht="15.75" thickBot="1" x14ac:dyDescent="0.3">
      <c r="A11" s="44" t="s">
        <v>35</v>
      </c>
      <c r="B11" s="45"/>
      <c r="C11" s="45"/>
      <c r="D11" s="45"/>
      <c r="E11" s="45"/>
      <c r="F11" s="45"/>
      <c r="G11" s="46">
        <f t="shared" ref="G11:M11" si="0">SUM(G4:G10)</f>
        <v>23992402.139999997</v>
      </c>
      <c r="H11" s="46">
        <f t="shared" si="0"/>
        <v>22394655.060000002</v>
      </c>
      <c r="I11" s="46">
        <f t="shared" si="0"/>
        <v>22296904.179999996</v>
      </c>
      <c r="J11" s="46">
        <f t="shared" si="0"/>
        <v>20930759</v>
      </c>
      <c r="K11" s="46">
        <f t="shared" si="0"/>
        <v>21334462</v>
      </c>
      <c r="L11" s="46">
        <f t="shared" si="0"/>
        <v>19512613</v>
      </c>
      <c r="M11" s="46">
        <f t="shared" si="0"/>
        <v>20700532</v>
      </c>
      <c r="N11" s="46">
        <f>SUM(N4:N10)</f>
        <v>19417835.399999999</v>
      </c>
      <c r="O11" s="46">
        <f t="shared" ref="O11:P11" si="1">SUM(O4:O10)</f>
        <v>21901492</v>
      </c>
      <c r="P11" s="46">
        <f t="shared" si="1"/>
        <v>22397702.23</v>
      </c>
      <c r="Q11" s="44" t="s">
        <v>35</v>
      </c>
      <c r="R11" s="47">
        <f t="shared" ref="R11:X11" si="2">SUM(R4:R10)</f>
        <v>23992398</v>
      </c>
      <c r="S11" s="47">
        <f t="shared" si="2"/>
        <v>22394656</v>
      </c>
      <c r="T11" s="47">
        <f t="shared" si="2"/>
        <v>22296906</v>
      </c>
      <c r="U11" s="47">
        <f t="shared" si="2"/>
        <v>20930759</v>
      </c>
      <c r="V11" s="47">
        <f t="shared" si="2"/>
        <v>21334462</v>
      </c>
      <c r="W11" s="47">
        <f t="shared" si="2"/>
        <v>28474497</v>
      </c>
      <c r="X11" s="47">
        <f t="shared" si="2"/>
        <v>20700532</v>
      </c>
      <c r="Y11" s="47">
        <f>SUM(Y4:Y10)</f>
        <v>19417835.399999999</v>
      </c>
      <c r="Z11" s="47">
        <f>SUM(Z4:Z10)</f>
        <v>21901492</v>
      </c>
      <c r="AA11" s="47">
        <f>SUM(AA4:AA10)</f>
        <v>22397702.23</v>
      </c>
    </row>
    <row r="12" spans="1:30" ht="15.75" thickBot="1" x14ac:dyDescent="0.3">
      <c r="A12" s="48" t="s">
        <v>36</v>
      </c>
      <c r="B12" s="49"/>
      <c r="C12" s="49"/>
      <c r="D12" s="49"/>
      <c r="E12" s="49"/>
      <c r="F12" s="49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51"/>
      <c r="X12" s="51"/>
      <c r="Y12" s="52"/>
      <c r="Z12" s="52"/>
      <c r="AA12" s="52"/>
    </row>
    <row r="13" spans="1:30" ht="15.75" thickBot="1" x14ac:dyDescent="0.3">
      <c r="A13" s="53" t="s">
        <v>37</v>
      </c>
      <c r="B13" s="54"/>
      <c r="C13" s="54"/>
      <c r="D13" s="54"/>
      <c r="E13" s="54"/>
      <c r="F13" s="54"/>
      <c r="G13" s="46">
        <v>23992398</v>
      </c>
      <c r="H13" s="46">
        <v>22394656</v>
      </c>
      <c r="I13" s="46">
        <v>22296906</v>
      </c>
      <c r="J13" s="46">
        <v>20930759</v>
      </c>
      <c r="K13" s="46">
        <v>21334462</v>
      </c>
      <c r="L13" s="46">
        <v>28474497</v>
      </c>
      <c r="M13" s="46">
        <v>20700532</v>
      </c>
      <c r="N13" s="46">
        <v>19417835.399999999</v>
      </c>
      <c r="O13" s="46">
        <v>21901492</v>
      </c>
      <c r="P13" s="46">
        <v>22397702.23</v>
      </c>
      <c r="Q13" s="55" t="s">
        <v>38</v>
      </c>
      <c r="R13" s="46">
        <f t="shared" ref="R13:X13" si="3">+G13</f>
        <v>23992398</v>
      </c>
      <c r="S13" s="46">
        <f t="shared" si="3"/>
        <v>22394656</v>
      </c>
      <c r="T13" s="46">
        <f t="shared" si="3"/>
        <v>22296906</v>
      </c>
      <c r="U13" s="46">
        <f t="shared" si="3"/>
        <v>20930759</v>
      </c>
      <c r="V13" s="46">
        <f t="shared" si="3"/>
        <v>21334462</v>
      </c>
      <c r="W13" s="46">
        <f t="shared" si="3"/>
        <v>28474497</v>
      </c>
      <c r="X13" s="46">
        <f t="shared" si="3"/>
        <v>20700532</v>
      </c>
      <c r="Y13" s="46">
        <f>+N13</f>
        <v>19417835.399999999</v>
      </c>
      <c r="Z13" s="46">
        <f>+O13</f>
        <v>21901492</v>
      </c>
      <c r="AA13" s="46">
        <f>+P13</f>
        <v>22397702.23</v>
      </c>
      <c r="AB13" s="56" t="s">
        <v>39</v>
      </c>
    </row>
    <row r="14" spans="1:30" ht="15.75" thickBot="1" x14ac:dyDescent="0.3">
      <c r="A14" s="44" t="s">
        <v>40</v>
      </c>
      <c r="B14" s="45"/>
      <c r="C14" s="45"/>
      <c r="D14" s="45"/>
      <c r="E14" s="45"/>
      <c r="F14" s="45"/>
      <c r="G14" s="46">
        <f t="shared" ref="G14:P14" si="4">+G11-G13</f>
        <v>4.1399999968707561</v>
      </c>
      <c r="H14" s="46">
        <f t="shared" si="4"/>
        <v>-0.93999999761581421</v>
      </c>
      <c r="I14" s="46">
        <f t="shared" si="4"/>
        <v>-1.8200000040233135</v>
      </c>
      <c r="J14" s="46">
        <f t="shared" si="4"/>
        <v>0</v>
      </c>
      <c r="K14" s="46">
        <f t="shared" si="4"/>
        <v>0</v>
      </c>
      <c r="L14" s="46">
        <f t="shared" si="4"/>
        <v>-8961884</v>
      </c>
      <c r="M14" s="46">
        <f t="shared" si="4"/>
        <v>0</v>
      </c>
      <c r="N14" s="46">
        <f t="shared" si="4"/>
        <v>0</v>
      </c>
      <c r="O14" s="46">
        <f t="shared" si="4"/>
        <v>0</v>
      </c>
      <c r="P14" s="46">
        <f t="shared" si="4"/>
        <v>0</v>
      </c>
      <c r="Q14" s="57"/>
      <c r="R14" s="46">
        <f t="shared" ref="R14:X14" si="5">+R11-R13</f>
        <v>0</v>
      </c>
      <c r="S14" s="46">
        <f t="shared" si="5"/>
        <v>0</v>
      </c>
      <c r="T14" s="46">
        <f t="shared" si="5"/>
        <v>0</v>
      </c>
      <c r="U14" s="46">
        <f t="shared" si="5"/>
        <v>0</v>
      </c>
      <c r="V14" s="46">
        <f t="shared" si="5"/>
        <v>0</v>
      </c>
      <c r="W14" s="46">
        <f t="shared" si="5"/>
        <v>0</v>
      </c>
      <c r="X14" s="46">
        <f t="shared" si="5"/>
        <v>0</v>
      </c>
      <c r="Y14" s="46">
        <f>+Y11-Y13</f>
        <v>0</v>
      </c>
      <c r="Z14" s="46">
        <f>+Z11-Z13</f>
        <v>0</v>
      </c>
      <c r="AA14" s="46">
        <f>+AA11-AA13</f>
        <v>0</v>
      </c>
    </row>
    <row r="15" spans="1:30" ht="15" x14ac:dyDescent="0.25">
      <c r="A15" s="58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59"/>
      <c r="Z15" s="40"/>
    </row>
    <row r="16" spans="1:30" x14ac:dyDescent="0.2">
      <c r="A16" s="60" t="s">
        <v>41</v>
      </c>
    </row>
    <row r="17" spans="1:25" x14ac:dyDescent="0.2">
      <c r="A17" s="60" t="s">
        <v>42</v>
      </c>
    </row>
    <row r="18" spans="1:25" ht="15" thickBot="1" x14ac:dyDescent="0.25">
      <c r="A18" s="60"/>
    </row>
    <row r="19" spans="1:25" ht="15.75" thickBot="1" x14ac:dyDescent="0.3">
      <c r="A19" s="169" t="s">
        <v>43</v>
      </c>
      <c r="B19" s="170"/>
      <c r="C19" s="170"/>
      <c r="D19" s="170"/>
      <c r="E19" s="170"/>
      <c r="F19" s="171"/>
      <c r="G19" s="24">
        <v>2002</v>
      </c>
      <c r="H19" s="24">
        <v>2003</v>
      </c>
      <c r="I19" s="24">
        <v>2004</v>
      </c>
      <c r="J19" s="24">
        <v>2005</v>
      </c>
      <c r="K19" s="24">
        <v>2006</v>
      </c>
      <c r="L19" s="24">
        <v>2007</v>
      </c>
      <c r="M19" s="24">
        <v>2008</v>
      </c>
      <c r="N19" s="24">
        <v>2009</v>
      </c>
      <c r="O19" s="24">
        <v>2010</v>
      </c>
      <c r="P19" s="24">
        <v>2011</v>
      </c>
    </row>
    <row r="20" spans="1:25" ht="32.25" customHeight="1" thickBot="1" x14ac:dyDescent="0.25">
      <c r="A20" s="166" t="s">
        <v>44</v>
      </c>
      <c r="B20" s="167"/>
      <c r="C20" s="167"/>
      <c r="D20" s="167"/>
      <c r="E20" s="167"/>
      <c r="F20" s="167"/>
      <c r="G20" s="61"/>
      <c r="H20" s="166" t="s">
        <v>19</v>
      </c>
      <c r="I20" s="167"/>
      <c r="J20" s="168"/>
      <c r="K20" s="166" t="s">
        <v>19</v>
      </c>
      <c r="L20" s="167"/>
      <c r="M20" s="168"/>
      <c r="N20" s="166" t="s">
        <v>19</v>
      </c>
      <c r="O20" s="167"/>
      <c r="P20" s="168"/>
    </row>
    <row r="21" spans="1:25" x14ac:dyDescent="0.2">
      <c r="A21" s="39" t="s">
        <v>18</v>
      </c>
      <c r="B21" s="40"/>
      <c r="C21" s="62">
        <v>5014</v>
      </c>
      <c r="D21" s="40" t="s">
        <v>45</v>
      </c>
      <c r="E21" s="40"/>
      <c r="F21" s="40"/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1">
        <v>0</v>
      </c>
      <c r="O21" s="63">
        <v>0</v>
      </c>
      <c r="P21" s="63">
        <v>0</v>
      </c>
    </row>
    <row r="22" spans="1:25" x14ac:dyDescent="0.2">
      <c r="A22" s="39"/>
      <c r="B22" s="40"/>
      <c r="C22" s="62">
        <v>5015</v>
      </c>
      <c r="D22" s="40" t="s">
        <v>46</v>
      </c>
      <c r="E22" s="40"/>
      <c r="F22" s="40"/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1">
        <v>0</v>
      </c>
      <c r="O22" s="63">
        <v>0</v>
      </c>
      <c r="P22" s="63">
        <v>0</v>
      </c>
    </row>
    <row r="23" spans="1:25" ht="15" thickBot="1" x14ac:dyDescent="0.25">
      <c r="A23" s="39"/>
      <c r="B23" s="40"/>
      <c r="C23" s="62">
        <v>5112</v>
      </c>
      <c r="D23" s="40" t="s">
        <v>47</v>
      </c>
      <c r="E23" s="40"/>
      <c r="F23" s="40"/>
      <c r="G23" s="64">
        <v>0</v>
      </c>
      <c r="H23" s="64">
        <v>0</v>
      </c>
      <c r="I23" s="64">
        <v>0</v>
      </c>
      <c r="J23" s="65">
        <v>0</v>
      </c>
      <c r="K23" s="65">
        <v>142817</v>
      </c>
      <c r="L23" s="65">
        <v>113117</v>
      </c>
      <c r="M23" s="40">
        <f>176980</f>
        <v>176980</v>
      </c>
      <c r="N23" s="41">
        <v>182782.35</v>
      </c>
      <c r="O23" s="63">
        <v>189937</v>
      </c>
      <c r="P23" s="63">
        <v>124989.34</v>
      </c>
    </row>
    <row r="24" spans="1:25" ht="15.75" thickBot="1" x14ac:dyDescent="0.3">
      <c r="A24" s="44" t="s">
        <v>35</v>
      </c>
      <c r="B24" s="45"/>
      <c r="C24" s="45"/>
      <c r="D24" s="45"/>
      <c r="E24" s="45"/>
      <c r="F24" s="45"/>
      <c r="G24" s="46">
        <f t="shared" ref="G24:M24" si="6">SUM(G21:G23)</f>
        <v>0</v>
      </c>
      <c r="H24" s="46">
        <f t="shared" si="6"/>
        <v>0</v>
      </c>
      <c r="I24" s="46">
        <f t="shared" si="6"/>
        <v>0</v>
      </c>
      <c r="J24" s="46">
        <f t="shared" si="6"/>
        <v>0</v>
      </c>
      <c r="K24" s="46">
        <f t="shared" si="6"/>
        <v>142817</v>
      </c>
      <c r="L24" s="46">
        <f t="shared" si="6"/>
        <v>113117</v>
      </c>
      <c r="M24" s="46">
        <f t="shared" si="6"/>
        <v>176980</v>
      </c>
      <c r="N24" s="46">
        <f>SUM(N21:N23)</f>
        <v>182782.35</v>
      </c>
      <c r="O24" s="46">
        <f>SUM(O21:O23)</f>
        <v>189937</v>
      </c>
      <c r="P24" s="46">
        <f t="shared" ref="P24" si="7">SUM(P21:P23)</f>
        <v>124989.34</v>
      </c>
    </row>
    <row r="25" spans="1:25" ht="15" x14ac:dyDescent="0.25">
      <c r="A25" s="48" t="s">
        <v>48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66"/>
      <c r="O25" s="66"/>
      <c r="P25" s="66"/>
    </row>
    <row r="26" spans="1:25" ht="15.75" thickBot="1" x14ac:dyDescent="0.3">
      <c r="A26" s="39" t="s">
        <v>49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67"/>
      <c r="O26" s="67"/>
      <c r="P26" s="67"/>
      <c r="Q26" s="40"/>
      <c r="R26" s="40"/>
      <c r="S26" s="40"/>
      <c r="T26" s="40"/>
      <c r="U26" s="40"/>
      <c r="V26" s="40"/>
      <c r="W26" s="40"/>
      <c r="X26" s="40"/>
      <c r="Y26" s="40"/>
    </row>
    <row r="27" spans="1:25" ht="15.75" thickBot="1" x14ac:dyDescent="0.3">
      <c r="A27" s="53" t="s">
        <v>50</v>
      </c>
      <c r="B27" s="54"/>
      <c r="C27" s="54"/>
      <c r="D27" s="54"/>
      <c r="E27" s="54"/>
      <c r="F27" s="54"/>
      <c r="G27" s="46">
        <v>0</v>
      </c>
      <c r="H27" s="46">
        <v>0</v>
      </c>
      <c r="I27" s="46">
        <v>0</v>
      </c>
      <c r="J27" s="46">
        <v>0</v>
      </c>
      <c r="K27" s="46">
        <v>142817</v>
      </c>
      <c r="L27" s="46">
        <v>113117</v>
      </c>
      <c r="M27" s="46">
        <v>176980</v>
      </c>
      <c r="N27" s="46">
        <v>182782</v>
      </c>
      <c r="O27" s="46">
        <v>189937</v>
      </c>
      <c r="P27" s="46">
        <v>124989</v>
      </c>
      <c r="Q27" s="23" t="s">
        <v>51</v>
      </c>
      <c r="Y27" s="40"/>
    </row>
    <row r="28" spans="1:25" ht="15.75" thickBot="1" x14ac:dyDescent="0.3">
      <c r="A28" s="44" t="s">
        <v>40</v>
      </c>
      <c r="B28" s="45"/>
      <c r="C28" s="45"/>
      <c r="D28" s="45"/>
      <c r="E28" s="45"/>
      <c r="F28" s="45"/>
      <c r="G28" s="46">
        <f t="shared" ref="G28:M28" si="8">+G24-G27</f>
        <v>0</v>
      </c>
      <c r="H28" s="46">
        <f t="shared" si="8"/>
        <v>0</v>
      </c>
      <c r="I28" s="46">
        <f t="shared" si="8"/>
        <v>0</v>
      </c>
      <c r="J28" s="46">
        <f t="shared" si="8"/>
        <v>0</v>
      </c>
      <c r="K28" s="46">
        <f t="shared" si="8"/>
        <v>0</v>
      </c>
      <c r="L28" s="46">
        <f t="shared" si="8"/>
        <v>0</v>
      </c>
      <c r="M28" s="46">
        <f t="shared" si="8"/>
        <v>0</v>
      </c>
      <c r="N28" s="46">
        <f>+N24-N27</f>
        <v>0.35000000000582077</v>
      </c>
      <c r="O28" s="46">
        <f t="shared" ref="O28:P28" si="9">+O24-O27</f>
        <v>0</v>
      </c>
      <c r="P28" s="46">
        <f t="shared" si="9"/>
        <v>0.33999999999650754</v>
      </c>
      <c r="Q28" s="40"/>
      <c r="R28" s="40"/>
      <c r="S28" s="40"/>
      <c r="T28" s="40"/>
      <c r="U28" s="40"/>
      <c r="V28" s="40"/>
      <c r="W28" s="40"/>
      <c r="X28" s="40"/>
      <c r="Y28" s="40"/>
    </row>
    <row r="29" spans="1:25" ht="15" thickBot="1" x14ac:dyDescent="0.25"/>
    <row r="30" spans="1:25" ht="15.75" thickBot="1" x14ac:dyDescent="0.3">
      <c r="A30" s="169" t="s">
        <v>43</v>
      </c>
      <c r="B30" s="170"/>
      <c r="C30" s="170"/>
      <c r="D30" s="170"/>
      <c r="E30" s="170"/>
      <c r="F30" s="171"/>
      <c r="G30" s="24">
        <v>2002</v>
      </c>
      <c r="H30" s="24">
        <v>2003</v>
      </c>
      <c r="I30" s="24">
        <v>2004</v>
      </c>
      <c r="J30" s="24">
        <v>2005</v>
      </c>
      <c r="K30" s="24">
        <v>2006</v>
      </c>
      <c r="L30" s="24">
        <v>2007</v>
      </c>
      <c r="M30" s="24">
        <v>2008</v>
      </c>
      <c r="N30" s="24">
        <v>2009</v>
      </c>
      <c r="O30" s="24">
        <v>2010</v>
      </c>
      <c r="P30" s="24">
        <v>2011</v>
      </c>
    </row>
    <row r="31" spans="1:25" ht="32.25" customHeight="1" thickBot="1" x14ac:dyDescent="0.25">
      <c r="A31" s="166" t="s">
        <v>44</v>
      </c>
      <c r="B31" s="167"/>
      <c r="C31" s="167"/>
      <c r="D31" s="167"/>
      <c r="E31" s="167"/>
      <c r="F31" s="167"/>
      <c r="G31" s="61"/>
      <c r="H31" s="166" t="s">
        <v>19</v>
      </c>
      <c r="I31" s="167"/>
      <c r="J31" s="168"/>
      <c r="K31" s="166" t="s">
        <v>19</v>
      </c>
      <c r="L31" s="167"/>
      <c r="M31" s="168"/>
      <c r="N31" s="166" t="s">
        <v>19</v>
      </c>
      <c r="O31" s="167"/>
      <c r="P31" s="168"/>
    </row>
    <row r="32" spans="1:25" x14ac:dyDescent="0.2">
      <c r="A32" s="39" t="s">
        <v>18</v>
      </c>
      <c r="B32" s="40"/>
      <c r="C32" s="62">
        <v>5014</v>
      </c>
      <c r="D32" s="40" t="s">
        <v>45</v>
      </c>
      <c r="E32" s="40"/>
      <c r="F32" s="40"/>
      <c r="G32" s="41">
        <f t="shared" ref="G32:P34" si="10">+G21</f>
        <v>0</v>
      </c>
      <c r="H32" s="41">
        <f t="shared" si="10"/>
        <v>0</v>
      </c>
      <c r="I32" s="41">
        <f t="shared" si="10"/>
        <v>0</v>
      </c>
      <c r="J32" s="41">
        <f t="shared" si="10"/>
        <v>0</v>
      </c>
      <c r="K32" s="41">
        <f t="shared" si="10"/>
        <v>0</v>
      </c>
      <c r="L32" s="41">
        <f t="shared" si="10"/>
        <v>0</v>
      </c>
      <c r="M32" s="41">
        <f t="shared" si="10"/>
        <v>0</v>
      </c>
      <c r="N32" s="41">
        <f t="shared" si="10"/>
        <v>0</v>
      </c>
      <c r="O32" s="41">
        <f t="shared" si="10"/>
        <v>0</v>
      </c>
      <c r="P32" s="41">
        <f t="shared" si="10"/>
        <v>0</v>
      </c>
      <c r="Q32" s="23" t="s">
        <v>52</v>
      </c>
    </row>
    <row r="33" spans="1:17" x14ac:dyDescent="0.2">
      <c r="A33" s="39"/>
      <c r="B33" s="40"/>
      <c r="C33" s="62">
        <v>5015</v>
      </c>
      <c r="D33" s="40" t="s">
        <v>46</v>
      </c>
      <c r="E33" s="40"/>
      <c r="F33" s="40"/>
      <c r="G33" s="41">
        <f t="shared" si="10"/>
        <v>0</v>
      </c>
      <c r="H33" s="41">
        <f t="shared" si="10"/>
        <v>0</v>
      </c>
      <c r="I33" s="41">
        <f t="shared" si="10"/>
        <v>0</v>
      </c>
      <c r="J33" s="41">
        <f t="shared" si="10"/>
        <v>0</v>
      </c>
      <c r="K33" s="41">
        <f t="shared" si="10"/>
        <v>0</v>
      </c>
      <c r="L33" s="41">
        <f t="shared" si="10"/>
        <v>0</v>
      </c>
      <c r="M33" s="41">
        <f t="shared" si="10"/>
        <v>0</v>
      </c>
      <c r="N33" s="41">
        <f t="shared" si="10"/>
        <v>0</v>
      </c>
      <c r="O33" s="41">
        <f t="shared" si="10"/>
        <v>0</v>
      </c>
      <c r="P33" s="41">
        <f t="shared" si="10"/>
        <v>0</v>
      </c>
      <c r="Q33" s="23" t="s">
        <v>53</v>
      </c>
    </row>
    <row r="34" spans="1:17" ht="15" thickBot="1" x14ac:dyDescent="0.25">
      <c r="A34" s="39"/>
      <c r="B34" s="40"/>
      <c r="C34" s="62">
        <v>5112</v>
      </c>
      <c r="D34" s="40" t="s">
        <v>47</v>
      </c>
      <c r="E34" s="40"/>
      <c r="F34" s="40"/>
      <c r="G34" s="41">
        <f t="shared" si="10"/>
        <v>0</v>
      </c>
      <c r="H34" s="41">
        <f t="shared" si="10"/>
        <v>0</v>
      </c>
      <c r="I34" s="41">
        <f t="shared" si="10"/>
        <v>0</v>
      </c>
      <c r="J34" s="41">
        <f t="shared" si="10"/>
        <v>0</v>
      </c>
      <c r="K34" s="41">
        <f t="shared" si="10"/>
        <v>142817</v>
      </c>
      <c r="L34" s="41">
        <f t="shared" si="10"/>
        <v>113117</v>
      </c>
      <c r="M34" s="41">
        <f t="shared" si="10"/>
        <v>176980</v>
      </c>
      <c r="N34" s="41">
        <f t="shared" si="10"/>
        <v>182782.35</v>
      </c>
      <c r="O34" s="41">
        <f t="shared" si="10"/>
        <v>189937</v>
      </c>
      <c r="P34" s="41">
        <f t="shared" si="10"/>
        <v>124989.34</v>
      </c>
    </row>
    <row r="35" spans="1:17" ht="15.75" thickBot="1" x14ac:dyDescent="0.3">
      <c r="A35" s="44" t="s">
        <v>35</v>
      </c>
      <c r="B35" s="45"/>
      <c r="C35" s="45"/>
      <c r="D35" s="45"/>
      <c r="E35" s="45"/>
      <c r="F35" s="45"/>
      <c r="G35" s="46">
        <f t="shared" ref="G35:M35" si="11">SUM(G32:G34)</f>
        <v>0</v>
      </c>
      <c r="H35" s="46">
        <f t="shared" si="11"/>
        <v>0</v>
      </c>
      <c r="I35" s="46">
        <f t="shared" si="11"/>
        <v>0</v>
      </c>
      <c r="J35" s="46">
        <f t="shared" si="11"/>
        <v>0</v>
      </c>
      <c r="K35" s="46">
        <f t="shared" si="11"/>
        <v>142817</v>
      </c>
      <c r="L35" s="46">
        <f t="shared" si="11"/>
        <v>113117</v>
      </c>
      <c r="M35" s="46">
        <f t="shared" si="11"/>
        <v>176980</v>
      </c>
      <c r="N35" s="46">
        <f>SUM(N32:N34)</f>
        <v>182782.35</v>
      </c>
      <c r="O35" s="46">
        <f t="shared" ref="O35:P35" si="12">SUM(O32:O34)</f>
        <v>189937</v>
      </c>
      <c r="P35" s="46">
        <f t="shared" si="12"/>
        <v>124989.34</v>
      </c>
    </row>
    <row r="36" spans="1:17" ht="15.75" thickBot="1" x14ac:dyDescent="0.3">
      <c r="A36" s="48" t="s">
        <v>48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66"/>
      <c r="O36" s="66"/>
      <c r="P36" s="66"/>
    </row>
    <row r="37" spans="1:17" ht="15.75" thickBot="1" x14ac:dyDescent="0.3">
      <c r="A37" s="39" t="s">
        <v>54</v>
      </c>
      <c r="B37" s="40"/>
      <c r="C37" s="40"/>
      <c r="D37" s="40"/>
      <c r="E37" s="40"/>
      <c r="F37" s="40"/>
      <c r="G37" s="46">
        <v>0</v>
      </c>
      <c r="H37" s="46">
        <v>0</v>
      </c>
      <c r="I37" s="46">
        <v>0</v>
      </c>
      <c r="J37" s="46">
        <v>0</v>
      </c>
      <c r="K37" s="46">
        <v>142817</v>
      </c>
      <c r="L37" s="46">
        <v>113117</v>
      </c>
      <c r="M37" s="46">
        <v>176980</v>
      </c>
      <c r="N37" s="46">
        <v>182782</v>
      </c>
      <c r="O37" s="46">
        <v>189937</v>
      </c>
      <c r="P37" s="46">
        <v>124989</v>
      </c>
      <c r="Q37" s="23" t="s">
        <v>51</v>
      </c>
    </row>
    <row r="38" spans="1:17" ht="15.75" thickBot="1" x14ac:dyDescent="0.3">
      <c r="A38" s="44" t="s">
        <v>40</v>
      </c>
      <c r="B38" s="45"/>
      <c r="C38" s="45"/>
      <c r="D38" s="45"/>
      <c r="E38" s="45"/>
      <c r="F38" s="45"/>
      <c r="G38" s="46">
        <f t="shared" ref="G38:M38" si="13">+G35-G37</f>
        <v>0</v>
      </c>
      <c r="H38" s="46">
        <f t="shared" si="13"/>
        <v>0</v>
      </c>
      <c r="I38" s="46">
        <f t="shared" si="13"/>
        <v>0</v>
      </c>
      <c r="J38" s="46">
        <f t="shared" si="13"/>
        <v>0</v>
      </c>
      <c r="K38" s="46">
        <f t="shared" si="13"/>
        <v>0</v>
      </c>
      <c r="L38" s="46">
        <f t="shared" si="13"/>
        <v>0</v>
      </c>
      <c r="M38" s="46">
        <f t="shared" si="13"/>
        <v>0</v>
      </c>
      <c r="N38" s="46">
        <f>+N35-N37</f>
        <v>0.35000000000582077</v>
      </c>
      <c r="O38" s="46">
        <f t="shared" ref="O38:P38" si="14">+O35-O37</f>
        <v>0</v>
      </c>
      <c r="P38" s="46">
        <f t="shared" si="14"/>
        <v>0.33999999999650754</v>
      </c>
    </row>
  </sheetData>
  <mergeCells count="15">
    <mergeCell ref="Q3:AA3"/>
    <mergeCell ref="A19:F19"/>
    <mergeCell ref="A31:F31"/>
    <mergeCell ref="H31:J31"/>
    <mergeCell ref="K31:M31"/>
    <mergeCell ref="N31:P31"/>
    <mergeCell ref="A2:F2"/>
    <mergeCell ref="A3:F3"/>
    <mergeCell ref="G3:I3"/>
    <mergeCell ref="N3:P3"/>
    <mergeCell ref="A20:F20"/>
    <mergeCell ref="H20:J20"/>
    <mergeCell ref="K20:M20"/>
    <mergeCell ref="N20:P20"/>
    <mergeCell ref="A30:F30"/>
  </mergeCells>
  <pageMargins left="0.25" right="0.25" top="0.75" bottom="0.75" header="0.3" footer="0.3"/>
  <pageSetup paperSize="5" scale="82" orientation="landscape" r:id="rId1"/>
  <rowBreaks count="1" manualBreakCount="1">
    <brk id="18" max="16383" man="1"/>
  </rowBreaks>
  <colBreaks count="1" manualBreakCount="1"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43"/>
  <sheetViews>
    <sheetView showGridLines="0" topLeftCell="D13" zoomScaleNormal="100" workbookViewId="0">
      <selection activeCell="Q32" sqref="Q32"/>
    </sheetView>
  </sheetViews>
  <sheetFormatPr defaultRowHeight="12.75" x14ac:dyDescent="0.2"/>
  <cols>
    <col min="1" max="5" width="9" style="68"/>
    <col min="6" max="6" width="10.625" style="68" customWidth="1"/>
    <col min="7" max="16" width="12.125" style="68" bestFit="1" customWidth="1"/>
    <col min="17" max="17" width="14.5" style="68" bestFit="1" customWidth="1"/>
    <col min="18" max="16384" width="9" style="68"/>
  </cols>
  <sheetData>
    <row r="2" spans="1:17" ht="13.5" thickBot="1" x14ac:dyDescent="0.25">
      <c r="K2" s="69"/>
    </row>
    <row r="3" spans="1:17" ht="13.5" thickBot="1" x14ac:dyDescent="0.25">
      <c r="A3" s="172" t="s">
        <v>55</v>
      </c>
      <c r="B3" s="173"/>
      <c r="C3" s="173"/>
      <c r="D3" s="173"/>
      <c r="E3" s="173"/>
      <c r="F3" s="174"/>
      <c r="G3" s="70">
        <v>2002</v>
      </c>
      <c r="H3" s="70">
        <v>2003</v>
      </c>
      <c r="I3" s="70">
        <v>2004</v>
      </c>
      <c r="J3" s="70">
        <v>2005</v>
      </c>
      <c r="K3" s="70">
        <v>2006</v>
      </c>
      <c r="L3" s="70">
        <v>2007</v>
      </c>
      <c r="M3" s="70">
        <v>2008</v>
      </c>
      <c r="N3" s="70">
        <v>2009</v>
      </c>
      <c r="O3" s="70">
        <v>2010</v>
      </c>
      <c r="P3" s="70">
        <v>2011</v>
      </c>
    </row>
    <row r="4" spans="1:17" ht="13.5" thickBot="1" x14ac:dyDescent="0.25">
      <c r="A4" s="175" t="s">
        <v>56</v>
      </c>
      <c r="B4" s="176"/>
      <c r="C4" s="176"/>
      <c r="D4" s="176"/>
      <c r="E4" s="176"/>
      <c r="F4" s="176"/>
      <c r="G4" s="175" t="s">
        <v>19</v>
      </c>
      <c r="H4" s="176"/>
      <c r="I4" s="177"/>
      <c r="J4" s="71"/>
      <c r="K4" s="175" t="s">
        <v>19</v>
      </c>
      <c r="L4" s="176"/>
      <c r="M4" s="177"/>
      <c r="N4" s="175" t="s">
        <v>19</v>
      </c>
      <c r="O4" s="176"/>
      <c r="P4" s="177"/>
    </row>
    <row r="5" spans="1:17" ht="13.5" thickBot="1" x14ac:dyDescent="0.25">
      <c r="A5" s="72" t="s">
        <v>57</v>
      </c>
      <c r="B5" s="73"/>
      <c r="C5" s="74" t="s">
        <v>58</v>
      </c>
      <c r="D5" s="73"/>
      <c r="E5" s="73"/>
      <c r="F5" s="73"/>
      <c r="G5" s="75">
        <v>21606145.73</v>
      </c>
      <c r="H5" s="75">
        <v>21306950</v>
      </c>
      <c r="I5" s="75">
        <f t="array" ref="I5">[1]!'!2004!R202C7'</f>
        <v>21261558.73</v>
      </c>
      <c r="J5" s="75">
        <v>21388642</v>
      </c>
      <c r="K5" s="75">
        <f>30168503</f>
        <v>30168503</v>
      </c>
      <c r="L5" s="75">
        <v>30248693</v>
      </c>
      <c r="M5" s="75">
        <v>30250670.619999997</v>
      </c>
      <c r="N5" s="75">
        <v>30317891.490000002</v>
      </c>
      <c r="O5" s="75">
        <v>30317891.490000002</v>
      </c>
      <c r="P5" s="75">
        <v>30341529.370000001</v>
      </c>
      <c r="Q5" s="68" t="s">
        <v>51</v>
      </c>
    </row>
    <row r="6" spans="1:17" ht="13.5" thickBot="1" x14ac:dyDescent="0.25">
      <c r="A6" s="76" t="s">
        <v>59</v>
      </c>
      <c r="B6" s="77"/>
      <c r="C6" s="77"/>
      <c r="D6" s="77"/>
      <c r="E6" s="77"/>
      <c r="F6" s="77"/>
      <c r="G6" s="78"/>
      <c r="H6" s="78"/>
      <c r="I6" s="78"/>
      <c r="J6" s="78"/>
      <c r="K6" s="78"/>
      <c r="L6" s="78"/>
      <c r="M6" s="78"/>
      <c r="N6" s="78"/>
      <c r="O6" s="78"/>
      <c r="P6" s="78"/>
    </row>
    <row r="7" spans="1:17" ht="13.5" thickBot="1" x14ac:dyDescent="0.25">
      <c r="A7" s="79" t="s">
        <v>60</v>
      </c>
      <c r="B7" s="80"/>
      <c r="C7" s="80"/>
      <c r="D7" s="80"/>
      <c r="E7" s="80"/>
      <c r="F7" s="80"/>
      <c r="G7" s="75">
        <v>21606146</v>
      </c>
      <c r="H7" s="75">
        <v>21306950</v>
      </c>
      <c r="I7" s="75">
        <v>21261559</v>
      </c>
      <c r="J7" s="75">
        <v>21388642</v>
      </c>
      <c r="K7" s="75">
        <v>30168503</v>
      </c>
      <c r="L7" s="75">
        <v>30248693</v>
      </c>
      <c r="M7" s="75">
        <v>30250671</v>
      </c>
      <c r="N7" s="75">
        <v>30317891</v>
      </c>
      <c r="O7" s="75">
        <v>30317891</v>
      </c>
      <c r="P7" s="75">
        <v>30341529</v>
      </c>
      <c r="Q7" s="68" t="s">
        <v>51</v>
      </c>
    </row>
    <row r="8" spans="1:17" ht="13.5" thickBot="1" x14ac:dyDescent="0.25">
      <c r="A8" s="72" t="s">
        <v>40</v>
      </c>
      <c r="B8" s="74"/>
      <c r="C8" s="74"/>
      <c r="D8" s="74"/>
      <c r="E8" s="74"/>
      <c r="F8" s="74"/>
      <c r="G8" s="75">
        <f>+G5-G7</f>
        <v>-0.26999999955296516</v>
      </c>
      <c r="H8" s="75">
        <f>+H5-H7</f>
        <v>0</v>
      </c>
      <c r="I8" s="75">
        <f t="shared" ref="I8:J8" si="0">+I5-I7</f>
        <v>-0.26999999955296516</v>
      </c>
      <c r="J8" s="75">
        <f t="shared" si="0"/>
        <v>0</v>
      </c>
      <c r="K8" s="75">
        <f>+K5-K7</f>
        <v>0</v>
      </c>
      <c r="L8" s="75">
        <f t="shared" ref="L8:M8" si="1">+L5-L7</f>
        <v>0</v>
      </c>
      <c r="M8" s="75">
        <f t="shared" si="1"/>
        <v>-0.38000000268220901</v>
      </c>
      <c r="N8" s="75">
        <f>+N5-N7</f>
        <v>0.49000000208616257</v>
      </c>
      <c r="O8" s="75">
        <f t="shared" ref="O8:P8" si="2">+O5-O7</f>
        <v>0.49000000208616257</v>
      </c>
      <c r="P8" s="75">
        <f t="shared" si="2"/>
        <v>0.37000000104308128</v>
      </c>
    </row>
    <row r="9" spans="1:17" x14ac:dyDescent="0.2">
      <c r="N9" s="81"/>
      <c r="O9" s="81"/>
      <c r="P9" s="81"/>
    </row>
    <row r="10" spans="1:17" ht="13.5" thickBot="1" x14ac:dyDescent="0.25">
      <c r="N10" s="81"/>
      <c r="O10" s="81"/>
      <c r="P10" s="81"/>
    </row>
    <row r="11" spans="1:17" ht="13.5" thickBot="1" x14ac:dyDescent="0.25">
      <c r="A11" s="172" t="s">
        <v>61</v>
      </c>
      <c r="B11" s="173"/>
      <c r="C11" s="173"/>
      <c r="D11" s="173"/>
      <c r="E11" s="173"/>
      <c r="F11" s="174"/>
      <c r="G11" s="70">
        <v>2002</v>
      </c>
      <c r="H11" s="70">
        <v>2003</v>
      </c>
      <c r="I11" s="70">
        <v>2004</v>
      </c>
      <c r="J11" s="70">
        <v>2005</v>
      </c>
      <c r="K11" s="70">
        <v>2006</v>
      </c>
      <c r="L11" s="70">
        <v>2007</v>
      </c>
      <c r="M11" s="70">
        <v>2008</v>
      </c>
      <c r="N11" s="70">
        <v>2009</v>
      </c>
      <c r="O11" s="70">
        <v>2010</v>
      </c>
      <c r="P11" s="70">
        <v>2011</v>
      </c>
    </row>
    <row r="12" spans="1:17" ht="13.5" thickBot="1" x14ac:dyDescent="0.25">
      <c r="A12" s="175" t="s">
        <v>18</v>
      </c>
      <c r="B12" s="176"/>
      <c r="C12" s="176"/>
      <c r="D12" s="176"/>
      <c r="E12" s="176"/>
      <c r="F12" s="176"/>
      <c r="G12" s="71"/>
      <c r="H12" s="175" t="s">
        <v>19</v>
      </c>
      <c r="I12" s="176"/>
      <c r="J12" s="177"/>
      <c r="K12" s="175" t="s">
        <v>19</v>
      </c>
      <c r="L12" s="176"/>
      <c r="M12" s="177"/>
      <c r="N12" s="175" t="s">
        <v>19</v>
      </c>
      <c r="O12" s="176"/>
      <c r="P12" s="177"/>
    </row>
    <row r="13" spans="1:17" ht="13.5" thickBot="1" x14ac:dyDescent="0.25">
      <c r="A13" s="72" t="s">
        <v>62</v>
      </c>
      <c r="B13" s="73"/>
      <c r="C13" s="73"/>
      <c r="D13" s="73"/>
      <c r="E13" s="73"/>
      <c r="F13" s="73"/>
      <c r="G13" s="75">
        <v>164543817.37</v>
      </c>
      <c r="H13" s="75">
        <v>179044666.00999999</v>
      </c>
      <c r="I13" s="75">
        <v>188602942.43000001</v>
      </c>
      <c r="J13" s="75">
        <f>173737+30889+105606+21388642+2246726+58850532+62959701+43462876+6860226+9847+38072+294500+1079764</f>
        <v>197501118</v>
      </c>
      <c r="K13" s="75">
        <f>164319+30889+71323+30168503+2334680+62098318+64938453+45781207+7229057+9847+38072+294500+1155680</f>
        <v>214314848</v>
      </c>
      <c r="L13" s="75">
        <f>104771+30889+64527+30248693+2334680+65984013+66508714+47975240+152715+7755920+1322514+21292695+1192393+2601332+12891123+2060925+22086+464152+362110+15143+116840+2057721</f>
        <v>265559196</v>
      </c>
      <c r="M13" s="75">
        <v>280966527</v>
      </c>
      <c r="N13" s="75">
        <v>291474388.55000001</v>
      </c>
      <c r="O13" s="75">
        <v>308721212.73979998</v>
      </c>
      <c r="P13" s="75">
        <f>94411.31+30889.15+120372.47+30341529.37+2333531.85+88716776.7+71584814.72+57038998.89+4772822.91+4800145.36+1322514.43+22075977.21+1510448.39+4612576.56+22740680.61+3032295.53+103848.56+484352.24+636091.79+12639.21+455857.43+2604752.62</f>
        <v>319426327.31</v>
      </c>
      <c r="Q13" s="82" t="s">
        <v>51</v>
      </c>
    </row>
    <row r="14" spans="1:17" ht="13.5" thickBot="1" x14ac:dyDescent="0.25">
      <c r="A14" s="76" t="s">
        <v>59</v>
      </c>
      <c r="B14" s="77"/>
      <c r="C14" s="77"/>
      <c r="D14" s="77"/>
      <c r="E14" s="77"/>
      <c r="F14" s="77"/>
      <c r="G14" s="78"/>
      <c r="H14" s="78"/>
      <c r="I14" s="78"/>
      <c r="J14" s="78"/>
      <c r="K14" s="78"/>
      <c r="L14" s="78"/>
      <c r="M14" s="78"/>
      <c r="N14" s="78"/>
      <c r="O14" s="78"/>
      <c r="P14" s="78"/>
    </row>
    <row r="15" spans="1:17" ht="13.5" thickBot="1" x14ac:dyDescent="0.25">
      <c r="A15" s="83" t="s">
        <v>63</v>
      </c>
      <c r="B15" s="80"/>
      <c r="C15" s="80"/>
      <c r="D15" s="80"/>
      <c r="E15" s="80"/>
      <c r="F15" s="80"/>
      <c r="G15" s="75">
        <v>164543818</v>
      </c>
      <c r="H15" s="75">
        <v>179044668</v>
      </c>
      <c r="I15" s="75">
        <v>188602942</v>
      </c>
      <c r="J15" s="75">
        <v>197501118</v>
      </c>
      <c r="K15" s="75">
        <v>214314848</v>
      </c>
      <c r="L15" s="75">
        <v>265559196</v>
      </c>
      <c r="M15" s="75">
        <v>280966527</v>
      </c>
      <c r="N15" s="75">
        <v>291474388</v>
      </c>
      <c r="O15" s="75">
        <v>308721211</v>
      </c>
      <c r="P15" s="75">
        <v>319426327</v>
      </c>
      <c r="Q15" s="68" t="s">
        <v>51</v>
      </c>
    </row>
    <row r="16" spans="1:17" ht="13.5" thickBot="1" x14ac:dyDescent="0.25">
      <c r="A16" s="72" t="s">
        <v>40</v>
      </c>
      <c r="B16" s="74"/>
      <c r="C16" s="74"/>
      <c r="D16" s="74"/>
      <c r="E16" s="74"/>
      <c r="F16" s="74"/>
      <c r="G16" s="75">
        <f t="shared" ref="G16:J16" si="3">+G13-G15</f>
        <v>-0.62999999523162842</v>
      </c>
      <c r="H16" s="75">
        <f t="shared" si="3"/>
        <v>-1.9900000095367432</v>
      </c>
      <c r="I16" s="75">
        <f t="shared" si="3"/>
        <v>0.43000000715255737</v>
      </c>
      <c r="J16" s="75">
        <f t="shared" si="3"/>
        <v>0</v>
      </c>
      <c r="K16" s="75">
        <f>+K13-K15</f>
        <v>0</v>
      </c>
      <c r="L16" s="75">
        <f t="shared" ref="L16:M16" si="4">+L13-L15</f>
        <v>0</v>
      </c>
      <c r="M16" s="75">
        <f t="shared" si="4"/>
        <v>0</v>
      </c>
      <c r="N16" s="75">
        <f>+N13-N15</f>
        <v>0.55000001192092896</v>
      </c>
      <c r="O16" s="75">
        <f t="shared" ref="O16:P16" si="5">+O13-O15</f>
        <v>1.739799976348877</v>
      </c>
      <c r="P16" s="75">
        <f t="shared" si="5"/>
        <v>0.31000000238418579</v>
      </c>
    </row>
    <row r="18" spans="1:17" ht="13.5" thickBot="1" x14ac:dyDescent="0.25"/>
    <row r="19" spans="1:17" ht="13.5" thickBot="1" x14ac:dyDescent="0.25">
      <c r="A19" s="172" t="s">
        <v>61</v>
      </c>
      <c r="B19" s="173"/>
      <c r="C19" s="173"/>
      <c r="D19" s="173"/>
      <c r="E19" s="173"/>
      <c r="F19" s="174"/>
      <c r="G19" s="70">
        <v>2002</v>
      </c>
      <c r="H19" s="70">
        <v>2003</v>
      </c>
      <c r="I19" s="70">
        <v>2004</v>
      </c>
      <c r="J19" s="70">
        <v>2005</v>
      </c>
      <c r="K19" s="70">
        <v>2006</v>
      </c>
      <c r="L19" s="70">
        <v>2007</v>
      </c>
      <c r="M19" s="70">
        <v>2008</v>
      </c>
      <c r="N19" s="70">
        <v>2009</v>
      </c>
      <c r="O19" s="70">
        <v>2010</v>
      </c>
      <c r="P19" s="70">
        <v>2011</v>
      </c>
    </row>
    <row r="20" spans="1:17" ht="13.5" thickBot="1" x14ac:dyDescent="0.25">
      <c r="A20" s="178" t="s">
        <v>64</v>
      </c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80"/>
      <c r="O20" s="84"/>
      <c r="P20" s="84"/>
    </row>
    <row r="21" spans="1:17" ht="13.5" thickBot="1" x14ac:dyDescent="0.25">
      <c r="A21" s="85" t="s">
        <v>65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7"/>
      <c r="O21" s="88"/>
      <c r="P21" s="88"/>
      <c r="Q21" s="89"/>
    </row>
    <row r="22" spans="1:17" ht="13.5" thickBot="1" x14ac:dyDescent="0.25">
      <c r="A22" s="172" t="s">
        <v>66</v>
      </c>
      <c r="B22" s="173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4"/>
      <c r="Q22" s="89"/>
    </row>
    <row r="23" spans="1:17" ht="13.5" thickBot="1" x14ac:dyDescent="0.25">
      <c r="A23" s="76" t="s">
        <v>67</v>
      </c>
      <c r="B23" s="77"/>
      <c r="C23" s="77"/>
      <c r="D23" s="77"/>
      <c r="E23" s="77"/>
      <c r="F23" s="77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89" t="s">
        <v>51</v>
      </c>
    </row>
    <row r="24" spans="1:17" x14ac:dyDescent="0.2">
      <c r="A24" s="76" t="s">
        <v>59</v>
      </c>
      <c r="B24" s="77"/>
      <c r="C24" s="77"/>
      <c r="D24" s="77"/>
      <c r="E24" s="77"/>
      <c r="F24" s="77"/>
      <c r="G24" s="90"/>
      <c r="H24" s="90"/>
      <c r="I24" s="90"/>
      <c r="J24" s="90"/>
      <c r="K24" s="90"/>
      <c r="L24" s="90"/>
      <c r="M24" s="90"/>
      <c r="N24" s="90"/>
      <c r="O24" s="90"/>
      <c r="P24" s="90"/>
    </row>
    <row r="25" spans="1:17" ht="13.5" thickBot="1" x14ac:dyDescent="0.25">
      <c r="A25" s="91" t="s">
        <v>68</v>
      </c>
      <c r="B25" s="92"/>
      <c r="C25" s="92"/>
      <c r="D25" s="92"/>
      <c r="E25" s="92"/>
      <c r="F25" s="93"/>
      <c r="G25" s="94"/>
      <c r="H25" s="94"/>
      <c r="I25" s="94"/>
      <c r="J25" s="94">
        <v>0</v>
      </c>
      <c r="K25" s="94">
        <v>0</v>
      </c>
      <c r="L25" s="94">
        <v>0</v>
      </c>
      <c r="M25" s="94">
        <v>0</v>
      </c>
      <c r="N25" s="94">
        <v>5361.7</v>
      </c>
      <c r="O25" s="94">
        <v>6295675.2999999998</v>
      </c>
      <c r="P25" s="94">
        <v>9637030.5999999996</v>
      </c>
      <c r="Q25" s="68" t="s">
        <v>69</v>
      </c>
    </row>
    <row r="26" spans="1:17" ht="13.5" thickBot="1" x14ac:dyDescent="0.25">
      <c r="A26" s="95" t="s">
        <v>70</v>
      </c>
      <c r="B26" s="96"/>
      <c r="C26" s="96"/>
      <c r="D26" s="96"/>
      <c r="E26" s="96"/>
      <c r="F26" s="97"/>
      <c r="G26" s="98">
        <v>142937672</v>
      </c>
      <c r="H26" s="98">
        <v>157737718</v>
      </c>
      <c r="I26" s="98">
        <v>167341383</v>
      </c>
      <c r="J26" s="98">
        <v>176112476</v>
      </c>
      <c r="K26" s="98">
        <v>184146345</v>
      </c>
      <c r="L26" s="98">
        <v>235310503</v>
      </c>
      <c r="M26" s="98">
        <v>250715856</v>
      </c>
      <c r="N26" s="98">
        <v>261156497</v>
      </c>
      <c r="O26" s="98">
        <v>278403320</v>
      </c>
      <c r="P26" s="98">
        <v>289084798</v>
      </c>
      <c r="Q26" s="89" t="s">
        <v>51</v>
      </c>
    </row>
    <row r="27" spans="1:17" ht="13.5" thickBot="1" x14ac:dyDescent="0.25">
      <c r="A27" s="79"/>
      <c r="B27" s="80"/>
      <c r="C27" s="80"/>
      <c r="D27" s="80"/>
      <c r="E27" s="80"/>
      <c r="F27" s="80"/>
      <c r="G27" s="75">
        <f t="shared" ref="G27:J27" si="6">+G25+G26</f>
        <v>142937672</v>
      </c>
      <c r="H27" s="75">
        <f t="shared" si="6"/>
        <v>157737718</v>
      </c>
      <c r="I27" s="75">
        <f t="shared" si="6"/>
        <v>167341383</v>
      </c>
      <c r="J27" s="75">
        <f t="shared" si="6"/>
        <v>176112476</v>
      </c>
      <c r="K27" s="75">
        <f>+K25+K26</f>
        <v>184146345</v>
      </c>
      <c r="L27" s="75">
        <f t="shared" ref="L27" si="7">+L25+L26</f>
        <v>235310503</v>
      </c>
      <c r="M27" s="75">
        <f>+M25+M26</f>
        <v>250715856</v>
      </c>
      <c r="N27" s="75">
        <f>+N25+N26</f>
        <v>261161858.69999999</v>
      </c>
      <c r="O27" s="75">
        <f t="shared" ref="O27" si="8">+O25+O26</f>
        <v>284698995.30000001</v>
      </c>
      <c r="P27" s="75">
        <f>+P25+P26</f>
        <v>298721828.60000002</v>
      </c>
      <c r="Q27" s="89"/>
    </row>
    <row r="28" spans="1:17" ht="13.5" thickBot="1" x14ac:dyDescent="0.25">
      <c r="A28" s="99" t="s">
        <v>40</v>
      </c>
      <c r="B28" s="80"/>
      <c r="C28" s="80"/>
      <c r="D28" s="80"/>
      <c r="E28" s="80"/>
      <c r="F28" s="80"/>
      <c r="G28" s="182">
        <f>+G23-G27</f>
        <v>-142937672</v>
      </c>
      <c r="H28" s="182">
        <f t="shared" ref="H28:J28" si="9">+H23-H27</f>
        <v>-157737718</v>
      </c>
      <c r="I28" s="182">
        <f t="shared" si="9"/>
        <v>-167341383</v>
      </c>
      <c r="J28" s="182">
        <f t="shared" si="9"/>
        <v>-176112476</v>
      </c>
      <c r="K28" s="182">
        <f>+K23-K27</f>
        <v>-184146345</v>
      </c>
      <c r="L28" s="182">
        <f t="shared" ref="L28:M28" si="10">+L23-L27</f>
        <v>-235310503</v>
      </c>
      <c r="M28" s="182">
        <f t="shared" si="10"/>
        <v>-250715856</v>
      </c>
      <c r="N28" s="182">
        <f>+N23-N27</f>
        <v>-261161858.69999999</v>
      </c>
      <c r="O28" s="182">
        <f t="shared" ref="O28:P28" si="11">+O23-O27</f>
        <v>-284698995.30000001</v>
      </c>
      <c r="P28" s="182">
        <f t="shared" si="11"/>
        <v>-298721828.60000002</v>
      </c>
      <c r="Q28" s="89"/>
    </row>
    <row r="29" spans="1:17" ht="13.5" thickBot="1" x14ac:dyDescent="0.25">
      <c r="A29" s="172" t="s">
        <v>66</v>
      </c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4"/>
      <c r="Q29" s="89"/>
    </row>
    <row r="30" spans="1:17" ht="13.5" thickBot="1" x14ac:dyDescent="0.25">
      <c r="A30" s="100" t="s">
        <v>70</v>
      </c>
      <c r="B30" s="101"/>
      <c r="C30" s="101"/>
      <c r="D30" s="101"/>
      <c r="E30" s="101"/>
      <c r="F30" s="102"/>
      <c r="G30" s="75">
        <f t="shared" ref="G30:J30" si="12">+G26</f>
        <v>142937672</v>
      </c>
      <c r="H30" s="75">
        <f t="shared" si="12"/>
        <v>157737718</v>
      </c>
      <c r="I30" s="75">
        <f t="shared" si="12"/>
        <v>167341383</v>
      </c>
      <c r="J30" s="75">
        <f t="shared" si="12"/>
        <v>176112476</v>
      </c>
      <c r="K30" s="75">
        <f>+K26</f>
        <v>184146345</v>
      </c>
      <c r="L30" s="75">
        <f t="shared" ref="L30:M30" si="13">+L26</f>
        <v>235310503</v>
      </c>
      <c r="M30" s="75">
        <f t="shared" si="13"/>
        <v>250715856</v>
      </c>
      <c r="N30" s="75">
        <f>+N26</f>
        <v>261156497</v>
      </c>
      <c r="O30" s="75">
        <f t="shared" ref="O30:P30" si="14">+O26</f>
        <v>278403320</v>
      </c>
      <c r="P30" s="75">
        <f t="shared" si="14"/>
        <v>289084798</v>
      </c>
      <c r="Q30" s="89" t="s">
        <v>71</v>
      </c>
    </row>
    <row r="31" spans="1:17" ht="13.5" thickBot="1" x14ac:dyDescent="0.25">
      <c r="A31" s="95" t="s">
        <v>72</v>
      </c>
      <c r="B31" s="96"/>
      <c r="C31" s="96"/>
      <c r="D31" s="96"/>
      <c r="E31" s="96"/>
      <c r="F31" s="97"/>
      <c r="G31" s="98">
        <v>164543818</v>
      </c>
      <c r="H31" s="98">
        <v>179044668</v>
      </c>
      <c r="I31" s="98">
        <v>188602942</v>
      </c>
      <c r="J31" s="98">
        <v>197501118</v>
      </c>
      <c r="K31" s="98">
        <v>214314848</v>
      </c>
      <c r="L31" s="98">
        <v>265559196</v>
      </c>
      <c r="M31" s="98">
        <v>280966527</v>
      </c>
      <c r="N31" s="98">
        <v>291474388</v>
      </c>
      <c r="O31" s="98">
        <v>308721211</v>
      </c>
      <c r="P31" s="98">
        <v>319426327</v>
      </c>
      <c r="Q31" s="89" t="s">
        <v>51</v>
      </c>
    </row>
    <row r="32" spans="1:17" ht="13.5" thickBot="1" x14ac:dyDescent="0.25">
      <c r="A32" s="103" t="s">
        <v>73</v>
      </c>
      <c r="B32" s="96"/>
      <c r="C32" s="96"/>
      <c r="D32" s="96"/>
      <c r="E32" s="96"/>
      <c r="F32" s="97"/>
      <c r="G32" s="98">
        <v>21606146</v>
      </c>
      <c r="H32" s="98">
        <v>21306950</v>
      </c>
      <c r="I32" s="98">
        <v>21261559</v>
      </c>
      <c r="J32" s="98">
        <v>21388642</v>
      </c>
      <c r="K32" s="98">
        <v>30168503</v>
      </c>
      <c r="L32" s="98">
        <v>30248693</v>
      </c>
      <c r="M32" s="98">
        <v>30250671</v>
      </c>
      <c r="N32" s="98">
        <v>30317891</v>
      </c>
      <c r="O32" s="98">
        <v>30317891</v>
      </c>
      <c r="P32" s="98">
        <v>30341529</v>
      </c>
      <c r="Q32" s="89" t="s">
        <v>74</v>
      </c>
    </row>
    <row r="33" spans="1:17" ht="13.5" thickBot="1" x14ac:dyDescent="0.25">
      <c r="A33" s="104"/>
      <c r="B33" s="86"/>
      <c r="C33" s="86"/>
      <c r="D33" s="86"/>
      <c r="E33" s="86"/>
      <c r="F33" s="86"/>
      <c r="G33" s="75">
        <f>G31-G32</f>
        <v>142937672</v>
      </c>
      <c r="H33" s="75">
        <f t="shared" ref="H33:P33" si="15">H31-H32</f>
        <v>157737718</v>
      </c>
      <c r="I33" s="75">
        <f t="shared" si="15"/>
        <v>167341383</v>
      </c>
      <c r="J33" s="75">
        <f t="shared" si="15"/>
        <v>176112476</v>
      </c>
      <c r="K33" s="75">
        <f t="shared" si="15"/>
        <v>184146345</v>
      </c>
      <c r="L33" s="75">
        <f t="shared" si="15"/>
        <v>235310503</v>
      </c>
      <c r="M33" s="75">
        <f t="shared" si="15"/>
        <v>250715856</v>
      </c>
      <c r="N33" s="75">
        <f t="shared" si="15"/>
        <v>261156497</v>
      </c>
      <c r="O33" s="75">
        <f t="shared" si="15"/>
        <v>278403320</v>
      </c>
      <c r="P33" s="75">
        <f t="shared" si="15"/>
        <v>289084798</v>
      </c>
      <c r="Q33" s="89"/>
    </row>
    <row r="34" spans="1:17" ht="13.5" thickBot="1" x14ac:dyDescent="0.25">
      <c r="A34" s="99" t="s">
        <v>40</v>
      </c>
      <c r="B34" s="80"/>
      <c r="C34" s="80"/>
      <c r="D34" s="80"/>
      <c r="E34" s="80"/>
      <c r="F34" s="80"/>
      <c r="G34" s="75">
        <f t="shared" ref="G34:J34" si="16">+G30-G33</f>
        <v>0</v>
      </c>
      <c r="H34" s="75">
        <f t="shared" si="16"/>
        <v>0</v>
      </c>
      <c r="I34" s="75">
        <f t="shared" si="16"/>
        <v>0</v>
      </c>
      <c r="J34" s="75">
        <f t="shared" si="16"/>
        <v>0</v>
      </c>
      <c r="K34" s="75">
        <f>+K30-K33</f>
        <v>0</v>
      </c>
      <c r="L34" s="75">
        <f t="shared" ref="L34:M34" si="17">+L30-L33</f>
        <v>0</v>
      </c>
      <c r="M34" s="75">
        <f t="shared" si="17"/>
        <v>0</v>
      </c>
      <c r="N34" s="75">
        <f>+N30-N33</f>
        <v>0</v>
      </c>
      <c r="O34" s="75">
        <f t="shared" ref="O34:P34" si="18">+O30-O33</f>
        <v>0</v>
      </c>
      <c r="P34" s="75">
        <f t="shared" si="18"/>
        <v>0</v>
      </c>
      <c r="Q34" s="89"/>
    </row>
    <row r="35" spans="1:17" ht="13.5" thickBot="1" x14ac:dyDescent="0.25">
      <c r="A35" s="172" t="s">
        <v>75</v>
      </c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4"/>
      <c r="Q35" s="89"/>
    </row>
    <row r="36" spans="1:17" ht="13.5" thickBot="1" x14ac:dyDescent="0.25">
      <c r="A36" s="100" t="s">
        <v>76</v>
      </c>
      <c r="B36" s="101"/>
      <c r="C36" s="101"/>
      <c r="D36" s="101"/>
      <c r="E36" s="101"/>
      <c r="F36" s="102"/>
      <c r="G36" s="75">
        <v>0</v>
      </c>
      <c r="H36" s="75">
        <v>14800046</v>
      </c>
      <c r="I36" s="75">
        <v>9603665</v>
      </c>
      <c r="J36" s="75">
        <v>8771093</v>
      </c>
      <c r="K36" s="75">
        <v>8033869</v>
      </c>
      <c r="L36" s="75">
        <v>51164158</v>
      </c>
      <c r="M36" s="75">
        <v>15405353</v>
      </c>
      <c r="N36" s="75">
        <v>10446002.699999999</v>
      </c>
      <c r="O36" s="75">
        <v>23537136.559999999</v>
      </c>
      <c r="P36" s="75">
        <v>14022833.310000001</v>
      </c>
      <c r="Q36" s="89" t="s">
        <v>51</v>
      </c>
    </row>
    <row r="37" spans="1:17" ht="13.5" thickBot="1" x14ac:dyDescent="0.25">
      <c r="A37" s="89" t="s">
        <v>77</v>
      </c>
      <c r="B37" s="86"/>
      <c r="C37" s="86"/>
      <c r="D37" s="86"/>
      <c r="E37" s="86"/>
      <c r="F37" s="86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89"/>
    </row>
    <row r="38" spans="1:17" ht="13.5" thickBot="1" x14ac:dyDescent="0.25">
      <c r="A38" s="91" t="s">
        <v>78</v>
      </c>
      <c r="B38" s="92"/>
      <c r="C38" s="92"/>
      <c r="D38" s="92"/>
      <c r="E38" s="92"/>
      <c r="F38" s="93"/>
      <c r="G38" s="75">
        <v>142937672</v>
      </c>
      <c r="H38" s="75">
        <v>14800046</v>
      </c>
      <c r="I38" s="75">
        <v>9603665</v>
      </c>
      <c r="J38" s="75">
        <v>8771093</v>
      </c>
      <c r="K38" s="75">
        <v>8033869</v>
      </c>
      <c r="L38" s="75">
        <v>51164158</v>
      </c>
      <c r="M38" s="75">
        <v>15405353</v>
      </c>
      <c r="N38" s="75">
        <v>10446002.699999999</v>
      </c>
      <c r="O38" s="75">
        <v>23537136.559999999</v>
      </c>
      <c r="P38" s="75">
        <v>14022833.310000001</v>
      </c>
      <c r="Q38" s="89" t="s">
        <v>51</v>
      </c>
    </row>
    <row r="39" spans="1:17" ht="13.5" thickBot="1" x14ac:dyDescent="0.25">
      <c r="A39" s="99" t="s">
        <v>40</v>
      </c>
      <c r="B39" s="80"/>
      <c r="C39" s="80"/>
      <c r="D39" s="80"/>
      <c r="E39" s="80"/>
      <c r="F39" s="80"/>
      <c r="G39" s="75"/>
      <c r="H39" s="75">
        <f t="shared" ref="H39:J39" si="19">+H36-H38</f>
        <v>0</v>
      </c>
      <c r="I39" s="75">
        <f t="shared" si="19"/>
        <v>0</v>
      </c>
      <c r="J39" s="75">
        <f t="shared" si="19"/>
        <v>0</v>
      </c>
      <c r="K39" s="75">
        <f>+K36-K38</f>
        <v>0</v>
      </c>
      <c r="L39" s="75">
        <f t="shared" ref="L39:M39" si="20">+L36-L38</f>
        <v>0</v>
      </c>
      <c r="M39" s="75">
        <f t="shared" si="20"/>
        <v>0</v>
      </c>
      <c r="N39" s="75">
        <f>+N36-N38</f>
        <v>0</v>
      </c>
      <c r="O39" s="75">
        <f t="shared" ref="O39:P39" si="21">+O36-O38</f>
        <v>0</v>
      </c>
      <c r="P39" s="75">
        <f t="shared" si="21"/>
        <v>0</v>
      </c>
      <c r="Q39" s="89"/>
    </row>
    <row r="40" spans="1:17" x14ac:dyDescent="0.2">
      <c r="N40" s="81"/>
      <c r="O40" s="81"/>
      <c r="P40" s="81"/>
    </row>
    <row r="41" spans="1:17" x14ac:dyDescent="0.2">
      <c r="A41" s="105" t="s">
        <v>79</v>
      </c>
    </row>
    <row r="43" spans="1:17" x14ac:dyDescent="0.2">
      <c r="A43" s="106" t="s">
        <v>80</v>
      </c>
    </row>
  </sheetData>
  <mergeCells count="15">
    <mergeCell ref="A11:F11"/>
    <mergeCell ref="A3:F3"/>
    <mergeCell ref="A4:F4"/>
    <mergeCell ref="G4:I4"/>
    <mergeCell ref="K4:M4"/>
    <mergeCell ref="N4:P4"/>
    <mergeCell ref="A22:P22"/>
    <mergeCell ref="A29:P29"/>
    <mergeCell ref="A35:P35"/>
    <mergeCell ref="A12:F12"/>
    <mergeCell ref="H12:J12"/>
    <mergeCell ref="K12:M12"/>
    <mergeCell ref="N12:P12"/>
    <mergeCell ref="A19:F19"/>
    <mergeCell ref="A20:N20"/>
  </mergeCells>
  <pageMargins left="0.19685039370078741" right="0.19685039370078741" top="0.23622047244094491" bottom="0.23622047244094491" header="0.31496062992125984" footer="0.31496062992125984"/>
  <pageSetup paperSize="5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activeCell="D19" sqref="D19"/>
    </sheetView>
  </sheetViews>
  <sheetFormatPr defaultRowHeight="15" x14ac:dyDescent="0.25"/>
  <cols>
    <col min="1" max="1" width="12.625" style="128" customWidth="1"/>
    <col min="2" max="2" width="3.25" style="128" customWidth="1"/>
    <col min="3" max="16384" width="9" style="128"/>
  </cols>
  <sheetData>
    <row r="1" spans="1:12" ht="18.75" x14ac:dyDescent="0.3">
      <c r="A1" s="127" t="s">
        <v>88</v>
      </c>
      <c r="B1" s="127"/>
    </row>
    <row r="2" spans="1:12" ht="18.75" x14ac:dyDescent="0.3">
      <c r="A2" s="127" t="s">
        <v>89</v>
      </c>
      <c r="B2" s="127"/>
    </row>
    <row r="4" spans="1:12" ht="32.25" customHeight="1" x14ac:dyDescent="0.25">
      <c r="A4" s="181" t="s">
        <v>90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</row>
    <row r="5" spans="1:12" x14ac:dyDescent="0.25">
      <c r="A5" s="128" t="s">
        <v>91</v>
      </c>
    </row>
    <row r="7" spans="1:12" x14ac:dyDescent="0.25">
      <c r="A7" s="128" t="s">
        <v>92</v>
      </c>
      <c r="C7" s="129">
        <v>2011</v>
      </c>
      <c r="D7" s="129">
        <v>2010</v>
      </c>
      <c r="E7" s="129">
        <v>2009</v>
      </c>
      <c r="F7" s="129">
        <v>2008</v>
      </c>
      <c r="G7" s="129">
        <v>2007</v>
      </c>
      <c r="H7" s="129">
        <v>2006</v>
      </c>
      <c r="I7" s="129">
        <v>2005</v>
      </c>
      <c r="J7" s="129">
        <v>2004</v>
      </c>
      <c r="K7" s="129">
        <v>2003</v>
      </c>
      <c r="L7" s="129">
        <v>2002</v>
      </c>
    </row>
    <row r="8" spans="1:12" ht="8.25" customHeight="1" x14ac:dyDescent="0.25"/>
    <row r="9" spans="1:12" x14ac:dyDescent="0.25">
      <c r="A9" s="128">
        <v>5112</v>
      </c>
      <c r="C9" s="130">
        <v>124989</v>
      </c>
      <c r="D9" s="130">
        <v>189937</v>
      </c>
      <c r="E9" s="130">
        <v>182782</v>
      </c>
      <c r="F9" s="130">
        <v>176980</v>
      </c>
      <c r="G9" s="130">
        <v>113117</v>
      </c>
      <c r="H9" s="130">
        <v>142817</v>
      </c>
      <c r="I9" s="130">
        <v>0</v>
      </c>
      <c r="J9" s="130">
        <v>0</v>
      </c>
      <c r="K9" s="130">
        <v>0</v>
      </c>
      <c r="L9" s="130">
        <v>0</v>
      </c>
    </row>
    <row r="10" spans="1:12" x14ac:dyDescent="0.25">
      <c r="A10" s="128">
        <v>5005</v>
      </c>
      <c r="C10" s="130">
        <f>232112-C9</f>
        <v>107123</v>
      </c>
      <c r="D10" s="130">
        <f>249929-D9</f>
        <v>59992</v>
      </c>
      <c r="E10" s="130">
        <f>300848-E9</f>
        <v>118066</v>
      </c>
      <c r="F10" s="130">
        <f>310055-F9</f>
        <v>133075</v>
      </c>
      <c r="G10" s="130">
        <f>249918-G9</f>
        <v>136801</v>
      </c>
      <c r="H10" s="130">
        <f>299050-H9</f>
        <v>156233</v>
      </c>
      <c r="I10" s="130">
        <v>98859</v>
      </c>
      <c r="J10" s="130">
        <v>150480</v>
      </c>
      <c r="K10" s="130">
        <v>116988</v>
      </c>
      <c r="L10" s="130">
        <v>216948</v>
      </c>
    </row>
    <row r="11" spans="1:12" ht="15.75" thickBot="1" x14ac:dyDescent="0.3">
      <c r="C11" s="131">
        <f>SUM(C9:C10)</f>
        <v>232112</v>
      </c>
      <c r="D11" s="131">
        <f t="shared" ref="D11:L11" si="0">SUM(D9:D10)</f>
        <v>249929</v>
      </c>
      <c r="E11" s="131">
        <f t="shared" si="0"/>
        <v>300848</v>
      </c>
      <c r="F11" s="131">
        <f t="shared" si="0"/>
        <v>310055</v>
      </c>
      <c r="G11" s="131">
        <f t="shared" si="0"/>
        <v>249918</v>
      </c>
      <c r="H11" s="131">
        <f t="shared" si="0"/>
        <v>299050</v>
      </c>
      <c r="I11" s="131">
        <f t="shared" si="0"/>
        <v>98859</v>
      </c>
      <c r="J11" s="131">
        <f t="shared" si="0"/>
        <v>150480</v>
      </c>
      <c r="K11" s="131">
        <f t="shared" si="0"/>
        <v>116988</v>
      </c>
      <c r="L11" s="131">
        <f t="shared" si="0"/>
        <v>216948</v>
      </c>
    </row>
    <row r="12" spans="1:12" ht="15.75" thickTop="1" x14ac:dyDescent="0.25"/>
    <row r="14" spans="1:12" x14ac:dyDescent="0.25">
      <c r="A14" s="128" t="s">
        <v>93</v>
      </c>
    </row>
  </sheetData>
  <mergeCells count="1">
    <mergeCell ref="A4:L4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Non-Capital RRR</vt:lpstr>
      <vt:lpstr>OM&amp;A Calculation</vt:lpstr>
      <vt:lpstr>Capital</vt:lpstr>
      <vt:lpstr>HV</vt:lpstr>
      <vt:lpstr>Capital!Print_Area</vt:lpstr>
      <vt:lpstr>'Non-Capital RRR'!Print_Titles</vt:lpstr>
    </vt:vector>
  </TitlesOfParts>
  <Company>Enwin Utilities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June Broadfoot </dc:creator>
  <cp:lastModifiedBy>June Broadfoot </cp:lastModifiedBy>
  <cp:lastPrinted>2013-06-26T12:26:37Z</cp:lastPrinted>
  <dcterms:created xsi:type="dcterms:W3CDTF">2013-06-18T18:01:24Z</dcterms:created>
  <dcterms:modified xsi:type="dcterms:W3CDTF">2013-06-26T13:25:31Z</dcterms:modified>
</cp:coreProperties>
</file>