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omments3.xml" ContentType="application/vnd.openxmlformats-officedocument.spreadsheetml.comments+xml"/>
  <Override PartName="/xl/drawings/drawing11.xml" ContentType="application/vnd.openxmlformats-officedocument.drawing+xml"/>
  <Override PartName="/xl/ctrlProps/ctrlProp1.xml" ContentType="application/vnd.ms-excel.controlproperties+xml"/>
  <Override PartName="/xl/comments4.xml" ContentType="application/vnd.openxmlformats-officedocument.spreadsheetml.comments+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codeName="{8C4F1C90-05EB-6A55-5F09-09C24B55AC0B}"/>
  <workbookPr codeName="ThisWorkbook" defaultThemeVersion="124226"/>
  <workbookProtection workbookPassword="C2FC" lockStructure="1"/>
  <bookViews>
    <workbookView xWindow="480" yWindow="45" windowWidth="15195" windowHeight="8445" tabRatio="900" activeTab="1"/>
  </bookViews>
  <sheets>
    <sheet name="1. Utility_Info_" sheetId="21" r:id="rId1"/>
    <sheet name="2. Smart_Meter_Costs" sheetId="4" r:id="rId2"/>
    <sheet name="3. Cost_of_Service_Parameters" sheetId="5" r:id="rId3"/>
    <sheet name="4. SM_Assets_and_Rate_Base" sheetId="7" r:id="rId4"/>
    <sheet name="5. SM_Rev_Reqt" sheetId="6" r:id="rId5"/>
    <sheet name="6. UCC_Calculation" sheetId="14" r:id="rId6"/>
    <sheet name="7_Taxes_PILs" sheetId="9" r:id="rId7"/>
    <sheet name="8. Funding_Adder_Revs" sheetId="8" r:id="rId8"/>
    <sheet name="8A. Opex_Interest_monthly" sheetId="16" r:id="rId9"/>
    <sheet name="8B. Opex_Interest_annual" sheetId="17" r:id="rId10"/>
    <sheet name="9. SMFA_SMDR_SMIRR" sheetId="11" r:id="rId11"/>
    <sheet name="10A. Cost_Alloc_SMDR" sheetId="19" r:id="rId12"/>
    <sheet name="10B. Cost_Alloc_SMIRR" sheetId="20" r:id="rId13"/>
  </sheets>
  <externalReferences>
    <externalReference r:id="rId14"/>
    <externalReference r:id="rId15"/>
  </externalReferences>
  <definedNames>
    <definedName name="___INDEX_SHEET___ASAP_Utilities">#REF!</definedName>
    <definedName name="d">#REF!</definedName>
    <definedName name="db">#REF!</definedName>
    <definedName name="g">#REF!</definedName>
    <definedName name="LastSheet" hidden="1">"Z1.0 OEB Control Sheet"</definedName>
    <definedName name="LDC_LIST">[1]lists!$AM$1:$AM$80</definedName>
    <definedName name="PCI">#REF!</definedName>
    <definedName name="_xlnm.Print_Area" localSheetId="11">'10A. Cost_Alloc_SMDR'!$A$1:$Y$33</definedName>
    <definedName name="_xlnm.Print_Area" localSheetId="12">'10B. Cost_Alloc_SMIRR'!$A$1:$Y$33</definedName>
    <definedName name="_xlnm.Print_Area" localSheetId="1">'2. Smart_Meter_Costs'!$A$1:$X$198</definedName>
    <definedName name="_xlnm.Print_Area" localSheetId="2">'3. Cost_of_Service_Parameters'!$A$1:$V$72</definedName>
    <definedName name="_xlnm.Print_Area" localSheetId="3">'4. SM_Assets_and_Rate_Base'!$A$1:$U$112</definedName>
    <definedName name="_xlnm.Print_Area" localSheetId="4">'5. SM_Rev_Reqt'!$A$1:$U$70</definedName>
    <definedName name="_xlnm.Print_Area" localSheetId="5">'6. UCC_Calculation'!$A$1:$P$76</definedName>
    <definedName name="_xlnm.Print_Area" localSheetId="6">'7_Taxes_PILs'!$A$1:$Q$59</definedName>
    <definedName name="_xlnm.Print_Area" localSheetId="7">'8. Funding_Adder_Revs'!$A$1:$P$121</definedName>
    <definedName name="_xlnm.Print_Area" localSheetId="8">'8A. Opex_Interest_monthly'!$A$1:$S$122</definedName>
    <definedName name="_xlnm.Print_Area" localSheetId="9">'8B. Opex_Interest_annual'!$A$1:$S$34</definedName>
    <definedName name="_xlnm.Print_Area" localSheetId="10">'9. SMFA_SMDR_SMIRR'!$A$1:$X$77</definedName>
    <definedName name="_xlnm.Print_Titles" localSheetId="7">'8. Funding_Adder_Revs'!$1:$22</definedName>
    <definedName name="ratedescription">[2]hidden1!$D$1:$D$122</definedName>
    <definedName name="RB">#REF!</definedName>
    <definedName name="units">[2]hidden1!$J$3:$J$8</definedName>
  </definedNames>
  <calcPr calcId="145621"/>
</workbook>
</file>

<file path=xl/calcChain.xml><?xml version="1.0" encoding="utf-8"?>
<calcChain xmlns="http://schemas.openxmlformats.org/spreadsheetml/2006/main">
  <c r="X54" i="20" l="1"/>
  <c r="Z63" i="19"/>
  <c r="X63" i="19"/>
  <c r="Z22" i="20"/>
  <c r="T23" i="20"/>
  <c r="V23" i="20"/>
  <c r="Z23" i="20"/>
  <c r="Z54" i="20" s="1"/>
  <c r="X23" i="20"/>
  <c r="X52" i="20" s="1"/>
  <c r="Z52" i="20" l="1"/>
  <c r="Z55" i="19"/>
  <c r="X55" i="19"/>
  <c r="Z61" i="19"/>
  <c r="V57" i="19"/>
  <c r="T57" i="19"/>
  <c r="G29" i="6" l="1"/>
  <c r="I29" i="6"/>
  <c r="K29" i="6"/>
  <c r="M29" i="6"/>
  <c r="O29" i="6"/>
  <c r="Q29" i="6"/>
  <c r="S29" i="6"/>
  <c r="B30" i="14"/>
  <c r="B45" i="14"/>
  <c r="B74" i="14"/>
  <c r="B60" i="14"/>
  <c r="C31" i="9"/>
  <c r="C56" i="9" s="1"/>
  <c r="C45" i="9"/>
  <c r="D30" i="14"/>
  <c r="D45" i="14"/>
  <c r="D74" i="14"/>
  <c r="D60" i="14"/>
  <c r="E31" i="9"/>
  <c r="E56" i="9" s="1"/>
  <c r="E45" i="9"/>
  <c r="F30" i="14"/>
  <c r="F45" i="14"/>
  <c r="F74" i="14"/>
  <c r="F60" i="14"/>
  <c r="G31" i="9"/>
  <c r="G56" i="9" s="1"/>
  <c r="G45" i="9"/>
  <c r="H30" i="14"/>
  <c r="H45" i="14"/>
  <c r="H74" i="14"/>
  <c r="H60" i="14"/>
  <c r="I31" i="9"/>
  <c r="I56" i="9" s="1"/>
  <c r="I45" i="9"/>
  <c r="J30" i="14"/>
  <c r="J45" i="14"/>
  <c r="J74" i="14"/>
  <c r="J60" i="14"/>
  <c r="K31" i="9"/>
  <c r="K56" i="9" s="1"/>
  <c r="K45" i="9"/>
  <c r="L30" i="14"/>
  <c r="L45" i="14"/>
  <c r="L74" i="14"/>
  <c r="L60" i="14"/>
  <c r="M31" i="9"/>
  <c r="M56" i="9" s="1"/>
  <c r="M45" i="9"/>
  <c r="N30" i="14"/>
  <c r="N45" i="14"/>
  <c r="N74" i="14"/>
  <c r="N60" i="14"/>
  <c r="O31" i="9"/>
  <c r="O56" i="9" s="1"/>
  <c r="O45" i="9"/>
  <c r="AB23" i="20"/>
  <c r="U29" i="6"/>
  <c r="P30" i="14"/>
  <c r="P45" i="14"/>
  <c r="P74" i="14"/>
  <c r="P60" i="14"/>
  <c r="Q31" i="9"/>
  <c r="Q56" i="9" s="1"/>
  <c r="Q45" i="9"/>
  <c r="Z48" i="20"/>
  <c r="X48" i="20"/>
  <c r="V48" i="20"/>
  <c r="T48" i="20"/>
  <c r="Z33" i="20"/>
  <c r="X33" i="20"/>
  <c r="V33" i="20"/>
  <c r="T33" i="20"/>
  <c r="Z25" i="20"/>
  <c r="X25" i="20"/>
  <c r="V25" i="20"/>
  <c r="V29" i="20" s="1"/>
  <c r="T25" i="20"/>
  <c r="T29" i="20" s="1"/>
  <c r="R29" i="20"/>
  <c r="X29" i="20"/>
  <c r="Z29" i="20"/>
  <c r="R30" i="20"/>
  <c r="Z44" i="20"/>
  <c r="G40" i="11"/>
  <c r="I40" i="11"/>
  <c r="K40" i="11"/>
  <c r="M40" i="11"/>
  <c r="O40" i="11"/>
  <c r="Q40" i="11"/>
  <c r="S40" i="11"/>
  <c r="U40" i="11"/>
  <c r="T50" i="20"/>
  <c r="V50" i="20"/>
  <c r="X50" i="20"/>
  <c r="Z50" i="20"/>
  <c r="T49" i="19"/>
  <c r="V49" i="19"/>
  <c r="AB23" i="19"/>
  <c r="T59" i="19"/>
  <c r="Z59" i="19"/>
  <c r="X59" i="19"/>
  <c r="V59" i="19"/>
  <c r="Z50" i="19"/>
  <c r="Z51" i="19" s="1"/>
  <c r="Z49" i="19"/>
  <c r="X49" i="19"/>
  <c r="AB48" i="19"/>
  <c r="X44" i="19"/>
  <c r="Z44" i="19"/>
  <c r="Z29" i="19"/>
  <c r="X29" i="19"/>
  <c r="V29" i="19"/>
  <c r="T29" i="19"/>
  <c r="AB25" i="19"/>
  <c r="R30" i="19"/>
  <c r="R29" i="19"/>
  <c r="G37" i="11"/>
  <c r="I37" i="11"/>
  <c r="K37" i="11"/>
  <c r="M37" i="11"/>
  <c r="O37" i="11"/>
  <c r="Q37" i="11"/>
  <c r="S37" i="11"/>
  <c r="W37" i="11"/>
  <c r="U37" i="11"/>
  <c r="O23" i="5"/>
  <c r="Q23" i="5" s="1"/>
  <c r="S118" i="4"/>
  <c r="S136" i="4"/>
  <c r="S160" i="4"/>
  <c r="U136" i="4"/>
  <c r="U160" i="4"/>
  <c r="G160" i="4"/>
  <c r="G30" i="5"/>
  <c r="I30" i="5" s="1"/>
  <c r="G24" i="5"/>
  <c r="G33" i="5" s="1"/>
  <c r="I160" i="4"/>
  <c r="I23" i="5"/>
  <c r="K23" i="5" s="1"/>
  <c r="K160" i="4"/>
  <c r="M118" i="4"/>
  <c r="M136" i="4"/>
  <c r="M160" i="4"/>
  <c r="O118" i="4"/>
  <c r="O136" i="4"/>
  <c r="O160" i="4"/>
  <c r="Q118" i="4"/>
  <c r="Q136" i="4"/>
  <c r="Q160" i="4"/>
  <c r="C26" i="16"/>
  <c r="C27" i="16"/>
  <c r="C28" i="16"/>
  <c r="C29" i="16"/>
  <c r="C30" i="16"/>
  <c r="L24" i="17" s="1"/>
  <c r="C31" i="16"/>
  <c r="C32" i="16"/>
  <c r="C33" i="16"/>
  <c r="C34" i="16"/>
  <c r="C35" i="16"/>
  <c r="C36" i="16"/>
  <c r="C37" i="16"/>
  <c r="C38" i="16"/>
  <c r="L26" i="17" s="1"/>
  <c r="C39" i="16"/>
  <c r="C40" i="16"/>
  <c r="C41" i="16"/>
  <c r="C42" i="16"/>
  <c r="C43" i="16"/>
  <c r="C44" i="16"/>
  <c r="C45" i="16"/>
  <c r="C46" i="16"/>
  <c r="C47" i="16"/>
  <c r="F109" i="16"/>
  <c r="M25" i="16"/>
  <c r="J26" i="16" s="1"/>
  <c r="F110" i="16"/>
  <c r="F111" i="16"/>
  <c r="F112" i="16"/>
  <c r="F113" i="16"/>
  <c r="F114" i="16"/>
  <c r="F115" i="16"/>
  <c r="F116" i="16"/>
  <c r="F117" i="16"/>
  <c r="F118" i="16"/>
  <c r="F119" i="16"/>
  <c r="F120" i="16"/>
  <c r="B53" i="16"/>
  <c r="C53" i="16"/>
  <c r="D53" i="16"/>
  <c r="B54" i="16"/>
  <c r="C54" i="16"/>
  <c r="D54" i="16"/>
  <c r="B55" i="16"/>
  <c r="C55" i="16"/>
  <c r="D55" i="16"/>
  <c r="B56" i="16"/>
  <c r="C56" i="16"/>
  <c r="D56" i="16"/>
  <c r="H108" i="8"/>
  <c r="H109" i="16" s="1"/>
  <c r="H109" i="8"/>
  <c r="H110" i="16" s="1"/>
  <c r="H110" i="8"/>
  <c r="H111" i="16" s="1"/>
  <c r="H111" i="8"/>
  <c r="H112" i="16" s="1"/>
  <c r="H112" i="8"/>
  <c r="H113" i="16" s="1"/>
  <c r="H113" i="8"/>
  <c r="H114" i="16" s="1"/>
  <c r="H114" i="8"/>
  <c r="H115" i="16" s="1"/>
  <c r="H115" i="8"/>
  <c r="H116" i="16" s="1"/>
  <c r="H116" i="8"/>
  <c r="H117" i="16" s="1"/>
  <c r="H117" i="8"/>
  <c r="H118" i="16" s="1"/>
  <c r="H118" i="8"/>
  <c r="H119" i="16" s="1"/>
  <c r="H119" i="8"/>
  <c r="H120" i="16" s="1"/>
  <c r="G108" i="8"/>
  <c r="G109" i="16" s="1"/>
  <c r="G109" i="8"/>
  <c r="G110" i="16" s="1"/>
  <c r="G110" i="8"/>
  <c r="G111" i="16" s="1"/>
  <c r="G111" i="8"/>
  <c r="G112" i="16" s="1"/>
  <c r="G112" i="8"/>
  <c r="G113" i="16" s="1"/>
  <c r="G113" i="8"/>
  <c r="G114" i="16" s="1"/>
  <c r="G114" i="8"/>
  <c r="G115" i="16" s="1"/>
  <c r="G115" i="8"/>
  <c r="G116" i="16" s="1"/>
  <c r="G116" i="8"/>
  <c r="G117" i="16" s="1"/>
  <c r="G117" i="8"/>
  <c r="G118" i="16" s="1"/>
  <c r="G118" i="8"/>
  <c r="G119" i="16" s="1"/>
  <c r="G119" i="8"/>
  <c r="G120" i="16" s="1"/>
  <c r="Q20" i="9"/>
  <c r="P73" i="14"/>
  <c r="P21" i="14"/>
  <c r="P35" i="14" s="1"/>
  <c r="P50" i="14" s="1"/>
  <c r="P65" i="14" s="1"/>
  <c r="P20" i="14"/>
  <c r="P34" i="14" s="1"/>
  <c r="P49" i="14" s="1"/>
  <c r="P64" i="14" s="1"/>
  <c r="P59" i="14"/>
  <c r="P44" i="14"/>
  <c r="P29" i="14"/>
  <c r="U54" i="5"/>
  <c r="U52" i="5"/>
  <c r="U50" i="5"/>
  <c r="U48" i="5"/>
  <c r="U46" i="5"/>
  <c r="W170" i="4"/>
  <c r="W168" i="4"/>
  <c r="W166" i="4"/>
  <c r="W158" i="4"/>
  <c r="W156" i="4"/>
  <c r="W154" i="4"/>
  <c r="W152" i="4"/>
  <c r="W150" i="4"/>
  <c r="W148" i="4"/>
  <c r="W142" i="4"/>
  <c r="W140" i="4"/>
  <c r="W134" i="4"/>
  <c r="W132" i="4"/>
  <c r="W130" i="4"/>
  <c r="W124" i="4"/>
  <c r="W122" i="4"/>
  <c r="W116" i="4"/>
  <c r="W114" i="4"/>
  <c r="W105" i="4"/>
  <c r="W103" i="4"/>
  <c r="W101" i="4"/>
  <c r="W82" i="4"/>
  <c r="W84" i="4"/>
  <c r="W90" i="4"/>
  <c r="W92" i="4"/>
  <c r="W88" i="4"/>
  <c r="W86" i="4"/>
  <c r="W75" i="4"/>
  <c r="W68" i="4"/>
  <c r="W66" i="4"/>
  <c r="W64" i="4"/>
  <c r="W58" i="4"/>
  <c r="W60" i="4" s="1"/>
  <c r="W56" i="4"/>
  <c r="W54" i="4"/>
  <c r="W48" i="4"/>
  <c r="W46" i="4"/>
  <c r="W44" i="4"/>
  <c r="W42" i="4"/>
  <c r="M29" i="4"/>
  <c r="M37" i="4" s="1"/>
  <c r="O29" i="4"/>
  <c r="O37" i="4" s="1"/>
  <c r="Q29" i="4"/>
  <c r="Q37" i="4" s="1"/>
  <c r="S29" i="4"/>
  <c r="S37" i="4" s="1"/>
  <c r="W35" i="4"/>
  <c r="W33" i="4"/>
  <c r="W27" i="4"/>
  <c r="W25" i="4"/>
  <c r="U118" i="4"/>
  <c r="U126" i="4"/>
  <c r="U144" i="4"/>
  <c r="U172" i="4"/>
  <c r="U50" i="4"/>
  <c r="U60" i="4"/>
  <c r="U70" i="4"/>
  <c r="U77" i="4"/>
  <c r="U94" i="4"/>
  <c r="U107" i="4"/>
  <c r="U41" i="4"/>
  <c r="U53" i="4" s="1"/>
  <c r="U63" i="4" s="1"/>
  <c r="U73" i="4" s="1"/>
  <c r="U80" i="4" s="1"/>
  <c r="U99" i="4" s="1"/>
  <c r="U112" i="4" s="1"/>
  <c r="U29" i="4"/>
  <c r="U37" i="4"/>
  <c r="C47" i="8"/>
  <c r="C48" i="16" s="1"/>
  <c r="L28" i="17" s="1"/>
  <c r="I31" i="5"/>
  <c r="G136" i="4"/>
  <c r="N73" i="14"/>
  <c r="L73" i="14"/>
  <c r="J73" i="14"/>
  <c r="H73" i="14"/>
  <c r="F73" i="14"/>
  <c r="D73" i="14"/>
  <c r="B73" i="14"/>
  <c r="N21" i="14"/>
  <c r="N35" i="14" s="1"/>
  <c r="N50" i="14" s="1"/>
  <c r="N65" i="14" s="1"/>
  <c r="L21" i="14"/>
  <c r="L35" i="14" s="1"/>
  <c r="L50" i="14" s="1"/>
  <c r="L65" i="14" s="1"/>
  <c r="J21" i="14"/>
  <c r="J35" i="14" s="1"/>
  <c r="J50" i="14" s="1"/>
  <c r="J65" i="14" s="1"/>
  <c r="H21" i="14"/>
  <c r="H35" i="14" s="1"/>
  <c r="H50" i="14" s="1"/>
  <c r="H65" i="14" s="1"/>
  <c r="F21" i="14"/>
  <c r="F35" i="14" s="1"/>
  <c r="F50" i="14" s="1"/>
  <c r="F65" i="14" s="1"/>
  <c r="D21" i="14"/>
  <c r="D35" i="14" s="1"/>
  <c r="D50" i="14" s="1"/>
  <c r="D65" i="14" s="1"/>
  <c r="B21" i="14"/>
  <c r="B35" i="14" s="1"/>
  <c r="B50" i="14" s="1"/>
  <c r="B65" i="14" s="1"/>
  <c r="N20" i="14"/>
  <c r="N34" i="14" s="1"/>
  <c r="N49" i="14" s="1"/>
  <c r="N64" i="14" s="1"/>
  <c r="L20" i="14"/>
  <c r="L34" i="14" s="1"/>
  <c r="L49" i="14" s="1"/>
  <c r="L64" i="14" s="1"/>
  <c r="J20" i="14"/>
  <c r="J34" i="14" s="1"/>
  <c r="J49" i="14" s="1"/>
  <c r="J64" i="14" s="1"/>
  <c r="H20" i="14"/>
  <c r="H34" i="14" s="1"/>
  <c r="H49" i="14" s="1"/>
  <c r="H64" i="14" s="1"/>
  <c r="F20" i="14"/>
  <c r="F34" i="14" s="1"/>
  <c r="F49" i="14" s="1"/>
  <c r="F64" i="14" s="1"/>
  <c r="D20" i="14"/>
  <c r="D34" i="14" s="1"/>
  <c r="D49" i="14" s="1"/>
  <c r="D64" i="14" s="1"/>
  <c r="B20" i="14"/>
  <c r="B34" i="14" s="1"/>
  <c r="B49" i="14" s="1"/>
  <c r="B64" i="14" s="1"/>
  <c r="H26" i="8"/>
  <c r="H27" i="8"/>
  <c r="H28" i="8"/>
  <c r="H29" i="8"/>
  <c r="H30" i="8"/>
  <c r="H31" i="8"/>
  <c r="H32" i="8"/>
  <c r="H33" i="8"/>
  <c r="H34" i="8"/>
  <c r="H35" i="8"/>
  <c r="H36" i="8"/>
  <c r="H37" i="8"/>
  <c r="H38" i="8"/>
  <c r="H39" i="8"/>
  <c r="H40" i="8"/>
  <c r="H41" i="8"/>
  <c r="H42" i="8"/>
  <c r="H43" i="8"/>
  <c r="H44" i="8"/>
  <c r="H45" i="8"/>
  <c r="H46" i="8"/>
  <c r="H47" i="8"/>
  <c r="H48" i="8"/>
  <c r="H49" i="8"/>
  <c r="H50" i="8"/>
  <c r="H51" i="8"/>
  <c r="H52" i="8"/>
  <c r="H53" i="8"/>
  <c r="H54" i="8"/>
  <c r="H55" i="8"/>
  <c r="H56" i="8"/>
  <c r="H57" i="8"/>
  <c r="H58" i="8"/>
  <c r="H59" i="8"/>
  <c r="H60" i="8"/>
  <c r="H61" i="8"/>
  <c r="H62" i="8"/>
  <c r="H63" i="8"/>
  <c r="H64" i="8"/>
  <c r="H65" i="8"/>
  <c r="H66" i="8"/>
  <c r="H67" i="8"/>
  <c r="H68" i="8"/>
  <c r="H69" i="8"/>
  <c r="H70" i="8"/>
  <c r="H71" i="8"/>
  <c r="H72" i="8"/>
  <c r="H73" i="8"/>
  <c r="H74" i="8"/>
  <c r="H75" i="8"/>
  <c r="H76" i="8"/>
  <c r="H77" i="8"/>
  <c r="H78" i="8"/>
  <c r="H79" i="8"/>
  <c r="H80" i="8"/>
  <c r="H81" i="8"/>
  <c r="H82" i="8"/>
  <c r="H83" i="8"/>
  <c r="H84" i="8"/>
  <c r="H85" i="8"/>
  <c r="H86" i="8"/>
  <c r="H87" i="8"/>
  <c r="H88" i="8"/>
  <c r="H89" i="8"/>
  <c r="H90" i="8"/>
  <c r="H91" i="8"/>
  <c r="H92" i="8"/>
  <c r="H93" i="8"/>
  <c r="H94" i="8"/>
  <c r="H95" i="8"/>
  <c r="H96" i="8"/>
  <c r="H97" i="8"/>
  <c r="H98" i="8"/>
  <c r="H99" i="8"/>
  <c r="H100" i="8"/>
  <c r="H101" i="8"/>
  <c r="H102" i="8"/>
  <c r="H103" i="8"/>
  <c r="H104" i="8"/>
  <c r="H105" i="8"/>
  <c r="H106" i="8"/>
  <c r="H107" i="8"/>
  <c r="K122" i="16"/>
  <c r="L122" i="16"/>
  <c r="F26" i="16"/>
  <c r="F27" i="16"/>
  <c r="H27" i="16"/>
  <c r="F28" i="16"/>
  <c r="H28" i="16"/>
  <c r="F29" i="16"/>
  <c r="H29" i="16"/>
  <c r="F30" i="16"/>
  <c r="H30" i="16"/>
  <c r="F31" i="16"/>
  <c r="H31" i="16"/>
  <c r="F32" i="16"/>
  <c r="H32" i="16"/>
  <c r="F33" i="16"/>
  <c r="H33" i="16"/>
  <c r="F34" i="16"/>
  <c r="H34" i="16"/>
  <c r="F35" i="16"/>
  <c r="H35" i="16"/>
  <c r="F36" i="16"/>
  <c r="H36" i="16"/>
  <c r="F37" i="16"/>
  <c r="H37" i="16"/>
  <c r="F38" i="16"/>
  <c r="H38" i="16"/>
  <c r="F39" i="16"/>
  <c r="H39" i="16"/>
  <c r="F40" i="16"/>
  <c r="H40" i="16"/>
  <c r="F41" i="16"/>
  <c r="H41" i="16"/>
  <c r="F42" i="16"/>
  <c r="H42" i="16"/>
  <c r="F43" i="16"/>
  <c r="H43" i="16"/>
  <c r="F44" i="16"/>
  <c r="H44" i="16"/>
  <c r="F45" i="16"/>
  <c r="H45" i="16"/>
  <c r="F46" i="16"/>
  <c r="H46" i="16"/>
  <c r="F47" i="16"/>
  <c r="H47" i="16"/>
  <c r="F48" i="16"/>
  <c r="H48" i="16"/>
  <c r="F49" i="16"/>
  <c r="H49" i="16"/>
  <c r="F50" i="16"/>
  <c r="H50" i="16"/>
  <c r="F51" i="16"/>
  <c r="H51" i="16"/>
  <c r="F52" i="16"/>
  <c r="H52" i="16"/>
  <c r="F53" i="16"/>
  <c r="H53" i="16"/>
  <c r="F54" i="16"/>
  <c r="H54" i="16"/>
  <c r="F55" i="16"/>
  <c r="H55" i="16"/>
  <c r="F56" i="16"/>
  <c r="H56" i="16"/>
  <c r="F57" i="16"/>
  <c r="H57" i="16"/>
  <c r="F58" i="16"/>
  <c r="H58" i="16"/>
  <c r="F59" i="16"/>
  <c r="H59" i="16"/>
  <c r="F60" i="16"/>
  <c r="H60" i="16"/>
  <c r="F61" i="16"/>
  <c r="H61" i="16"/>
  <c r="F62" i="16"/>
  <c r="H62" i="16"/>
  <c r="F63" i="16"/>
  <c r="H63" i="16"/>
  <c r="F64" i="16"/>
  <c r="H64" i="16"/>
  <c r="F65" i="16"/>
  <c r="H65" i="16"/>
  <c r="F66" i="16"/>
  <c r="H66" i="16"/>
  <c r="F67" i="16"/>
  <c r="H67" i="16"/>
  <c r="F68" i="16"/>
  <c r="H68" i="16"/>
  <c r="F69" i="16"/>
  <c r="H69" i="16"/>
  <c r="F70" i="16"/>
  <c r="H70" i="16"/>
  <c r="F71" i="16"/>
  <c r="H71" i="16"/>
  <c r="F72" i="16"/>
  <c r="H72" i="16"/>
  <c r="F73" i="16"/>
  <c r="H73" i="16"/>
  <c r="F74" i="16"/>
  <c r="H74" i="16"/>
  <c r="F75" i="16"/>
  <c r="H75" i="16"/>
  <c r="F76" i="16"/>
  <c r="H76" i="16"/>
  <c r="F77" i="16"/>
  <c r="H77" i="16"/>
  <c r="F78" i="16"/>
  <c r="H78" i="16"/>
  <c r="F79" i="16"/>
  <c r="H79" i="16"/>
  <c r="F80" i="16"/>
  <c r="H80" i="16"/>
  <c r="F81" i="16"/>
  <c r="H81" i="16"/>
  <c r="F82" i="16"/>
  <c r="H82" i="16"/>
  <c r="F83" i="16"/>
  <c r="H83" i="16"/>
  <c r="F84" i="16"/>
  <c r="H84" i="16"/>
  <c r="F85" i="16"/>
  <c r="H85" i="16"/>
  <c r="F86" i="16"/>
  <c r="H86" i="16"/>
  <c r="F87" i="16"/>
  <c r="H87" i="16"/>
  <c r="F88" i="16"/>
  <c r="H88" i="16"/>
  <c r="F89" i="16"/>
  <c r="H89" i="16"/>
  <c r="F90" i="16"/>
  <c r="H90" i="16"/>
  <c r="F91" i="16"/>
  <c r="H91" i="16"/>
  <c r="F92" i="16"/>
  <c r="H92" i="16"/>
  <c r="F93" i="16"/>
  <c r="H93" i="16"/>
  <c r="F94" i="16"/>
  <c r="H94" i="16"/>
  <c r="F95" i="16"/>
  <c r="H95" i="16"/>
  <c r="F96" i="16"/>
  <c r="H96" i="16"/>
  <c r="F97" i="16"/>
  <c r="H97" i="16"/>
  <c r="F98" i="16"/>
  <c r="H98" i="16"/>
  <c r="F99" i="16"/>
  <c r="H99" i="16"/>
  <c r="F100" i="16"/>
  <c r="H100" i="16"/>
  <c r="F101" i="16"/>
  <c r="H101" i="16"/>
  <c r="F102" i="16"/>
  <c r="H102" i="16"/>
  <c r="F103" i="16"/>
  <c r="H103" i="16"/>
  <c r="F104" i="16"/>
  <c r="H104" i="16"/>
  <c r="F105" i="16"/>
  <c r="H105" i="16"/>
  <c r="F106" i="16"/>
  <c r="H106" i="16"/>
  <c r="F107" i="16"/>
  <c r="H107" i="16"/>
  <c r="F108" i="16"/>
  <c r="H108" i="16"/>
  <c r="F25" i="16"/>
  <c r="C25" i="16"/>
  <c r="D25" i="16"/>
  <c r="D26" i="16"/>
  <c r="D27" i="16"/>
  <c r="D28" i="16"/>
  <c r="D29" i="16"/>
  <c r="D30" i="16"/>
  <c r="D31" i="16"/>
  <c r="D32" i="16"/>
  <c r="D33" i="16"/>
  <c r="D34" i="16"/>
  <c r="D35" i="16"/>
  <c r="D36" i="16"/>
  <c r="D37" i="16"/>
  <c r="D38" i="16"/>
  <c r="D39" i="16"/>
  <c r="D40" i="16"/>
  <c r="D41" i="16"/>
  <c r="D42" i="16"/>
  <c r="D43" i="16"/>
  <c r="D44" i="16"/>
  <c r="D45" i="16"/>
  <c r="D46" i="16"/>
  <c r="D47" i="16"/>
  <c r="D48" i="16"/>
  <c r="C49" i="16"/>
  <c r="D49" i="16"/>
  <c r="C50" i="16"/>
  <c r="D50" i="16"/>
  <c r="C51" i="16"/>
  <c r="D51" i="16"/>
  <c r="C52" i="16"/>
  <c r="D52" i="16"/>
  <c r="B26" i="16"/>
  <c r="B27" i="16"/>
  <c r="B28" i="16"/>
  <c r="B29" i="16"/>
  <c r="B30" i="16"/>
  <c r="B31" i="16"/>
  <c r="B32" i="16"/>
  <c r="B33" i="16"/>
  <c r="B34" i="16"/>
  <c r="B35" i="16"/>
  <c r="B36" i="16"/>
  <c r="B37" i="16"/>
  <c r="B38" i="16"/>
  <c r="B39" i="16"/>
  <c r="B40" i="16"/>
  <c r="B41" i="16"/>
  <c r="B42" i="16"/>
  <c r="B43" i="16"/>
  <c r="B44" i="16"/>
  <c r="B45" i="16"/>
  <c r="B46" i="16"/>
  <c r="B47" i="16"/>
  <c r="B48" i="16"/>
  <c r="B49" i="16"/>
  <c r="B50" i="16"/>
  <c r="B51" i="16"/>
  <c r="B52" i="16"/>
  <c r="B25" i="16"/>
  <c r="J25" i="8"/>
  <c r="J26" i="8" s="1"/>
  <c r="J27" i="8" s="1"/>
  <c r="S172" i="4"/>
  <c r="I172" i="4"/>
  <c r="K29" i="4"/>
  <c r="G29" i="4"/>
  <c r="W160" i="4"/>
  <c r="G34" i="7"/>
  <c r="G172" i="4"/>
  <c r="G25" i="8"/>
  <c r="G26" i="16" s="1"/>
  <c r="H25" i="8"/>
  <c r="H26" i="16" s="1"/>
  <c r="G26" i="8"/>
  <c r="I26" i="8" s="1"/>
  <c r="L26" i="8" s="1"/>
  <c r="N27" i="16" s="1"/>
  <c r="G27" i="8"/>
  <c r="I27" i="8" s="1"/>
  <c r="L27" i="8" s="1"/>
  <c r="N28" i="16" s="1"/>
  <c r="G28" i="8"/>
  <c r="I28" i="8" s="1"/>
  <c r="L28" i="8" s="1"/>
  <c r="N29" i="16" s="1"/>
  <c r="G29" i="8"/>
  <c r="I29" i="8" s="1"/>
  <c r="L29" i="8" s="1"/>
  <c r="N30" i="16" s="1"/>
  <c r="G30" i="8"/>
  <c r="I30" i="8" s="1"/>
  <c r="L30" i="8" s="1"/>
  <c r="N31" i="16" s="1"/>
  <c r="G31" i="8"/>
  <c r="I31" i="8" s="1"/>
  <c r="L31" i="8" s="1"/>
  <c r="N32" i="16" s="1"/>
  <c r="G32" i="8"/>
  <c r="I32" i="8" s="1"/>
  <c r="L32" i="8" s="1"/>
  <c r="N33" i="16" s="1"/>
  <c r="G33" i="8"/>
  <c r="I33" i="8" s="1"/>
  <c r="L33" i="8" s="1"/>
  <c r="N34" i="16" s="1"/>
  <c r="G34" i="8"/>
  <c r="I34" i="8" s="1"/>
  <c r="L34" i="8" s="1"/>
  <c r="N35" i="16" s="1"/>
  <c r="G35" i="8"/>
  <c r="I35" i="8" s="1"/>
  <c r="L35" i="8" s="1"/>
  <c r="N36" i="16" s="1"/>
  <c r="G36" i="8"/>
  <c r="I36" i="8" s="1"/>
  <c r="L36" i="8" s="1"/>
  <c r="N37" i="16" s="1"/>
  <c r="G37" i="8"/>
  <c r="I37" i="8" s="1"/>
  <c r="L37" i="8" s="1"/>
  <c r="N38" i="16" s="1"/>
  <c r="G38" i="8"/>
  <c r="I38" i="8" s="1"/>
  <c r="L38" i="8" s="1"/>
  <c r="N39" i="16" s="1"/>
  <c r="G39" i="8"/>
  <c r="I39" i="8" s="1"/>
  <c r="L39" i="8" s="1"/>
  <c r="N40" i="16" s="1"/>
  <c r="G40" i="8"/>
  <c r="I40" i="8" s="1"/>
  <c r="L40" i="8" s="1"/>
  <c r="N41" i="16" s="1"/>
  <c r="G41" i="8"/>
  <c r="I41" i="8" s="1"/>
  <c r="L41" i="8" s="1"/>
  <c r="N42" i="16" s="1"/>
  <c r="G42" i="8"/>
  <c r="I42" i="8" s="1"/>
  <c r="L42" i="8" s="1"/>
  <c r="N43" i="16" s="1"/>
  <c r="G43" i="8"/>
  <c r="I43" i="8" s="1"/>
  <c r="L43" i="8" s="1"/>
  <c r="N44" i="16" s="1"/>
  <c r="G44" i="8"/>
  <c r="I44" i="8" s="1"/>
  <c r="L44" i="8" s="1"/>
  <c r="N45" i="16" s="1"/>
  <c r="G45" i="8"/>
  <c r="I45" i="8" s="1"/>
  <c r="L45" i="8" s="1"/>
  <c r="N46" i="16" s="1"/>
  <c r="G46" i="8"/>
  <c r="I46" i="8" s="1"/>
  <c r="L46" i="8" s="1"/>
  <c r="N47" i="16" s="1"/>
  <c r="G47" i="8"/>
  <c r="I47" i="8" s="1"/>
  <c r="L47" i="8" s="1"/>
  <c r="N48" i="16" s="1"/>
  <c r="G48" i="8"/>
  <c r="I48" i="8" s="1"/>
  <c r="L48" i="8" s="1"/>
  <c r="N49" i="16" s="1"/>
  <c r="G49" i="8"/>
  <c r="I49" i="8" s="1"/>
  <c r="L49" i="8" s="1"/>
  <c r="N50" i="16" s="1"/>
  <c r="G50" i="8"/>
  <c r="I50" i="8" s="1"/>
  <c r="L50" i="8" s="1"/>
  <c r="N51" i="16" s="1"/>
  <c r="G51" i="8"/>
  <c r="I51" i="8" s="1"/>
  <c r="L51" i="8" s="1"/>
  <c r="N52" i="16" s="1"/>
  <c r="G52" i="8"/>
  <c r="I52" i="8" s="1"/>
  <c r="L52" i="8" s="1"/>
  <c r="N53" i="16" s="1"/>
  <c r="G53" i="8"/>
  <c r="I53" i="8" s="1"/>
  <c r="L53" i="8" s="1"/>
  <c r="N54" i="16" s="1"/>
  <c r="G54" i="8"/>
  <c r="I54" i="8" s="1"/>
  <c r="L54" i="8" s="1"/>
  <c r="N55" i="16" s="1"/>
  <c r="G55" i="8"/>
  <c r="I55" i="8" s="1"/>
  <c r="L55" i="8" s="1"/>
  <c r="N56" i="16" s="1"/>
  <c r="G56" i="8"/>
  <c r="I56" i="8" s="1"/>
  <c r="L56" i="8" s="1"/>
  <c r="N57" i="16" s="1"/>
  <c r="G57" i="8"/>
  <c r="I57" i="8" s="1"/>
  <c r="L57" i="8" s="1"/>
  <c r="N58" i="16" s="1"/>
  <c r="G58" i="8"/>
  <c r="I58" i="8" s="1"/>
  <c r="L58" i="8" s="1"/>
  <c r="N59" i="16" s="1"/>
  <c r="G59" i="8"/>
  <c r="I59" i="8" s="1"/>
  <c r="L59" i="8" s="1"/>
  <c r="N60" i="16" s="1"/>
  <c r="G60" i="8"/>
  <c r="I60" i="8" s="1"/>
  <c r="L60" i="8" s="1"/>
  <c r="N61" i="16" s="1"/>
  <c r="G61" i="8"/>
  <c r="I61" i="8" s="1"/>
  <c r="L61" i="8" s="1"/>
  <c r="N62" i="16" s="1"/>
  <c r="G62" i="8"/>
  <c r="I62" i="8" s="1"/>
  <c r="L62" i="8" s="1"/>
  <c r="N63" i="16" s="1"/>
  <c r="G63" i="8"/>
  <c r="I63" i="8" s="1"/>
  <c r="L63" i="8" s="1"/>
  <c r="N64" i="16" s="1"/>
  <c r="G64" i="8"/>
  <c r="I64" i="8" s="1"/>
  <c r="L64" i="8" s="1"/>
  <c r="N65" i="16" s="1"/>
  <c r="G65" i="8"/>
  <c r="I65" i="8" s="1"/>
  <c r="L65" i="8" s="1"/>
  <c r="N66" i="16" s="1"/>
  <c r="G66" i="8"/>
  <c r="I66" i="8" s="1"/>
  <c r="L66" i="8" s="1"/>
  <c r="N67" i="16" s="1"/>
  <c r="G67" i="8"/>
  <c r="I67" i="8" s="1"/>
  <c r="L67" i="8" s="1"/>
  <c r="N68" i="16" s="1"/>
  <c r="G68" i="8"/>
  <c r="I68" i="8" s="1"/>
  <c r="L68" i="8" s="1"/>
  <c r="N69" i="16" s="1"/>
  <c r="G69" i="8"/>
  <c r="I69" i="8" s="1"/>
  <c r="L69" i="8" s="1"/>
  <c r="N70" i="16" s="1"/>
  <c r="G70" i="8"/>
  <c r="I70" i="8" s="1"/>
  <c r="L70" i="8" s="1"/>
  <c r="N71" i="16" s="1"/>
  <c r="G71" i="8"/>
  <c r="I71" i="8" s="1"/>
  <c r="L71" i="8" s="1"/>
  <c r="N72" i="16" s="1"/>
  <c r="G72" i="8"/>
  <c r="I72" i="8" s="1"/>
  <c r="L72" i="8" s="1"/>
  <c r="N73" i="16" s="1"/>
  <c r="G73" i="8"/>
  <c r="I73" i="8" s="1"/>
  <c r="L73" i="8" s="1"/>
  <c r="N74" i="16" s="1"/>
  <c r="G74" i="8"/>
  <c r="I74" i="8" s="1"/>
  <c r="L74" i="8" s="1"/>
  <c r="N75" i="16" s="1"/>
  <c r="G75" i="8"/>
  <c r="I75" i="8" s="1"/>
  <c r="L75" i="8" s="1"/>
  <c r="N76" i="16" s="1"/>
  <c r="G76" i="8"/>
  <c r="I76" i="8" s="1"/>
  <c r="L76" i="8" s="1"/>
  <c r="N77" i="16" s="1"/>
  <c r="G77" i="8"/>
  <c r="I77" i="8" s="1"/>
  <c r="L77" i="8" s="1"/>
  <c r="N78" i="16" s="1"/>
  <c r="G78" i="8"/>
  <c r="I78" i="8" s="1"/>
  <c r="L78" i="8" s="1"/>
  <c r="N79" i="16" s="1"/>
  <c r="G79" i="8"/>
  <c r="I79" i="8" s="1"/>
  <c r="L79" i="8" s="1"/>
  <c r="N80" i="16" s="1"/>
  <c r="G80" i="8"/>
  <c r="I80" i="8" s="1"/>
  <c r="L80" i="8" s="1"/>
  <c r="N81" i="16" s="1"/>
  <c r="G81" i="8"/>
  <c r="I81" i="8" s="1"/>
  <c r="L81" i="8" s="1"/>
  <c r="N82" i="16" s="1"/>
  <c r="G82" i="8"/>
  <c r="I82" i="8" s="1"/>
  <c r="L82" i="8" s="1"/>
  <c r="N83" i="16" s="1"/>
  <c r="G83" i="8"/>
  <c r="I83" i="8" s="1"/>
  <c r="L83" i="8" s="1"/>
  <c r="N84" i="16" s="1"/>
  <c r="G84" i="8"/>
  <c r="I84" i="8" s="1"/>
  <c r="L84" i="8" s="1"/>
  <c r="N85" i="16" s="1"/>
  <c r="G85" i="8"/>
  <c r="I85" i="8" s="1"/>
  <c r="L85" i="8" s="1"/>
  <c r="N86" i="16" s="1"/>
  <c r="G86" i="8"/>
  <c r="I86" i="8" s="1"/>
  <c r="L86" i="8" s="1"/>
  <c r="N87" i="16" s="1"/>
  <c r="G87" i="8"/>
  <c r="I87" i="8" s="1"/>
  <c r="L87" i="8" s="1"/>
  <c r="N88" i="16" s="1"/>
  <c r="G88" i="8"/>
  <c r="I88" i="8" s="1"/>
  <c r="L88" i="8" s="1"/>
  <c r="N89" i="16" s="1"/>
  <c r="G89" i="8"/>
  <c r="I89" i="8" s="1"/>
  <c r="L89" i="8" s="1"/>
  <c r="N90" i="16" s="1"/>
  <c r="G90" i="8"/>
  <c r="I90" i="8" s="1"/>
  <c r="L90" i="8" s="1"/>
  <c r="N91" i="16" s="1"/>
  <c r="G91" i="8"/>
  <c r="I91" i="8" s="1"/>
  <c r="L91" i="8" s="1"/>
  <c r="N92" i="16" s="1"/>
  <c r="G92" i="8"/>
  <c r="I92" i="8" s="1"/>
  <c r="L92" i="8" s="1"/>
  <c r="N93" i="16" s="1"/>
  <c r="G93" i="8"/>
  <c r="I93" i="8" s="1"/>
  <c r="L93" i="8" s="1"/>
  <c r="N94" i="16" s="1"/>
  <c r="G94" i="8"/>
  <c r="I94" i="8" s="1"/>
  <c r="L94" i="8" s="1"/>
  <c r="N95" i="16" s="1"/>
  <c r="G95" i="8"/>
  <c r="I95" i="8" s="1"/>
  <c r="L95" i="8" s="1"/>
  <c r="N96" i="16" s="1"/>
  <c r="G96" i="8"/>
  <c r="I96" i="8" s="1"/>
  <c r="L96" i="8" s="1"/>
  <c r="N97" i="16" s="1"/>
  <c r="G97" i="8"/>
  <c r="I97" i="8" s="1"/>
  <c r="L97" i="8" s="1"/>
  <c r="N98" i="16" s="1"/>
  <c r="G98" i="8"/>
  <c r="I98" i="8" s="1"/>
  <c r="L98" i="8" s="1"/>
  <c r="N99" i="16" s="1"/>
  <c r="G99" i="8"/>
  <c r="I99" i="8" s="1"/>
  <c r="L99" i="8" s="1"/>
  <c r="N100" i="16" s="1"/>
  <c r="G100" i="8"/>
  <c r="I100" i="8" s="1"/>
  <c r="L100" i="8" s="1"/>
  <c r="N101" i="16" s="1"/>
  <c r="G101" i="8"/>
  <c r="I101" i="8" s="1"/>
  <c r="L101" i="8" s="1"/>
  <c r="N102" i="16" s="1"/>
  <c r="G102" i="8"/>
  <c r="I102" i="8" s="1"/>
  <c r="L102" i="8" s="1"/>
  <c r="N103" i="16" s="1"/>
  <c r="G103" i="8"/>
  <c r="I103" i="8" s="1"/>
  <c r="L103" i="8" s="1"/>
  <c r="N104" i="16" s="1"/>
  <c r="G104" i="8"/>
  <c r="I104" i="8" s="1"/>
  <c r="L104" i="8" s="1"/>
  <c r="N105" i="16" s="1"/>
  <c r="G105" i="8"/>
  <c r="I105" i="8" s="1"/>
  <c r="N106" i="16" s="1"/>
  <c r="G106" i="8"/>
  <c r="I106" i="8" s="1"/>
  <c r="N107" i="16" s="1"/>
  <c r="G107" i="8"/>
  <c r="I107" i="8" s="1"/>
  <c r="N108" i="16" s="1"/>
  <c r="G24" i="8"/>
  <c r="G25" i="16" s="1"/>
  <c r="H24" i="8"/>
  <c r="H25" i="16" s="1"/>
  <c r="D59" i="14"/>
  <c r="F59" i="14"/>
  <c r="H59" i="14"/>
  <c r="J59" i="14"/>
  <c r="L59" i="14"/>
  <c r="N59" i="14"/>
  <c r="B59" i="14"/>
  <c r="D44" i="14"/>
  <c r="F44" i="14"/>
  <c r="H44" i="14"/>
  <c r="J44" i="14"/>
  <c r="L44" i="14"/>
  <c r="N44" i="14"/>
  <c r="B44" i="14"/>
  <c r="D29" i="14"/>
  <c r="F29" i="14"/>
  <c r="H29" i="14"/>
  <c r="J29" i="14"/>
  <c r="L29" i="14"/>
  <c r="N29" i="14"/>
  <c r="B29" i="14"/>
  <c r="I70" i="4"/>
  <c r="I60" i="4"/>
  <c r="G60" i="4"/>
  <c r="O20" i="9"/>
  <c r="M20" i="9"/>
  <c r="K20" i="9"/>
  <c r="I20" i="9"/>
  <c r="G20" i="9"/>
  <c r="E20" i="9"/>
  <c r="C20" i="9"/>
  <c r="S54" i="5"/>
  <c r="S52" i="5"/>
  <c r="S50" i="5"/>
  <c r="S48" i="5"/>
  <c r="S46" i="5"/>
  <c r="Q54" i="5"/>
  <c r="Q52" i="5"/>
  <c r="Q50" i="5"/>
  <c r="Q48" i="5"/>
  <c r="Q46" i="5"/>
  <c r="O54" i="5"/>
  <c r="O52" i="5"/>
  <c r="O50" i="5"/>
  <c r="O48" i="5"/>
  <c r="O46" i="5"/>
  <c r="M54" i="5"/>
  <c r="M52" i="5"/>
  <c r="M50" i="5"/>
  <c r="M48" i="5"/>
  <c r="M46" i="5"/>
  <c r="K54" i="5"/>
  <c r="K52" i="5"/>
  <c r="K50" i="5"/>
  <c r="K48" i="5"/>
  <c r="K46" i="5"/>
  <c r="I54" i="5"/>
  <c r="I52" i="5"/>
  <c r="I50" i="5"/>
  <c r="I48" i="5"/>
  <c r="I46" i="5"/>
  <c r="G54" i="5"/>
  <c r="G52" i="5"/>
  <c r="G50" i="5"/>
  <c r="G48" i="5"/>
  <c r="G46" i="5"/>
  <c r="E52" i="4"/>
  <c r="E62" i="4" s="1"/>
  <c r="E72" i="4" s="1"/>
  <c r="E79" i="4" s="1"/>
  <c r="E98" i="4" s="1"/>
  <c r="G53" i="7"/>
  <c r="G72" i="7"/>
  <c r="G91" i="7"/>
  <c r="G110" i="7"/>
  <c r="G118" i="4"/>
  <c r="G126" i="4"/>
  <c r="G144" i="4"/>
  <c r="I118" i="4"/>
  <c r="I126" i="4"/>
  <c r="I136" i="4"/>
  <c r="I144" i="4"/>
  <c r="K118" i="4"/>
  <c r="K126" i="4"/>
  <c r="K136" i="4"/>
  <c r="K144" i="4"/>
  <c r="K172" i="4"/>
  <c r="M126" i="4"/>
  <c r="M144" i="4"/>
  <c r="M172" i="4"/>
  <c r="O126" i="4"/>
  <c r="O144" i="4"/>
  <c r="O172" i="4"/>
  <c r="Q126" i="4"/>
  <c r="Q144" i="4"/>
  <c r="Q172" i="4"/>
  <c r="S126" i="4"/>
  <c r="S144" i="4"/>
  <c r="G55" i="11"/>
  <c r="K121" i="8"/>
  <c r="W50" i="4"/>
  <c r="W70" i="4"/>
  <c r="W77" i="4"/>
  <c r="W107" i="4"/>
  <c r="W118" i="4"/>
  <c r="W126" i="4"/>
  <c r="W136" i="4"/>
  <c r="W144" i="4"/>
  <c r="W172" i="4"/>
  <c r="S50" i="4"/>
  <c r="S96" i="4" s="1"/>
  <c r="S109" i="4" s="1"/>
  <c r="S60" i="4"/>
  <c r="S70" i="4"/>
  <c r="S77" i="4"/>
  <c r="S94" i="4"/>
  <c r="S107" i="4"/>
  <c r="Q50" i="4"/>
  <c r="Q60" i="4"/>
  <c r="Q70" i="4"/>
  <c r="Q77" i="4"/>
  <c r="Q94" i="4"/>
  <c r="Q107" i="4"/>
  <c r="O50" i="4"/>
  <c r="O60" i="4"/>
  <c r="O70" i="4"/>
  <c r="O77" i="4"/>
  <c r="O94" i="4"/>
  <c r="O107" i="4"/>
  <c r="M50" i="4"/>
  <c r="M60" i="4"/>
  <c r="M70" i="4"/>
  <c r="M77" i="4"/>
  <c r="M94" i="4"/>
  <c r="M107" i="4"/>
  <c r="K50" i="4"/>
  <c r="K60" i="4"/>
  <c r="K70" i="4"/>
  <c r="K77" i="4"/>
  <c r="K94" i="4"/>
  <c r="K107" i="4"/>
  <c r="I50" i="4"/>
  <c r="I96" i="4" s="1"/>
  <c r="I109" i="4" s="1"/>
  <c r="I77" i="4"/>
  <c r="I94" i="4"/>
  <c r="I107" i="4"/>
  <c r="G50" i="4"/>
  <c r="G70" i="4"/>
  <c r="G77" i="4"/>
  <c r="G94" i="4"/>
  <c r="G107" i="4"/>
  <c r="G26" i="5"/>
  <c r="Q41" i="4"/>
  <c r="Q53" i="4" s="1"/>
  <c r="Q63" i="4" s="1"/>
  <c r="Q73" i="4" s="1"/>
  <c r="Q80" i="4" s="1"/>
  <c r="Q99" i="4" s="1"/>
  <c r="Q112" i="4" s="1"/>
  <c r="Q164" i="4" s="1"/>
  <c r="O41" i="4"/>
  <c r="O53" i="4" s="1"/>
  <c r="O63" i="4" s="1"/>
  <c r="O73" i="4" s="1"/>
  <c r="O80" i="4" s="1"/>
  <c r="O99" i="4" s="1"/>
  <c r="O112" i="4" s="1"/>
  <c r="O164" i="4" s="1"/>
  <c r="M41" i="4"/>
  <c r="M53" i="4" s="1"/>
  <c r="M63" i="4" s="1"/>
  <c r="M73" i="4" s="1"/>
  <c r="M80" i="4" s="1"/>
  <c r="M99" i="4" s="1"/>
  <c r="M112" i="4" s="1"/>
  <c r="M164" i="4" s="1"/>
  <c r="K41" i="4"/>
  <c r="K53" i="4" s="1"/>
  <c r="K63" i="4" s="1"/>
  <c r="K73" i="4" s="1"/>
  <c r="K80" i="4" s="1"/>
  <c r="K99" i="4" s="1"/>
  <c r="K112" i="4" s="1"/>
  <c r="K164" i="4" s="1"/>
  <c r="I41" i="4"/>
  <c r="I53" i="4" s="1"/>
  <c r="I63" i="4" s="1"/>
  <c r="I73" i="4" s="1"/>
  <c r="I80" i="4" s="1"/>
  <c r="I99" i="4" s="1"/>
  <c r="I112" i="4" s="1"/>
  <c r="I164" i="4" s="1"/>
  <c r="G41" i="4"/>
  <c r="G53" i="4" s="1"/>
  <c r="G63" i="4" s="1"/>
  <c r="G73" i="4" s="1"/>
  <c r="G80" i="4" s="1"/>
  <c r="G99" i="4" s="1"/>
  <c r="G112" i="4" s="1"/>
  <c r="G164" i="4" s="1"/>
  <c r="S41" i="4"/>
  <c r="S53" i="4" s="1"/>
  <c r="S63" i="4" s="1"/>
  <c r="S73" i="4" s="1"/>
  <c r="S80" i="4" s="1"/>
  <c r="S99" i="4" s="1"/>
  <c r="S112" i="4" s="1"/>
  <c r="I29" i="4"/>
  <c r="I37" i="4" s="1"/>
  <c r="K37" i="4"/>
  <c r="G37" i="4"/>
  <c r="M23" i="5" l="1"/>
  <c r="K24" i="5"/>
  <c r="K33" i="5"/>
  <c r="K26" i="5"/>
  <c r="I24" i="5"/>
  <c r="I33" i="5" s="1"/>
  <c r="AB25" i="20"/>
  <c r="M122" i="16"/>
  <c r="W29" i="4"/>
  <c r="U96" i="4"/>
  <c r="U109" i="4" s="1"/>
  <c r="L23" i="17"/>
  <c r="G96" i="4"/>
  <c r="G109" i="4" s="1"/>
  <c r="I25" i="8"/>
  <c r="L25" i="8" s="1"/>
  <c r="N26" i="16" s="1"/>
  <c r="X44" i="20"/>
  <c r="W40" i="11"/>
  <c r="O24" i="5"/>
  <c r="W162" i="4"/>
  <c r="W174" i="4" s="1"/>
  <c r="W197" i="4" s="1"/>
  <c r="Q96" i="4"/>
  <c r="Q109" i="4" s="1"/>
  <c r="O96" i="4"/>
  <c r="O109" i="4" s="1"/>
  <c r="K96" i="4"/>
  <c r="K109" i="4" s="1"/>
  <c r="M96" i="4"/>
  <c r="M109" i="4" s="1"/>
  <c r="W37" i="4"/>
  <c r="Q162" i="4"/>
  <c r="Q174" i="4" s="1"/>
  <c r="M162" i="4"/>
  <c r="M174" i="4" s="1"/>
  <c r="U162" i="4"/>
  <c r="U174" i="4" s="1"/>
  <c r="U197" i="4" s="1"/>
  <c r="L25" i="17"/>
  <c r="AB29" i="19"/>
  <c r="AB49" i="19"/>
  <c r="X50" i="19" s="1"/>
  <c r="X51" i="19" s="1"/>
  <c r="W94" i="4"/>
  <c r="W96" i="4" s="1"/>
  <c r="W109" i="4" s="1"/>
  <c r="L27" i="17"/>
  <c r="AB29" i="20"/>
  <c r="L29" i="17"/>
  <c r="M27" i="8"/>
  <c r="N27" i="8" s="1"/>
  <c r="J28" i="8"/>
  <c r="G162" i="4"/>
  <c r="G174" i="4" s="1"/>
  <c r="S162" i="4"/>
  <c r="S174" i="4" s="1"/>
  <c r="O162" i="4"/>
  <c r="O174" i="4" s="1"/>
  <c r="K162" i="4"/>
  <c r="K174" i="4" s="1"/>
  <c r="I162" i="4"/>
  <c r="I174" i="4" s="1"/>
  <c r="S181" i="4"/>
  <c r="I181" i="4"/>
  <c r="M181" i="4"/>
  <c r="Q181" i="4"/>
  <c r="G183" i="4"/>
  <c r="K183" i="4"/>
  <c r="O183" i="4"/>
  <c r="S185" i="4"/>
  <c r="G185" i="4"/>
  <c r="I185" i="4"/>
  <c r="K185" i="4"/>
  <c r="M185" i="4"/>
  <c r="O185" i="4"/>
  <c r="Q185" i="4"/>
  <c r="S187" i="4"/>
  <c r="I187" i="4"/>
  <c r="M187" i="4"/>
  <c r="Q187" i="4"/>
  <c r="G189" i="4"/>
  <c r="K189" i="4"/>
  <c r="O189" i="4"/>
  <c r="U181" i="4"/>
  <c r="U185" i="4"/>
  <c r="U187" i="4"/>
  <c r="G181" i="4"/>
  <c r="K181" i="4"/>
  <c r="O181" i="4"/>
  <c r="S183" i="4"/>
  <c r="I183" i="4"/>
  <c r="M183" i="4"/>
  <c r="Q183" i="4"/>
  <c r="S191" i="4"/>
  <c r="N68" i="14" s="1"/>
  <c r="N71" i="14" s="1"/>
  <c r="G191" i="4"/>
  <c r="I191" i="4"/>
  <c r="D68" i="14" s="1"/>
  <c r="D71" i="14" s="1"/>
  <c r="K191" i="4"/>
  <c r="F68" i="14" s="1"/>
  <c r="F71" i="14" s="1"/>
  <c r="M191" i="4"/>
  <c r="H68" i="14" s="1"/>
  <c r="H71" i="14" s="1"/>
  <c r="O191" i="4"/>
  <c r="J68" i="14" s="1"/>
  <c r="J71" i="14" s="1"/>
  <c r="Q191" i="4"/>
  <c r="L68" i="14" s="1"/>
  <c r="L71" i="14" s="1"/>
  <c r="G187" i="4"/>
  <c r="K187" i="4"/>
  <c r="O187" i="4"/>
  <c r="S189" i="4"/>
  <c r="I189" i="4"/>
  <c r="M189" i="4"/>
  <c r="Q189" i="4"/>
  <c r="U183" i="4"/>
  <c r="U191" i="4"/>
  <c r="P68" i="14" s="1"/>
  <c r="P71" i="14" s="1"/>
  <c r="U189" i="4"/>
  <c r="I24" i="8"/>
  <c r="L24" i="8" s="1"/>
  <c r="M25" i="8"/>
  <c r="N25" i="8" s="1"/>
  <c r="G107" i="16"/>
  <c r="G105" i="16"/>
  <c r="G103" i="16"/>
  <c r="G101" i="16"/>
  <c r="G99" i="16"/>
  <c r="G97" i="16"/>
  <c r="G95" i="16"/>
  <c r="G93" i="16"/>
  <c r="G91" i="16"/>
  <c r="G89" i="16"/>
  <c r="G87" i="16"/>
  <c r="G85" i="16"/>
  <c r="G83" i="16"/>
  <c r="G81" i="16"/>
  <c r="G79" i="16"/>
  <c r="G77" i="16"/>
  <c r="G75" i="16"/>
  <c r="G73" i="16"/>
  <c r="G71" i="16"/>
  <c r="G69" i="16"/>
  <c r="G67" i="16"/>
  <c r="G65" i="16"/>
  <c r="G63" i="16"/>
  <c r="G61" i="16"/>
  <c r="G59" i="16"/>
  <c r="G57" i="16"/>
  <c r="G55" i="16"/>
  <c r="G53" i="16"/>
  <c r="G51" i="16"/>
  <c r="G49" i="16"/>
  <c r="G47" i="16"/>
  <c r="G45" i="16"/>
  <c r="G43" i="16"/>
  <c r="G41" i="16"/>
  <c r="G39" i="16"/>
  <c r="G37" i="16"/>
  <c r="G35" i="16"/>
  <c r="G33" i="16"/>
  <c r="G31" i="16"/>
  <c r="G29" i="16"/>
  <c r="G27" i="16"/>
  <c r="U28" i="6"/>
  <c r="O26" i="16"/>
  <c r="M26" i="16"/>
  <c r="J27" i="16" s="1"/>
  <c r="S23" i="5"/>
  <c r="Q24" i="5"/>
  <c r="M26" i="8"/>
  <c r="N26" i="8" s="1"/>
  <c r="G108" i="16"/>
  <c r="G106" i="16"/>
  <c r="G104" i="16"/>
  <c r="G102" i="16"/>
  <c r="G100" i="16"/>
  <c r="G98" i="16"/>
  <c r="G96" i="16"/>
  <c r="G94" i="16"/>
  <c r="G92" i="16"/>
  <c r="G90" i="16"/>
  <c r="G88" i="16"/>
  <c r="G86" i="16"/>
  <c r="G84" i="16"/>
  <c r="G82" i="16"/>
  <c r="G80" i="16"/>
  <c r="G78" i="16"/>
  <c r="G76" i="16"/>
  <c r="G74" i="16"/>
  <c r="G72" i="16"/>
  <c r="G70" i="16"/>
  <c r="G68" i="16"/>
  <c r="G66" i="16"/>
  <c r="G64" i="16"/>
  <c r="G62" i="16"/>
  <c r="G60" i="16"/>
  <c r="G58" i="16"/>
  <c r="G56" i="16"/>
  <c r="G54" i="16"/>
  <c r="G52" i="16"/>
  <c r="G50" i="16"/>
  <c r="G48" i="16"/>
  <c r="G46" i="16"/>
  <c r="G44" i="16"/>
  <c r="G42" i="16"/>
  <c r="G40" i="16"/>
  <c r="G38" i="16"/>
  <c r="G36" i="16"/>
  <c r="G34" i="16"/>
  <c r="G32" i="16"/>
  <c r="G30" i="16"/>
  <c r="G28" i="16"/>
  <c r="I119" i="8"/>
  <c r="L119" i="8" s="1"/>
  <c r="N120" i="16" s="1"/>
  <c r="I117" i="8"/>
  <c r="L117" i="8" s="1"/>
  <c r="N118" i="16" s="1"/>
  <c r="I115" i="8"/>
  <c r="L115" i="8" s="1"/>
  <c r="N116" i="16" s="1"/>
  <c r="I113" i="8"/>
  <c r="L113" i="8" s="1"/>
  <c r="N114" i="16" s="1"/>
  <c r="I111" i="8"/>
  <c r="N112" i="16" s="1"/>
  <c r="I109" i="8"/>
  <c r="N110" i="16" s="1"/>
  <c r="I118" i="8"/>
  <c r="L118" i="8" s="1"/>
  <c r="N119" i="16" s="1"/>
  <c r="I116" i="8"/>
  <c r="L116" i="8" s="1"/>
  <c r="N117" i="16" s="1"/>
  <c r="I114" i="8"/>
  <c r="L114" i="8" s="1"/>
  <c r="N115" i="16" s="1"/>
  <c r="I112" i="8"/>
  <c r="L112" i="8" s="1"/>
  <c r="N113" i="16" s="1"/>
  <c r="I110" i="8"/>
  <c r="N111" i="16" s="1"/>
  <c r="I108" i="8"/>
  <c r="N109" i="16" s="1"/>
  <c r="M24" i="5" l="1"/>
  <c r="M33" i="5" s="1"/>
  <c r="M26" i="5"/>
  <c r="I26" i="5"/>
  <c r="T50" i="19"/>
  <c r="T51" i="19" s="1"/>
  <c r="V50" i="19"/>
  <c r="V51" i="19" s="1"/>
  <c r="L30" i="17"/>
  <c r="O33" i="5"/>
  <c r="O26" i="5"/>
  <c r="M28" i="6"/>
  <c r="M197" i="4"/>
  <c r="Q28" i="6"/>
  <c r="Q197" i="4"/>
  <c r="U23" i="5"/>
  <c r="S24" i="5"/>
  <c r="S33" i="5" s="1"/>
  <c r="U50" i="6"/>
  <c r="U30" i="6"/>
  <c r="U99" i="7"/>
  <c r="P54" i="14"/>
  <c r="U42" i="7"/>
  <c r="P38" i="14"/>
  <c r="M99" i="7"/>
  <c r="H54" i="14"/>
  <c r="S99" i="7"/>
  <c r="N54" i="14"/>
  <c r="K80" i="7"/>
  <c r="F53" i="14"/>
  <c r="M42" i="7"/>
  <c r="H38" i="14"/>
  <c r="S42" i="7"/>
  <c r="N38" i="14"/>
  <c r="K23" i="7"/>
  <c r="K193" i="4"/>
  <c r="K194" i="4" s="1"/>
  <c r="U80" i="7"/>
  <c r="P53" i="14"/>
  <c r="P57" i="14" s="1"/>
  <c r="U23" i="7"/>
  <c r="U193" i="4"/>
  <c r="U194" i="4" s="1"/>
  <c r="K99" i="7"/>
  <c r="F54" i="14"/>
  <c r="Q80" i="7"/>
  <c r="L53" i="14"/>
  <c r="I80" i="7"/>
  <c r="D53" i="14"/>
  <c r="Q61" i="7"/>
  <c r="L39" i="14"/>
  <c r="M61" i="7"/>
  <c r="H39" i="14"/>
  <c r="I61" i="7"/>
  <c r="D39" i="14"/>
  <c r="S61" i="7"/>
  <c r="N39" i="14"/>
  <c r="K42" i="7"/>
  <c r="F38" i="14"/>
  <c r="Q23" i="7"/>
  <c r="Q193" i="4"/>
  <c r="Q194" i="4" s="1"/>
  <c r="I23" i="7"/>
  <c r="I193" i="4"/>
  <c r="I194" i="4" s="1"/>
  <c r="I28" i="6"/>
  <c r="I197" i="4"/>
  <c r="O28" i="6"/>
  <c r="O197" i="4"/>
  <c r="Q33" i="5"/>
  <c r="Q26" i="5"/>
  <c r="O27" i="16"/>
  <c r="M27" i="16"/>
  <c r="J28" i="16" s="1"/>
  <c r="G31" i="4"/>
  <c r="I31" i="4" s="1"/>
  <c r="K31" i="4" s="1"/>
  <c r="M31" i="4" s="1"/>
  <c r="O31" i="4" s="1"/>
  <c r="Q31" i="4" s="1"/>
  <c r="S31" i="4" s="1"/>
  <c r="U31" i="4" s="1"/>
  <c r="W31" i="4"/>
  <c r="M24" i="8"/>
  <c r="N25" i="16"/>
  <c r="O25" i="16" s="1"/>
  <c r="Q99" i="7"/>
  <c r="L54" i="14"/>
  <c r="I99" i="7"/>
  <c r="D54" i="14"/>
  <c r="O80" i="7"/>
  <c r="J53" i="14"/>
  <c r="G80" i="7"/>
  <c r="B53" i="14"/>
  <c r="W187" i="4"/>
  <c r="B68" i="14"/>
  <c r="W191" i="4"/>
  <c r="Q42" i="7"/>
  <c r="L38" i="14"/>
  <c r="I42" i="7"/>
  <c r="D38" i="14"/>
  <c r="O23" i="7"/>
  <c r="O193" i="4"/>
  <c r="O194" i="4" s="1"/>
  <c r="G23" i="7"/>
  <c r="G193" i="4"/>
  <c r="G194" i="4" s="1"/>
  <c r="W181" i="4"/>
  <c r="U61" i="7"/>
  <c r="P39" i="14"/>
  <c r="O99" i="7"/>
  <c r="J54" i="14"/>
  <c r="G99" i="7"/>
  <c r="B54" i="14"/>
  <c r="W189" i="4"/>
  <c r="M80" i="7"/>
  <c r="H53" i="14"/>
  <c r="S80" i="7"/>
  <c r="N53" i="14"/>
  <c r="O61" i="7"/>
  <c r="J39" i="14"/>
  <c r="K61" i="7"/>
  <c r="F39" i="14"/>
  <c r="G61" i="7"/>
  <c r="B39" i="14"/>
  <c r="W185" i="4"/>
  <c r="O42" i="7"/>
  <c r="J38" i="14"/>
  <c r="G42" i="7"/>
  <c r="B38" i="14"/>
  <c r="W183" i="4"/>
  <c r="M23" i="7"/>
  <c r="M193" i="4"/>
  <c r="M194" i="4" s="1"/>
  <c r="S23" i="7"/>
  <c r="S193" i="4"/>
  <c r="S194" i="4" s="1"/>
  <c r="K28" i="6"/>
  <c r="K197" i="4"/>
  <c r="S28" i="6"/>
  <c r="S197" i="4"/>
  <c r="G28" i="6"/>
  <c r="G197" i="4"/>
  <c r="M28" i="8"/>
  <c r="N28" i="8" s="1"/>
  <c r="J29" i="8"/>
  <c r="N57" i="14" l="1"/>
  <c r="P25" i="16"/>
  <c r="P26" i="16" s="1"/>
  <c r="P27" i="16" s="1"/>
  <c r="H57" i="14"/>
  <c r="D42" i="14"/>
  <c r="L42" i="14"/>
  <c r="J42" i="14"/>
  <c r="S26" i="5"/>
  <c r="Q50" i="6"/>
  <c r="Q30" i="6"/>
  <c r="M30" i="6"/>
  <c r="M50" i="6"/>
  <c r="K30" i="6"/>
  <c r="K50" i="6"/>
  <c r="G67" i="7"/>
  <c r="G63" i="7"/>
  <c r="G29" i="7"/>
  <c r="G25" i="7"/>
  <c r="B24" i="14"/>
  <c r="B71" i="14"/>
  <c r="B72" i="14" s="1"/>
  <c r="B75" i="14" s="1"/>
  <c r="C27" i="9" s="1"/>
  <c r="B70" i="14"/>
  <c r="G44" i="7"/>
  <c r="G48" i="7"/>
  <c r="G105" i="7"/>
  <c r="G101" i="7"/>
  <c r="G82" i="7"/>
  <c r="G86" i="7"/>
  <c r="O28" i="16"/>
  <c r="M28" i="16"/>
  <c r="J29" i="16" s="1"/>
  <c r="F42" i="14"/>
  <c r="D57" i="14"/>
  <c r="L57" i="14"/>
  <c r="N42" i="14"/>
  <c r="H42" i="14"/>
  <c r="F57" i="14"/>
  <c r="P42" i="14"/>
  <c r="U24" i="5"/>
  <c r="U33" i="5" s="1"/>
  <c r="J30" i="8"/>
  <c r="M29" i="8"/>
  <c r="N29" i="8" s="1"/>
  <c r="G30" i="6"/>
  <c r="G50" i="6"/>
  <c r="S30" i="6"/>
  <c r="S50" i="6"/>
  <c r="N24" i="14"/>
  <c r="N27" i="14" s="1"/>
  <c r="H24" i="14"/>
  <c r="H27" i="14" s="1"/>
  <c r="B42" i="14"/>
  <c r="B43" i="14" s="1"/>
  <c r="B46" i="14" s="1"/>
  <c r="C26" i="9" s="1"/>
  <c r="B41" i="14"/>
  <c r="W193" i="4"/>
  <c r="W194" i="4" s="1"/>
  <c r="J24" i="14"/>
  <c r="J27" i="14" s="1"/>
  <c r="B57" i="14"/>
  <c r="B58" i="14" s="1"/>
  <c r="B61" i="14" s="1"/>
  <c r="C28" i="9" s="1"/>
  <c r="B56" i="14"/>
  <c r="J57" i="14"/>
  <c r="N24" i="8"/>
  <c r="O30" i="6"/>
  <c r="O50" i="6"/>
  <c r="I30" i="6"/>
  <c r="I50" i="6"/>
  <c r="D24" i="14"/>
  <c r="D27" i="14" s="1"/>
  <c r="L24" i="14"/>
  <c r="L27" i="14" s="1"/>
  <c r="P24" i="14"/>
  <c r="P27" i="14" s="1"/>
  <c r="F24" i="14"/>
  <c r="F27" i="14" s="1"/>
  <c r="U63" i="6"/>
  <c r="Q32" i="20"/>
  <c r="D30" i="17"/>
  <c r="Z34" i="20" l="1"/>
  <c r="X34" i="20"/>
  <c r="V34" i="20"/>
  <c r="T34" i="20"/>
  <c r="U26" i="5"/>
  <c r="M63" i="6"/>
  <c r="D26" i="17"/>
  <c r="I32" i="19"/>
  <c r="I32" i="20"/>
  <c r="Q63" i="6"/>
  <c r="D28" i="17"/>
  <c r="M32" i="19"/>
  <c r="M32" i="20"/>
  <c r="P28" i="16"/>
  <c r="G88" i="7"/>
  <c r="I85" i="7" s="1"/>
  <c r="G56" i="6"/>
  <c r="I98" i="7"/>
  <c r="I41" i="7"/>
  <c r="B27" i="14"/>
  <c r="B28" i="14" s="1"/>
  <c r="B31" i="14" s="1"/>
  <c r="C25" i="9" s="1"/>
  <c r="B26" i="14"/>
  <c r="G31" i="7"/>
  <c r="I28" i="7" s="1"/>
  <c r="G53" i="6"/>
  <c r="G69" i="7"/>
  <c r="I66" i="7" s="1"/>
  <c r="G55" i="6"/>
  <c r="G32" i="19"/>
  <c r="K63" i="6"/>
  <c r="G32" i="20"/>
  <c r="D25" i="17"/>
  <c r="E32" i="19"/>
  <c r="I63" i="6"/>
  <c r="E32" i="20"/>
  <c r="D24" i="17"/>
  <c r="K32" i="19"/>
  <c r="O63" i="6"/>
  <c r="K32" i="20"/>
  <c r="D27" i="17"/>
  <c r="D52" i="14"/>
  <c r="D56" i="14" s="1"/>
  <c r="B62" i="14"/>
  <c r="D37" i="14"/>
  <c r="B47" i="14"/>
  <c r="O32" i="19"/>
  <c r="S63" i="6"/>
  <c r="O32" i="20"/>
  <c r="D29" i="17"/>
  <c r="C32" i="19"/>
  <c r="G63" i="6"/>
  <c r="C32" i="20"/>
  <c r="D23" i="17"/>
  <c r="J31" i="8"/>
  <c r="M30" i="8"/>
  <c r="O29" i="16"/>
  <c r="M29" i="16"/>
  <c r="J30" i="16" s="1"/>
  <c r="I79" i="7"/>
  <c r="G107" i="7"/>
  <c r="I104" i="7" s="1"/>
  <c r="G57" i="6"/>
  <c r="G50" i="7"/>
  <c r="I47" i="7" s="1"/>
  <c r="G54" i="6"/>
  <c r="D67" i="14"/>
  <c r="B76" i="14"/>
  <c r="I22" i="7"/>
  <c r="I60" i="7"/>
  <c r="P29" i="16" l="1"/>
  <c r="D58" i="14"/>
  <c r="D61" i="14" s="1"/>
  <c r="E28" i="9" s="1"/>
  <c r="Q34" i="20"/>
  <c r="G35" i="7"/>
  <c r="I34" i="7" s="1"/>
  <c r="G92" i="7"/>
  <c r="I91" i="7" s="1"/>
  <c r="I63" i="7"/>
  <c r="I67" i="7"/>
  <c r="I55" i="6" s="1"/>
  <c r="O30" i="16"/>
  <c r="M30" i="16"/>
  <c r="J31" i="16" s="1"/>
  <c r="G73" i="7"/>
  <c r="D70" i="14"/>
  <c r="D72" i="14"/>
  <c r="D75" i="14" s="1"/>
  <c r="E27" i="9" s="1"/>
  <c r="C39" i="9"/>
  <c r="N30" i="8"/>
  <c r="J32" i="8"/>
  <c r="M31" i="8"/>
  <c r="D41" i="14"/>
  <c r="D43" i="14"/>
  <c r="D46" i="14" s="1"/>
  <c r="E26" i="9" s="1"/>
  <c r="G58" i="6"/>
  <c r="D23" i="14"/>
  <c r="B32" i="14"/>
  <c r="I44" i="7"/>
  <c r="I48" i="7"/>
  <c r="I54" i="6" s="1"/>
  <c r="I101" i="7"/>
  <c r="I105" i="7"/>
  <c r="I57" i="6" s="1"/>
  <c r="I25" i="7"/>
  <c r="I29" i="7"/>
  <c r="I53" i="6" s="1"/>
  <c r="I82" i="7"/>
  <c r="I86" i="7"/>
  <c r="I56" i="6" s="1"/>
  <c r="G54" i="7"/>
  <c r="G111" i="7"/>
  <c r="D62" i="14" l="1"/>
  <c r="F52" i="14"/>
  <c r="F56" i="14" s="1"/>
  <c r="P30" i="16"/>
  <c r="I31" i="7"/>
  <c r="K28" i="7" s="1"/>
  <c r="C36" i="9"/>
  <c r="I69" i="7"/>
  <c r="K66" i="7" s="1"/>
  <c r="G93" i="7"/>
  <c r="G23" i="6" s="1"/>
  <c r="G36" i="7"/>
  <c r="G20" i="6" s="1"/>
  <c r="I88" i="7"/>
  <c r="K85" i="7" s="1"/>
  <c r="I107" i="7"/>
  <c r="K104" i="7" s="1"/>
  <c r="K79" i="7"/>
  <c r="K98" i="7"/>
  <c r="I53" i="7"/>
  <c r="C37" i="9"/>
  <c r="G55" i="7"/>
  <c r="G21" i="6" s="1"/>
  <c r="I58" i="6"/>
  <c r="C28" i="19"/>
  <c r="G64" i="6"/>
  <c r="C24" i="9" s="1"/>
  <c r="C28" i="20"/>
  <c r="F23" i="17"/>
  <c r="H23" i="17" s="1"/>
  <c r="F37" i="14"/>
  <c r="D47" i="14"/>
  <c r="N31" i="8"/>
  <c r="J33" i="8"/>
  <c r="M32" i="8"/>
  <c r="I50" i="7"/>
  <c r="K47" i="7" s="1"/>
  <c r="F67" i="14"/>
  <c r="D76" i="14"/>
  <c r="I72" i="7"/>
  <c r="C38" i="9"/>
  <c r="G74" i="7"/>
  <c r="G22" i="6" s="1"/>
  <c r="O31" i="16"/>
  <c r="M31" i="16"/>
  <c r="J32" i="16" s="1"/>
  <c r="I110" i="7"/>
  <c r="C40" i="9"/>
  <c r="G112" i="7"/>
  <c r="G24" i="6" s="1"/>
  <c r="K22" i="7"/>
  <c r="K41" i="7"/>
  <c r="D26" i="14"/>
  <c r="D28" i="14"/>
  <c r="D31" i="14" s="1"/>
  <c r="E25" i="9" s="1"/>
  <c r="K60" i="7"/>
  <c r="F58" i="14" l="1"/>
  <c r="F61" i="14" s="1"/>
  <c r="G28" i="9" s="1"/>
  <c r="I35" i="7"/>
  <c r="I36" i="7" s="1"/>
  <c r="I20" i="6" s="1"/>
  <c r="I73" i="7"/>
  <c r="K72" i="7" s="1"/>
  <c r="I54" i="7"/>
  <c r="E37" i="9" s="1"/>
  <c r="P31" i="16"/>
  <c r="I111" i="7"/>
  <c r="I112" i="7" s="1"/>
  <c r="I24" i="6" s="1"/>
  <c r="G25" i="6"/>
  <c r="G32" i="6" s="1"/>
  <c r="G36" i="6" s="1"/>
  <c r="C41" i="9"/>
  <c r="C43" i="9" s="1"/>
  <c r="C47" i="9" s="1"/>
  <c r="C51" i="9" s="1"/>
  <c r="C58" i="9" s="1"/>
  <c r="I92" i="7"/>
  <c r="I93" i="7" s="1"/>
  <c r="I23" i="6" s="1"/>
  <c r="F23" i="14"/>
  <c r="D32" i="14"/>
  <c r="K25" i="7"/>
  <c r="K29" i="7"/>
  <c r="F70" i="14"/>
  <c r="F72" i="14"/>
  <c r="F75" i="14" s="1"/>
  <c r="G27" i="9" s="1"/>
  <c r="F41" i="14"/>
  <c r="F43" i="14"/>
  <c r="F46" i="14" s="1"/>
  <c r="G26" i="9" s="1"/>
  <c r="H52" i="14"/>
  <c r="C29" i="19"/>
  <c r="C30" i="19" s="1"/>
  <c r="K101" i="7"/>
  <c r="K105" i="7"/>
  <c r="K82" i="7"/>
  <c r="K86" i="7"/>
  <c r="G37" i="6"/>
  <c r="G44" i="6" s="1"/>
  <c r="K53" i="7"/>
  <c r="I74" i="7"/>
  <c r="I22" i="6" s="1"/>
  <c r="N32" i="8"/>
  <c r="J34" i="8"/>
  <c r="M33" i="8"/>
  <c r="N33" i="8" s="1"/>
  <c r="J23" i="17"/>
  <c r="N23" i="17" s="1"/>
  <c r="I64" i="6"/>
  <c r="E24" i="9" s="1"/>
  <c r="E28" i="19"/>
  <c r="E28" i="20"/>
  <c r="F24" i="17"/>
  <c r="H24" i="17" s="1"/>
  <c r="K63" i="7"/>
  <c r="K67" i="7"/>
  <c r="K44" i="7"/>
  <c r="K48" i="7"/>
  <c r="K54" i="6" s="1"/>
  <c r="O32" i="16"/>
  <c r="M32" i="16"/>
  <c r="J33" i="16" s="1"/>
  <c r="C29" i="20"/>
  <c r="C30" i="20" s="1"/>
  <c r="K110" i="7" l="1"/>
  <c r="E36" i="9"/>
  <c r="K34" i="7"/>
  <c r="F62" i="14"/>
  <c r="E38" i="9"/>
  <c r="E40" i="9"/>
  <c r="I55" i="7"/>
  <c r="I21" i="6" s="1"/>
  <c r="I25" i="6" s="1"/>
  <c r="I32" i="6" s="1"/>
  <c r="P32" i="16"/>
  <c r="E39" i="9"/>
  <c r="G39" i="6"/>
  <c r="G46" i="6" s="1"/>
  <c r="K91" i="7"/>
  <c r="G38" i="6"/>
  <c r="G45" i="6" s="1"/>
  <c r="K50" i="7"/>
  <c r="M47" i="7" s="1"/>
  <c r="J24" i="17"/>
  <c r="N24" i="17" s="1"/>
  <c r="M60" i="7"/>
  <c r="O33" i="16"/>
  <c r="M33" i="16"/>
  <c r="J34" i="16" s="1"/>
  <c r="K55" i="6"/>
  <c r="K69" i="7"/>
  <c r="M66" i="7" s="1"/>
  <c r="E29" i="20"/>
  <c r="E30" i="20" s="1"/>
  <c r="G43" i="6"/>
  <c r="K56" i="6"/>
  <c r="K88" i="7"/>
  <c r="M85" i="7" s="1"/>
  <c r="K57" i="6"/>
  <c r="K107" i="7"/>
  <c r="M104" i="7" s="1"/>
  <c r="K53" i="6"/>
  <c r="K31" i="7"/>
  <c r="M28" i="7" s="1"/>
  <c r="M41" i="7"/>
  <c r="E29" i="19"/>
  <c r="E30" i="19" s="1"/>
  <c r="J35" i="8"/>
  <c r="M34" i="8"/>
  <c r="N34" i="8" s="1"/>
  <c r="M79" i="7"/>
  <c r="M98" i="7"/>
  <c r="H56" i="14"/>
  <c r="H58" i="14"/>
  <c r="H61" i="14" s="1"/>
  <c r="I28" i="9" s="1"/>
  <c r="H37" i="14"/>
  <c r="F47" i="14"/>
  <c r="H67" i="14"/>
  <c r="F76" i="14"/>
  <c r="M22" i="7"/>
  <c r="F26" i="14"/>
  <c r="F28" i="14"/>
  <c r="F31" i="14" s="1"/>
  <c r="G25" i="9" s="1"/>
  <c r="E41" i="9" l="1"/>
  <c r="E43" i="9" s="1"/>
  <c r="E47" i="9" s="1"/>
  <c r="E51" i="9" s="1"/>
  <c r="E58" i="9" s="1"/>
  <c r="I37" i="6"/>
  <c r="I44" i="6" s="1"/>
  <c r="I36" i="6"/>
  <c r="I43" i="6" s="1"/>
  <c r="P33" i="16"/>
  <c r="G40" i="6"/>
  <c r="G41" i="6" s="1"/>
  <c r="K73" i="7"/>
  <c r="K74" i="7" s="1"/>
  <c r="K22" i="6" s="1"/>
  <c r="K54" i="7"/>
  <c r="K55" i="7" s="1"/>
  <c r="K21" i="6" s="1"/>
  <c r="I38" i="6"/>
  <c r="I45" i="6" s="1"/>
  <c r="K35" i="7"/>
  <c r="K36" i="7" s="1"/>
  <c r="K20" i="6" s="1"/>
  <c r="I39" i="6"/>
  <c r="I46" i="6" s="1"/>
  <c r="H23" i="14"/>
  <c r="F32" i="14"/>
  <c r="H70" i="14"/>
  <c r="H72" i="14"/>
  <c r="H75" i="14" s="1"/>
  <c r="I27" i="9" s="1"/>
  <c r="H41" i="14"/>
  <c r="H43" i="14"/>
  <c r="H46" i="14" s="1"/>
  <c r="I26" i="9" s="1"/>
  <c r="J36" i="8"/>
  <c r="M35" i="8"/>
  <c r="N35" i="8" s="1"/>
  <c r="M44" i="7"/>
  <c r="M48" i="7"/>
  <c r="M25" i="7"/>
  <c r="M29" i="7"/>
  <c r="M53" i="6" s="1"/>
  <c r="K111" i="7"/>
  <c r="K92" i="7"/>
  <c r="K58" i="6"/>
  <c r="G47" i="6"/>
  <c r="G65" i="6"/>
  <c r="O34" i="16"/>
  <c r="M34" i="16"/>
  <c r="J35" i="16" s="1"/>
  <c r="M63" i="7"/>
  <c r="M67" i="7"/>
  <c r="M55" i="6" s="1"/>
  <c r="J52" i="14"/>
  <c r="H62" i="14"/>
  <c r="M101" i="7"/>
  <c r="M57" i="6"/>
  <c r="M82" i="7"/>
  <c r="M86" i="7"/>
  <c r="M56" i="6" s="1"/>
  <c r="M53" i="7" l="1"/>
  <c r="P34" i="16"/>
  <c r="M72" i="7"/>
  <c r="I40" i="6"/>
  <c r="I41" i="6" s="1"/>
  <c r="G38" i="9"/>
  <c r="M31" i="7"/>
  <c r="O28" i="7" s="1"/>
  <c r="G37" i="9"/>
  <c r="G36" i="9"/>
  <c r="M34" i="7"/>
  <c r="O98" i="7"/>
  <c r="J56" i="14"/>
  <c r="J58" i="14"/>
  <c r="J61" i="14" s="1"/>
  <c r="K28" i="9" s="1"/>
  <c r="G28" i="19"/>
  <c r="G33" i="19" s="1"/>
  <c r="G34" i="19" s="1"/>
  <c r="K64" i="6"/>
  <c r="G24" i="9" s="1"/>
  <c r="G28" i="20"/>
  <c r="F25" i="17"/>
  <c r="H25" i="17" s="1"/>
  <c r="I47" i="6"/>
  <c r="I65" i="6"/>
  <c r="O35" i="16"/>
  <c r="M35" i="16"/>
  <c r="J36" i="16" s="1"/>
  <c r="M69" i="7"/>
  <c r="O66" i="7" s="1"/>
  <c r="C26" i="19"/>
  <c r="G60" i="6"/>
  <c r="C26" i="20"/>
  <c r="M110" i="7"/>
  <c r="G40" i="9"/>
  <c r="K112" i="7"/>
  <c r="K24" i="6" s="1"/>
  <c r="O22" i="7"/>
  <c r="M107" i="7"/>
  <c r="O104" i="7" s="1"/>
  <c r="O41" i="7"/>
  <c r="G42" i="11"/>
  <c r="O35" i="8"/>
  <c r="O79" i="7"/>
  <c r="O60" i="7"/>
  <c r="M91" i="7"/>
  <c r="G39" i="9"/>
  <c r="K93" i="7"/>
  <c r="K23" i="6" s="1"/>
  <c r="M88" i="7"/>
  <c r="O85" i="7" s="1"/>
  <c r="M54" i="6"/>
  <c r="M58" i="6" s="1"/>
  <c r="M50" i="7"/>
  <c r="O47" i="7" s="1"/>
  <c r="J37" i="8"/>
  <c r="M36" i="8"/>
  <c r="N36" i="8" s="1"/>
  <c r="J37" i="14"/>
  <c r="H47" i="14"/>
  <c r="J67" i="14"/>
  <c r="H76" i="14"/>
  <c r="H26" i="14"/>
  <c r="H28" i="14"/>
  <c r="H31" i="14" s="1"/>
  <c r="I25" i="9" s="1"/>
  <c r="M73" i="7" l="1"/>
  <c r="I38" i="9" s="1"/>
  <c r="P35" i="16"/>
  <c r="M35" i="7"/>
  <c r="M36" i="7" s="1"/>
  <c r="M20" i="6" s="1"/>
  <c r="G41" i="9"/>
  <c r="G43" i="9" s="1"/>
  <c r="G47" i="9" s="1"/>
  <c r="G51" i="9" s="1"/>
  <c r="G58" i="9" s="1"/>
  <c r="K25" i="6"/>
  <c r="K32" i="6" s="1"/>
  <c r="K36" i="6" s="1"/>
  <c r="M54" i="7"/>
  <c r="M55" i="7" s="1"/>
  <c r="M21" i="6" s="1"/>
  <c r="M92" i="7"/>
  <c r="M93" i="7" s="1"/>
  <c r="M23" i="6" s="1"/>
  <c r="I28" i="19"/>
  <c r="M64" i="6"/>
  <c r="I24" i="9" s="1"/>
  <c r="I28" i="20"/>
  <c r="F26" i="17"/>
  <c r="H26" i="17" s="1"/>
  <c r="J38" i="8"/>
  <c r="M37" i="8"/>
  <c r="N37" i="8" s="1"/>
  <c r="O25" i="7"/>
  <c r="O29" i="7"/>
  <c r="J23" i="14"/>
  <c r="H32" i="14"/>
  <c r="J70" i="14"/>
  <c r="J72" i="14"/>
  <c r="J75" i="14" s="1"/>
  <c r="K27" i="9" s="1"/>
  <c r="J41" i="14"/>
  <c r="J43" i="14"/>
  <c r="J46" i="14" s="1"/>
  <c r="K26" i="9" s="1"/>
  <c r="O72" i="7"/>
  <c r="O82" i="7"/>
  <c r="O86" i="7"/>
  <c r="O56" i="6" s="1"/>
  <c r="O44" i="7"/>
  <c r="O48" i="7"/>
  <c r="O54" i="6" s="1"/>
  <c r="G66" i="6"/>
  <c r="C23" i="9" s="1"/>
  <c r="C29" i="9" s="1"/>
  <c r="C33" i="9" s="1"/>
  <c r="C50" i="9" s="1"/>
  <c r="M74" i="7"/>
  <c r="M22" i="6" s="1"/>
  <c r="E26" i="19"/>
  <c r="I60" i="6"/>
  <c r="E26" i="20"/>
  <c r="G29" i="20"/>
  <c r="G30" i="20" s="1"/>
  <c r="G29" i="19"/>
  <c r="G30" i="19" s="1"/>
  <c r="L52" i="14"/>
  <c r="J62" i="14"/>
  <c r="O101" i="7"/>
  <c r="O57" i="6"/>
  <c r="O63" i="7"/>
  <c r="O55" i="6"/>
  <c r="O36" i="16"/>
  <c r="M36" i="16"/>
  <c r="J37" i="16" s="1"/>
  <c r="J25" i="17"/>
  <c r="N25" i="17" s="1"/>
  <c r="M111" i="7"/>
  <c r="P36" i="16" l="1"/>
  <c r="G35" i="11"/>
  <c r="K37" i="6"/>
  <c r="K44" i="6" s="1"/>
  <c r="I39" i="9"/>
  <c r="I36" i="9"/>
  <c r="O34" i="7"/>
  <c r="O91" i="7"/>
  <c r="K39" i="6"/>
  <c r="K46" i="6" s="1"/>
  <c r="I37" i="9"/>
  <c r="K38" i="6"/>
  <c r="K45" i="6" s="1"/>
  <c r="O53" i="7"/>
  <c r="O110" i="7"/>
  <c r="I40" i="9"/>
  <c r="C57" i="9"/>
  <c r="C59" i="9" s="1"/>
  <c r="G68" i="6" s="1"/>
  <c r="C52" i="9"/>
  <c r="J26" i="17"/>
  <c r="N26" i="17" s="1"/>
  <c r="M37" i="16"/>
  <c r="J38" i="16" s="1"/>
  <c r="O37" i="16"/>
  <c r="O107" i="7"/>
  <c r="Q104" i="7" s="1"/>
  <c r="Q60" i="7"/>
  <c r="Q98" i="7"/>
  <c r="L56" i="14"/>
  <c r="L58" i="14"/>
  <c r="L61" i="14" s="1"/>
  <c r="M28" i="9" s="1"/>
  <c r="I66" i="6"/>
  <c r="E23" i="9" s="1"/>
  <c r="E29" i="9" s="1"/>
  <c r="E33" i="9" s="1"/>
  <c r="E50" i="9" s="1"/>
  <c r="M112" i="7"/>
  <c r="M24" i="6" s="1"/>
  <c r="M25" i="6" s="1"/>
  <c r="M32" i="6" s="1"/>
  <c r="Q41" i="7"/>
  <c r="Q79" i="7"/>
  <c r="K43" i="6"/>
  <c r="O50" i="7"/>
  <c r="Q47" i="7" s="1"/>
  <c r="L37" i="14"/>
  <c r="J47" i="14"/>
  <c r="L67" i="14"/>
  <c r="J76" i="14"/>
  <c r="J26" i="14"/>
  <c r="J28" i="14"/>
  <c r="J31" i="14" s="1"/>
  <c r="K25" i="9" s="1"/>
  <c r="O53" i="6"/>
  <c r="O58" i="6" s="1"/>
  <c r="O31" i="7"/>
  <c r="Q28" i="7" s="1"/>
  <c r="O69" i="7"/>
  <c r="Q66" i="7" s="1"/>
  <c r="O88" i="7"/>
  <c r="Q85" i="7" s="1"/>
  <c r="Q22" i="7"/>
  <c r="J39" i="8"/>
  <c r="M38" i="8"/>
  <c r="P37" i="16" l="1"/>
  <c r="G32" i="11"/>
  <c r="O35" i="7"/>
  <c r="Q34" i="7" s="1"/>
  <c r="K40" i="6"/>
  <c r="K41" i="6" s="1"/>
  <c r="I41" i="9"/>
  <c r="I43" i="9" s="1"/>
  <c r="I47" i="9" s="1"/>
  <c r="I51" i="9" s="1"/>
  <c r="I58" i="9" s="1"/>
  <c r="O111" i="7"/>
  <c r="O92" i="7"/>
  <c r="O93" i="7" s="1"/>
  <c r="O23" i="6" s="1"/>
  <c r="K47" i="6"/>
  <c r="K65" i="6"/>
  <c r="O54" i="7"/>
  <c r="M36" i="6"/>
  <c r="M37" i="6"/>
  <c r="M44" i="6" s="1"/>
  <c r="M38" i="6"/>
  <c r="M45" i="6" s="1"/>
  <c r="M39" i="6"/>
  <c r="M46" i="6" s="1"/>
  <c r="N52" i="14"/>
  <c r="L62" i="14"/>
  <c r="O73" i="7"/>
  <c r="N38" i="8"/>
  <c r="J40" i="8"/>
  <c r="M39" i="8"/>
  <c r="N39" i="8" s="1"/>
  <c r="Q25" i="7"/>
  <c r="Q29" i="7"/>
  <c r="Q53" i="6" s="1"/>
  <c r="K28" i="19"/>
  <c r="O64" i="6"/>
  <c r="K24" i="9" s="1"/>
  <c r="K28" i="20"/>
  <c r="F27" i="17"/>
  <c r="H27" i="17" s="1"/>
  <c r="L23" i="14"/>
  <c r="J32" i="14"/>
  <c r="L70" i="14"/>
  <c r="L72" i="14"/>
  <c r="L75" i="14" s="1"/>
  <c r="M27" i="9" s="1"/>
  <c r="L41" i="14"/>
  <c r="L43" i="14"/>
  <c r="L46" i="14" s="1"/>
  <c r="M26" i="9" s="1"/>
  <c r="Q82" i="7"/>
  <c r="Q86" i="7"/>
  <c r="Q56" i="6" s="1"/>
  <c r="Q44" i="7"/>
  <c r="Q48" i="7"/>
  <c r="Q54" i="6" s="1"/>
  <c r="Q101" i="7"/>
  <c r="Q57" i="6"/>
  <c r="Q63" i="7"/>
  <c r="Q55" i="6"/>
  <c r="E57" i="9"/>
  <c r="E59" i="9" s="1"/>
  <c r="I68" i="6" s="1"/>
  <c r="E52" i="9"/>
  <c r="Q110" i="7"/>
  <c r="K40" i="9"/>
  <c r="O38" i="16"/>
  <c r="M38" i="16"/>
  <c r="J39" i="16" s="1"/>
  <c r="C40" i="19"/>
  <c r="C40" i="20"/>
  <c r="G70" i="6"/>
  <c r="G30" i="11" s="1"/>
  <c r="O112" i="7"/>
  <c r="O24" i="6" s="1"/>
  <c r="C33" i="19" l="1"/>
  <c r="C34" i="19" s="1"/>
  <c r="C33" i="20"/>
  <c r="C34" i="20" s="1"/>
  <c r="P38" i="16"/>
  <c r="Q107" i="7"/>
  <c r="S104" i="7" s="1"/>
  <c r="Q31" i="7"/>
  <c r="S28" i="7" s="1"/>
  <c r="K36" i="9"/>
  <c r="O36" i="7"/>
  <c r="O20" i="6" s="1"/>
  <c r="K39" i="9"/>
  <c r="Q91" i="7"/>
  <c r="Q50" i="7"/>
  <c r="S47" i="7" s="1"/>
  <c r="M39" i="16"/>
  <c r="J40" i="16" s="1"/>
  <c r="O39" i="16"/>
  <c r="E40" i="19"/>
  <c r="E40" i="20"/>
  <c r="I70" i="6"/>
  <c r="I30" i="11" s="1"/>
  <c r="S79" i="7"/>
  <c r="N67" i="14"/>
  <c r="L76" i="14"/>
  <c r="G44" i="11"/>
  <c r="Q69" i="7"/>
  <c r="S66" i="7" s="1"/>
  <c r="S60" i="7"/>
  <c r="S98" i="7"/>
  <c r="J27" i="17"/>
  <c r="N27" i="17" s="1"/>
  <c r="Q88" i="7"/>
  <c r="S85" i="7" s="1"/>
  <c r="S22" i="7"/>
  <c r="Q53" i="7"/>
  <c r="K37" i="9"/>
  <c r="O55" i="7"/>
  <c r="O21" i="6" s="1"/>
  <c r="G26" i="19"/>
  <c r="K60" i="6"/>
  <c r="G26" i="20"/>
  <c r="S41" i="7"/>
  <c r="N37" i="14"/>
  <c r="L47" i="14"/>
  <c r="L26" i="14"/>
  <c r="L28" i="14"/>
  <c r="L31" i="14" s="1"/>
  <c r="M25" i="9" s="1"/>
  <c r="Q58" i="6"/>
  <c r="J41" i="8"/>
  <c r="M40" i="8"/>
  <c r="N40" i="8" s="1"/>
  <c r="Q72" i="7"/>
  <c r="K38" i="9"/>
  <c r="O74" i="7"/>
  <c r="O22" i="6" s="1"/>
  <c r="N56" i="14"/>
  <c r="N58" i="14"/>
  <c r="N61" i="14" s="1"/>
  <c r="O28" i="9" s="1"/>
  <c r="M43" i="6"/>
  <c r="M40" i="6"/>
  <c r="M41" i="6" s="1"/>
  <c r="Q111" i="7" l="1"/>
  <c r="Q112" i="7" s="1"/>
  <c r="Q24" i="6" s="1"/>
  <c r="P39" i="16"/>
  <c r="Q35" i="7"/>
  <c r="Q36" i="7" s="1"/>
  <c r="Q20" i="6" s="1"/>
  <c r="Q54" i="7"/>
  <c r="Q55" i="7" s="1"/>
  <c r="Q21" i="6" s="1"/>
  <c r="K41" i="9"/>
  <c r="K43" i="9" s="1"/>
  <c r="K47" i="9" s="1"/>
  <c r="K51" i="9" s="1"/>
  <c r="K58" i="9" s="1"/>
  <c r="O25" i="6"/>
  <c r="O32" i="6" s="1"/>
  <c r="O37" i="6" s="1"/>
  <c r="O44" i="6" s="1"/>
  <c r="P52" i="14"/>
  <c r="N62" i="14"/>
  <c r="J42" i="8"/>
  <c r="M41" i="8"/>
  <c r="N41" i="8" s="1"/>
  <c r="S44" i="7"/>
  <c r="S48" i="7"/>
  <c r="K66" i="6"/>
  <c r="G23" i="9" s="1"/>
  <c r="G29" i="9" s="1"/>
  <c r="G33" i="9" s="1"/>
  <c r="G50" i="9" s="1"/>
  <c r="M28" i="19"/>
  <c r="Q64" i="6"/>
  <c r="M24" i="9" s="1"/>
  <c r="M28" i="20"/>
  <c r="F28" i="17"/>
  <c r="H28" i="17" s="1"/>
  <c r="N23" i="14"/>
  <c r="L32" i="14"/>
  <c r="N41" i="14"/>
  <c r="N43" i="14"/>
  <c r="N46" i="14" s="1"/>
  <c r="O26" i="9" s="1"/>
  <c r="S25" i="7"/>
  <c r="S29" i="7"/>
  <c r="Q73" i="7"/>
  <c r="Q74" i="7" s="1"/>
  <c r="Q22" i="6" s="1"/>
  <c r="N70" i="14"/>
  <c r="N72" i="14"/>
  <c r="N75" i="14" s="1"/>
  <c r="O27" i="9" s="1"/>
  <c r="Q92" i="7"/>
  <c r="O40" i="16"/>
  <c r="M40" i="16"/>
  <c r="J41" i="16" s="1"/>
  <c r="M47" i="6"/>
  <c r="M65" i="6"/>
  <c r="S101" i="7"/>
  <c r="S63" i="7"/>
  <c r="S55" i="6"/>
  <c r="S82" i="7"/>
  <c r="S86" i="7"/>
  <c r="S56" i="6" s="1"/>
  <c r="M40" i="9" l="1"/>
  <c r="S110" i="7"/>
  <c r="P40" i="16"/>
  <c r="M36" i="9"/>
  <c r="S34" i="7"/>
  <c r="M37" i="9"/>
  <c r="O36" i="6"/>
  <c r="O43" i="6" s="1"/>
  <c r="S53" i="7"/>
  <c r="O38" i="6"/>
  <c r="O45" i="6" s="1"/>
  <c r="O39" i="6"/>
  <c r="O46" i="6" s="1"/>
  <c r="U79" i="7"/>
  <c r="S57" i="6"/>
  <c r="S107" i="7"/>
  <c r="U104" i="7" s="1"/>
  <c r="I26" i="19"/>
  <c r="M60" i="6"/>
  <c r="I26" i="20"/>
  <c r="S91" i="7"/>
  <c r="M39" i="9"/>
  <c r="Q93" i="7"/>
  <c r="Q23" i="6" s="1"/>
  <c r="Q25" i="6" s="1"/>
  <c r="Q32" i="6" s="1"/>
  <c r="P67" i="14"/>
  <c r="N76" i="14"/>
  <c r="P37" i="14"/>
  <c r="N47" i="14"/>
  <c r="S69" i="7"/>
  <c r="U66" i="7" s="1"/>
  <c r="U60" i="7"/>
  <c r="U98" i="7"/>
  <c r="M41" i="16"/>
  <c r="J42" i="16" s="1"/>
  <c r="O41" i="16"/>
  <c r="S72" i="7"/>
  <c r="M38" i="9"/>
  <c r="S88" i="7"/>
  <c r="U85" i="7" s="1"/>
  <c r="U22" i="7"/>
  <c r="J28" i="17"/>
  <c r="N28" i="17" s="1"/>
  <c r="S54" i="6"/>
  <c r="S50" i="7"/>
  <c r="U47" i="7" s="1"/>
  <c r="J43" i="8"/>
  <c r="M42" i="8"/>
  <c r="N42" i="8" s="1"/>
  <c r="P56" i="14"/>
  <c r="P58" i="14"/>
  <c r="P61" i="14" s="1"/>
  <c r="Q28" i="9" s="1"/>
  <c r="S53" i="6"/>
  <c r="S31" i="7"/>
  <c r="U28" i="7" s="1"/>
  <c r="N26" i="14"/>
  <c r="N28" i="14"/>
  <c r="N31" i="14" s="1"/>
  <c r="O25" i="9" s="1"/>
  <c r="G57" i="9"/>
  <c r="G59" i="9" s="1"/>
  <c r="K68" i="6" s="1"/>
  <c r="G52" i="9"/>
  <c r="U41" i="7"/>
  <c r="M41" i="9" l="1"/>
  <c r="M43" i="9" s="1"/>
  <c r="M47" i="9" s="1"/>
  <c r="M51" i="9" s="1"/>
  <c r="M58" i="9" s="1"/>
  <c r="P41" i="16"/>
  <c r="S54" i="7"/>
  <c r="S55" i="7" s="1"/>
  <c r="S21" i="6" s="1"/>
  <c r="O40" i="6"/>
  <c r="O41" i="6" s="1"/>
  <c r="P62" i="14"/>
  <c r="S111" i="7"/>
  <c r="S112" i="7" s="1"/>
  <c r="S24" i="6" s="1"/>
  <c r="S92" i="7"/>
  <c r="S93" i="7" s="1"/>
  <c r="S23" i="6" s="1"/>
  <c r="S58" i="6"/>
  <c r="S64" i="6" s="1"/>
  <c r="O24" i="9" s="1"/>
  <c r="G40" i="19"/>
  <c r="G40" i="20"/>
  <c r="K70" i="6"/>
  <c r="K30" i="11" s="1"/>
  <c r="O47" i="6"/>
  <c r="O65" i="6"/>
  <c r="O42" i="16"/>
  <c r="P42" i="16" s="1"/>
  <c r="M42" i="16"/>
  <c r="J43" i="16" s="1"/>
  <c r="U44" i="7"/>
  <c r="U48" i="7"/>
  <c r="U54" i="6" s="1"/>
  <c r="J44" i="8"/>
  <c r="M43" i="8"/>
  <c r="N43" i="8" s="1"/>
  <c r="N32" i="17"/>
  <c r="U25" i="7"/>
  <c r="U29" i="7"/>
  <c r="U53" i="6" s="1"/>
  <c r="S73" i="7"/>
  <c r="S74" i="7" s="1"/>
  <c r="S22" i="6" s="1"/>
  <c r="Q36" i="6"/>
  <c r="Q37" i="6"/>
  <c r="Q44" i="6" s="1"/>
  <c r="Q38" i="6"/>
  <c r="Q45" i="6" s="1"/>
  <c r="Q39" i="6"/>
  <c r="Q46" i="6" s="1"/>
  <c r="M66" i="6"/>
  <c r="I23" i="9" s="1"/>
  <c r="I29" i="9" s="1"/>
  <c r="I33" i="9" s="1"/>
  <c r="I50" i="9" s="1"/>
  <c r="U82" i="7"/>
  <c r="U86" i="7"/>
  <c r="U56" i="6" s="1"/>
  <c r="U53" i="7"/>
  <c r="P23" i="14"/>
  <c r="N32" i="14"/>
  <c r="S35" i="7"/>
  <c r="U101" i="7"/>
  <c r="U57" i="6"/>
  <c r="U63" i="7"/>
  <c r="U55" i="6"/>
  <c r="P41" i="14"/>
  <c r="P43" i="14"/>
  <c r="P46" i="14" s="1"/>
  <c r="Q26" i="9" s="1"/>
  <c r="P70" i="14"/>
  <c r="P72" i="14"/>
  <c r="P75" i="14" s="1"/>
  <c r="Q27" i="9" s="1"/>
  <c r="O28" i="19" l="1"/>
  <c r="O37" i="9"/>
  <c r="U110" i="7"/>
  <c r="O39" i="9"/>
  <c r="U50" i="7"/>
  <c r="U54" i="7" s="1"/>
  <c r="Q37" i="9" s="1"/>
  <c r="O40" i="9"/>
  <c r="O28" i="20"/>
  <c r="U91" i="7"/>
  <c r="U69" i="7"/>
  <c r="U31" i="7"/>
  <c r="U35" i="7" s="1"/>
  <c r="Q36" i="9" s="1"/>
  <c r="U88" i="7"/>
  <c r="U92" i="7" s="1"/>
  <c r="Q39" i="9" s="1"/>
  <c r="F29" i="17"/>
  <c r="H29" i="17" s="1"/>
  <c r="J29" i="17" s="1"/>
  <c r="N29" i="17" s="1"/>
  <c r="P76" i="14"/>
  <c r="P47" i="14"/>
  <c r="U107" i="7"/>
  <c r="U111" i="7" s="1"/>
  <c r="Q40" i="9" s="1"/>
  <c r="I57" i="9"/>
  <c r="I59" i="9" s="1"/>
  <c r="M68" i="6" s="1"/>
  <c r="I52" i="9"/>
  <c r="U72" i="7"/>
  <c r="O38" i="9"/>
  <c r="U58" i="6"/>
  <c r="M43" i="16"/>
  <c r="J44" i="16" s="1"/>
  <c r="O43" i="16"/>
  <c r="P43" i="16" s="1"/>
  <c r="U73" i="7"/>
  <c r="Q38" i="9" s="1"/>
  <c r="U34" i="7"/>
  <c r="O36" i="9"/>
  <c r="S36" i="7"/>
  <c r="S20" i="6" s="1"/>
  <c r="S25" i="6" s="1"/>
  <c r="S32" i="6" s="1"/>
  <c r="P26" i="14"/>
  <c r="P28" i="14"/>
  <c r="P31" i="14" s="1"/>
  <c r="Q25" i="9" s="1"/>
  <c r="Q43" i="6"/>
  <c r="Q40" i="6"/>
  <c r="Q41" i="6" s="1"/>
  <c r="J45" i="8"/>
  <c r="M44" i="8"/>
  <c r="N44" i="8" s="1"/>
  <c r="K26" i="19"/>
  <c r="O60" i="6"/>
  <c r="K26" i="20"/>
  <c r="O41" i="9" l="1"/>
  <c r="O43" i="9" s="1"/>
  <c r="O47" i="9" s="1"/>
  <c r="O51" i="9" s="1"/>
  <c r="O58" i="9" s="1"/>
  <c r="U93" i="7"/>
  <c r="U23" i="6" s="1"/>
  <c r="U36" i="7"/>
  <c r="U20" i="6" s="1"/>
  <c r="U112" i="7"/>
  <c r="U24" i="6" s="1"/>
  <c r="S36" i="6"/>
  <c r="S37" i="6"/>
  <c r="S44" i="6" s="1"/>
  <c r="S38" i="6"/>
  <c r="S45" i="6" s="1"/>
  <c r="S39" i="6"/>
  <c r="S46" i="6" s="1"/>
  <c r="O44" i="16"/>
  <c r="P44" i="16" s="1"/>
  <c r="M44" i="16"/>
  <c r="J45" i="16" s="1"/>
  <c r="O66" i="6"/>
  <c r="K23" i="9" s="1"/>
  <c r="K29" i="9" s="1"/>
  <c r="K33" i="9" s="1"/>
  <c r="K50" i="9" s="1"/>
  <c r="Q41" i="9"/>
  <c r="Q43" i="9" s="1"/>
  <c r="Q47" i="9" s="1"/>
  <c r="Q51" i="9" s="1"/>
  <c r="Q58" i="9" s="1"/>
  <c r="Q47" i="6"/>
  <c r="Q65" i="6"/>
  <c r="P32" i="14"/>
  <c r="N33" i="17"/>
  <c r="Q30" i="20"/>
  <c r="U64" i="6"/>
  <c r="Q24" i="9" s="1"/>
  <c r="F30" i="17"/>
  <c r="H30" i="17" s="1"/>
  <c r="J30" i="17" s="1"/>
  <c r="N30" i="17" s="1"/>
  <c r="N34" i="17" s="1"/>
  <c r="J46" i="8"/>
  <c r="M45" i="8"/>
  <c r="N45" i="8" s="1"/>
  <c r="U74" i="7"/>
  <c r="U22" i="6" s="1"/>
  <c r="I40" i="19"/>
  <c r="I40" i="20"/>
  <c r="M70" i="6"/>
  <c r="M30" i="11" s="1"/>
  <c r="U55" i="7"/>
  <c r="U21" i="6" s="1"/>
  <c r="U25" i="6" l="1"/>
  <c r="U32" i="6" s="1"/>
  <c r="U36" i="6" s="1"/>
  <c r="M45" i="16"/>
  <c r="J46" i="16" s="1"/>
  <c r="O45" i="16"/>
  <c r="P45" i="16" s="1"/>
  <c r="V30" i="20"/>
  <c r="Z30" i="20"/>
  <c r="T30" i="20"/>
  <c r="X30" i="20"/>
  <c r="K57" i="9"/>
  <c r="K59" i="9" s="1"/>
  <c r="O68" i="6" s="1"/>
  <c r="K52" i="9"/>
  <c r="S43" i="6"/>
  <c r="S40" i="6"/>
  <c r="S41" i="6" s="1"/>
  <c r="J47" i="8"/>
  <c r="M46" i="8"/>
  <c r="N46" i="8" s="1"/>
  <c r="M26" i="19"/>
  <c r="Q60" i="6"/>
  <c r="M26" i="20"/>
  <c r="U39" i="6" l="1"/>
  <c r="U46" i="6" s="1"/>
  <c r="U37" i="6"/>
  <c r="U44" i="6" s="1"/>
  <c r="U38" i="6"/>
  <c r="U45" i="6" s="1"/>
  <c r="M47" i="8"/>
  <c r="N47" i="8" s="1"/>
  <c r="J48" i="8"/>
  <c r="S47" i="6"/>
  <c r="S65" i="6"/>
  <c r="Q66" i="6"/>
  <c r="M23" i="9" s="1"/>
  <c r="M29" i="9" s="1"/>
  <c r="M33" i="9" s="1"/>
  <c r="M50" i="9" s="1"/>
  <c r="K40" i="19"/>
  <c r="K40" i="20"/>
  <c r="O70" i="6"/>
  <c r="O30" i="11" s="1"/>
  <c r="O46" i="16"/>
  <c r="P46" i="16" s="1"/>
  <c r="M46" i="16"/>
  <c r="J47" i="16" s="1"/>
  <c r="U43" i="6"/>
  <c r="U40" i="6" l="1"/>
  <c r="U41" i="6" s="1"/>
  <c r="M47" i="16"/>
  <c r="J48" i="16" s="1"/>
  <c r="O47" i="16"/>
  <c r="P47" i="16" s="1"/>
  <c r="M57" i="9"/>
  <c r="M59" i="9" s="1"/>
  <c r="Q68" i="6" s="1"/>
  <c r="M52" i="9"/>
  <c r="O47" i="8"/>
  <c r="I42" i="11"/>
  <c r="U65" i="6"/>
  <c r="U47" i="6"/>
  <c r="O26" i="19"/>
  <c r="Q26" i="19" s="1"/>
  <c r="S60" i="6"/>
  <c r="O26" i="20"/>
  <c r="M48" i="8"/>
  <c r="N48" i="8" s="1"/>
  <c r="J49" i="8"/>
  <c r="S66" i="6" l="1"/>
  <c r="O23" i="9" s="1"/>
  <c r="O29" i="9" s="1"/>
  <c r="O33" i="9" s="1"/>
  <c r="O50" i="9" s="1"/>
  <c r="O48" i="16"/>
  <c r="M48" i="16"/>
  <c r="J49" i="16" s="1"/>
  <c r="M49" i="8"/>
  <c r="N49" i="8" s="1"/>
  <c r="J50" i="8"/>
  <c r="V26" i="19"/>
  <c r="X26" i="19"/>
  <c r="T26" i="19"/>
  <c r="Z26" i="19"/>
  <c r="M40" i="19"/>
  <c r="M40" i="20"/>
  <c r="Q70" i="6"/>
  <c r="Q30" i="11" s="1"/>
  <c r="Q26" i="20"/>
  <c r="U60" i="6"/>
  <c r="P48" i="16" l="1"/>
  <c r="I35" i="11"/>
  <c r="U66" i="6"/>
  <c r="Q23" i="9" s="1"/>
  <c r="Q29" i="9" s="1"/>
  <c r="Q33" i="9" s="1"/>
  <c r="Q50" i="9" s="1"/>
  <c r="M50" i="8"/>
  <c r="J51" i="8"/>
  <c r="O49" i="16"/>
  <c r="M49" i="16"/>
  <c r="J50" i="16" s="1"/>
  <c r="O57" i="9"/>
  <c r="O59" i="9" s="1"/>
  <c r="S68" i="6" s="1"/>
  <c r="O52" i="9"/>
  <c r="Q36" i="20"/>
  <c r="T26" i="20"/>
  <c r="T36" i="20" s="1"/>
  <c r="X26" i="20"/>
  <c r="X36" i="20" s="1"/>
  <c r="V26" i="20"/>
  <c r="V36" i="20" s="1"/>
  <c r="Z26" i="20"/>
  <c r="Z36" i="20" s="1"/>
  <c r="Z38" i="20" s="1"/>
  <c r="P49" i="16" l="1"/>
  <c r="I32" i="11"/>
  <c r="X38" i="20"/>
  <c r="T38" i="20"/>
  <c r="AB36" i="20"/>
  <c r="O40" i="19"/>
  <c r="Q40" i="19" s="1"/>
  <c r="O40" i="20"/>
  <c r="S70" i="6"/>
  <c r="S30" i="11" s="1"/>
  <c r="M51" i="8"/>
  <c r="N51" i="8" s="1"/>
  <c r="J52" i="8"/>
  <c r="Q57" i="9"/>
  <c r="Q59" i="9" s="1"/>
  <c r="U68" i="6" s="1"/>
  <c r="Q52" i="9"/>
  <c r="V38" i="20"/>
  <c r="M50" i="16"/>
  <c r="J51" i="16" s="1"/>
  <c r="O50" i="16"/>
  <c r="N50" i="8"/>
  <c r="P50" i="16" l="1"/>
  <c r="E33" i="19"/>
  <c r="E34" i="19" s="1"/>
  <c r="E33" i="20"/>
  <c r="E34" i="20" s="1"/>
  <c r="I44" i="11"/>
  <c r="O51" i="16"/>
  <c r="P51" i="16" s="1"/>
  <c r="M51" i="16"/>
  <c r="J52" i="16" s="1"/>
  <c r="Q40" i="20"/>
  <c r="U70" i="6"/>
  <c r="U30" i="11" s="1"/>
  <c r="W30" i="11"/>
  <c r="AB38" i="20"/>
  <c r="M52" i="8"/>
  <c r="N52" i="8" s="1"/>
  <c r="J53" i="8"/>
  <c r="G73" i="11" l="1"/>
  <c r="G75" i="11" s="1"/>
  <c r="G77" i="11" s="1"/>
  <c r="I75" i="11" s="1"/>
  <c r="M52" i="16"/>
  <c r="J53" i="16" s="1"/>
  <c r="O52" i="16"/>
  <c r="M53" i="8"/>
  <c r="N53" i="8" s="1"/>
  <c r="J54" i="8"/>
  <c r="T40" i="20"/>
  <c r="T42" i="20" s="1"/>
  <c r="T52" i="20" s="1"/>
  <c r="T54" i="20" s="1"/>
  <c r="X40" i="20"/>
  <c r="X42" i="20" s="1"/>
  <c r="V40" i="20"/>
  <c r="V42" i="20" s="1"/>
  <c r="V52" i="20" s="1"/>
  <c r="V54" i="20" s="1"/>
  <c r="Z40" i="20"/>
  <c r="Z42" i="20" s="1"/>
  <c r="Q42" i="20"/>
  <c r="P52" i="16" l="1"/>
  <c r="Q44" i="20"/>
  <c r="Q54" i="20"/>
  <c r="Q56" i="20" s="1"/>
  <c r="T43" i="20"/>
  <c r="T44" i="20" s="1"/>
  <c r="X43" i="20"/>
  <c r="V43" i="20"/>
  <c r="V44" i="20" s="1"/>
  <c r="Z43" i="20"/>
  <c r="O53" i="16"/>
  <c r="M53" i="16"/>
  <c r="J54" i="16" s="1"/>
  <c r="M54" i="8"/>
  <c r="N54" i="8" s="1"/>
  <c r="J55" i="8"/>
  <c r="P53" i="16" l="1"/>
  <c r="Z45" i="20"/>
  <c r="X45" i="20"/>
  <c r="T45" i="20"/>
  <c r="V45" i="20"/>
  <c r="M55" i="8"/>
  <c r="N55" i="8" s="1"/>
  <c r="J56" i="8"/>
  <c r="M54" i="16"/>
  <c r="J55" i="16" s="1"/>
  <c r="O54" i="16"/>
  <c r="P54" i="16" l="1"/>
  <c r="O55" i="16"/>
  <c r="M55" i="16"/>
  <c r="J56" i="16" s="1"/>
  <c r="M56" i="8"/>
  <c r="N56" i="8" s="1"/>
  <c r="J57" i="8"/>
  <c r="P55" i="16" l="1"/>
  <c r="M57" i="8"/>
  <c r="N57" i="8" s="1"/>
  <c r="J58" i="8"/>
  <c r="M56" i="16"/>
  <c r="J57" i="16" s="1"/>
  <c r="O56" i="16"/>
  <c r="P56" i="16" l="1"/>
  <c r="O57" i="16"/>
  <c r="M57" i="16"/>
  <c r="J58" i="16" s="1"/>
  <c r="M58" i="8"/>
  <c r="N58" i="8" s="1"/>
  <c r="J59" i="8"/>
  <c r="P57" i="16" l="1"/>
  <c r="M59" i="8"/>
  <c r="N59" i="8" s="1"/>
  <c r="J60" i="8"/>
  <c r="M58" i="16"/>
  <c r="J59" i="16" s="1"/>
  <c r="O58" i="16"/>
  <c r="P58" i="16" l="1"/>
  <c r="K42" i="11"/>
  <c r="O59" i="8"/>
  <c r="O59" i="16"/>
  <c r="M59" i="16"/>
  <c r="J60" i="16" s="1"/>
  <c r="M60" i="8"/>
  <c r="N60" i="8" s="1"/>
  <c r="J61" i="8"/>
  <c r="P59" i="16" l="1"/>
  <c r="M61" i="8"/>
  <c r="N61" i="8" s="1"/>
  <c r="J62" i="8"/>
  <c r="O60" i="16"/>
  <c r="M60" i="16"/>
  <c r="J61" i="16" s="1"/>
  <c r="P60" i="16" l="1"/>
  <c r="K35" i="11"/>
  <c r="M62" i="8"/>
  <c r="N62" i="8" s="1"/>
  <c r="J63" i="8"/>
  <c r="M61" i="16"/>
  <c r="J62" i="16" s="1"/>
  <c r="O61" i="16"/>
  <c r="P61" i="16" l="1"/>
  <c r="K32" i="11"/>
  <c r="O62" i="16"/>
  <c r="P62" i="16" s="1"/>
  <c r="M62" i="16"/>
  <c r="J63" i="16" s="1"/>
  <c r="M63" i="8"/>
  <c r="N63" i="8" s="1"/>
  <c r="J64" i="8"/>
  <c r="G33" i="20" l="1"/>
  <c r="G34" i="20" s="1"/>
  <c r="K44" i="11"/>
  <c r="M64" i="8"/>
  <c r="N64" i="8" s="1"/>
  <c r="J65" i="8"/>
  <c r="M63" i="16"/>
  <c r="J64" i="16" s="1"/>
  <c r="O63" i="16"/>
  <c r="P63" i="16" s="1"/>
  <c r="O64" i="16" l="1"/>
  <c r="P64" i="16" s="1"/>
  <c r="M64" i="16"/>
  <c r="J65" i="16" s="1"/>
  <c r="M65" i="8"/>
  <c r="N65" i="8" s="1"/>
  <c r="J66" i="8"/>
  <c r="M66" i="8" l="1"/>
  <c r="N66" i="8" s="1"/>
  <c r="J67" i="8"/>
  <c r="M65" i="16"/>
  <c r="J66" i="16" s="1"/>
  <c r="O65" i="16"/>
  <c r="P65" i="16" l="1"/>
  <c r="O66" i="16"/>
  <c r="M66" i="16"/>
  <c r="J67" i="16" s="1"/>
  <c r="M67" i="8"/>
  <c r="N67" i="8" s="1"/>
  <c r="J68" i="8"/>
  <c r="P66" i="16" l="1"/>
  <c r="M68" i="8"/>
  <c r="N68" i="8" s="1"/>
  <c r="J69" i="8"/>
  <c r="M67" i="16"/>
  <c r="J68" i="16" s="1"/>
  <c r="O67" i="16"/>
  <c r="P67" i="16" l="1"/>
  <c r="O68" i="16"/>
  <c r="M68" i="16"/>
  <c r="J69" i="16" s="1"/>
  <c r="M69" i="8"/>
  <c r="N69" i="8" s="1"/>
  <c r="J70" i="8"/>
  <c r="P68" i="16" l="1"/>
  <c r="M70" i="8"/>
  <c r="N70" i="8" s="1"/>
  <c r="J71" i="8"/>
  <c r="M69" i="16"/>
  <c r="J70" i="16" s="1"/>
  <c r="O69" i="16"/>
  <c r="P69" i="16" l="1"/>
  <c r="O70" i="16"/>
  <c r="M70" i="16"/>
  <c r="J71" i="16" s="1"/>
  <c r="M71" i="8"/>
  <c r="N71" i="8" s="1"/>
  <c r="J72" i="8"/>
  <c r="P70" i="16" l="1"/>
  <c r="M72" i="8"/>
  <c r="N72" i="8" s="1"/>
  <c r="J73" i="8"/>
  <c r="M71" i="16"/>
  <c r="J72" i="16" s="1"/>
  <c r="O71" i="16"/>
  <c r="O71" i="8"/>
  <c r="M42" i="11"/>
  <c r="P71" i="16" l="1"/>
  <c r="O72" i="16"/>
  <c r="M72" i="16"/>
  <c r="J73" i="16" s="1"/>
  <c r="M73" i="8"/>
  <c r="N73" i="8" s="1"/>
  <c r="J74" i="8"/>
  <c r="P72" i="16" l="1"/>
  <c r="M35" i="11"/>
  <c r="M74" i="8"/>
  <c r="N74" i="8" s="1"/>
  <c r="J75" i="8"/>
  <c r="O73" i="16"/>
  <c r="M73" i="16"/>
  <c r="J74" i="16" s="1"/>
  <c r="P73" i="16" l="1"/>
  <c r="M32" i="11"/>
  <c r="M74" i="16"/>
  <c r="J75" i="16" s="1"/>
  <c r="O74" i="16"/>
  <c r="M75" i="8"/>
  <c r="N75" i="8" s="1"/>
  <c r="J76" i="8"/>
  <c r="I33" i="19" l="1"/>
  <c r="I34" i="19" s="1"/>
  <c r="I29" i="19"/>
  <c r="I30" i="19" s="1"/>
  <c r="I29" i="20"/>
  <c r="I30" i="20" s="1"/>
  <c r="I33" i="20"/>
  <c r="I34" i="20" s="1"/>
  <c r="M44" i="11"/>
  <c r="P74" i="16"/>
  <c r="M76" i="8"/>
  <c r="N76" i="8" s="1"/>
  <c r="J77" i="8"/>
  <c r="O75" i="16"/>
  <c r="M75" i="16"/>
  <c r="J76" i="16" s="1"/>
  <c r="P75" i="16" l="1"/>
  <c r="M76" i="16"/>
  <c r="J77" i="16" s="1"/>
  <c r="O76" i="16"/>
  <c r="M77" i="8"/>
  <c r="N77" i="8" s="1"/>
  <c r="J78" i="8"/>
  <c r="P76" i="16" l="1"/>
  <c r="O77" i="16"/>
  <c r="M77" i="16"/>
  <c r="J78" i="16" s="1"/>
  <c r="M78" i="8"/>
  <c r="N78" i="8" s="1"/>
  <c r="J79" i="8"/>
  <c r="P77" i="16" l="1"/>
  <c r="M79" i="8"/>
  <c r="N79" i="8" s="1"/>
  <c r="J80" i="8"/>
  <c r="M78" i="16"/>
  <c r="J79" i="16" s="1"/>
  <c r="O78" i="16"/>
  <c r="P78" i="16" l="1"/>
  <c r="O79" i="16"/>
  <c r="M79" i="16"/>
  <c r="J80" i="16" s="1"/>
  <c r="M80" i="8"/>
  <c r="N80" i="8" s="1"/>
  <c r="J81" i="8"/>
  <c r="P79" i="16" l="1"/>
  <c r="M81" i="8"/>
  <c r="N81" i="8" s="1"/>
  <c r="J82" i="8"/>
  <c r="M80" i="16"/>
  <c r="J81" i="16" s="1"/>
  <c r="O80" i="16"/>
  <c r="P80" i="16" l="1"/>
  <c r="O81" i="16"/>
  <c r="M81" i="16"/>
  <c r="J82" i="16" s="1"/>
  <c r="M82" i="8"/>
  <c r="N82" i="8" s="1"/>
  <c r="J83" i="8"/>
  <c r="P81" i="16" l="1"/>
  <c r="M83" i="8"/>
  <c r="N83" i="8" s="1"/>
  <c r="J84" i="8"/>
  <c r="M82" i="16"/>
  <c r="J83" i="16" s="1"/>
  <c r="O82" i="16"/>
  <c r="P82" i="16" l="1"/>
  <c r="O42" i="11"/>
  <c r="O83" i="8"/>
  <c r="O83" i="16"/>
  <c r="M83" i="16"/>
  <c r="J84" i="16" s="1"/>
  <c r="M84" i="8"/>
  <c r="N84" i="8" s="1"/>
  <c r="J85" i="8"/>
  <c r="P83" i="16" l="1"/>
  <c r="M85" i="8"/>
  <c r="N85" i="8" s="1"/>
  <c r="J86" i="8"/>
  <c r="O84" i="16"/>
  <c r="M84" i="16"/>
  <c r="J85" i="16" s="1"/>
  <c r="P84" i="16" l="1"/>
  <c r="O35" i="11"/>
  <c r="M86" i="8"/>
  <c r="N86" i="8" s="1"/>
  <c r="J87" i="8"/>
  <c r="M85" i="16"/>
  <c r="J86" i="16" s="1"/>
  <c r="O85" i="16"/>
  <c r="P85" i="16" l="1"/>
  <c r="O32" i="11"/>
  <c r="O86" i="16"/>
  <c r="M86" i="16"/>
  <c r="J87" i="16" s="1"/>
  <c r="M87" i="8"/>
  <c r="N87" i="8" s="1"/>
  <c r="J88" i="8"/>
  <c r="P86" i="16" l="1"/>
  <c r="K33" i="19"/>
  <c r="K34" i="19" s="1"/>
  <c r="K29" i="20"/>
  <c r="K30" i="20" s="1"/>
  <c r="K29" i="19"/>
  <c r="K30" i="19" s="1"/>
  <c r="K33" i="20"/>
  <c r="K34" i="20" s="1"/>
  <c r="O44" i="11"/>
  <c r="M88" i="8"/>
  <c r="N88" i="8" s="1"/>
  <c r="J89" i="8"/>
  <c r="M87" i="16"/>
  <c r="J88" i="16" s="1"/>
  <c r="O87" i="16"/>
  <c r="P87" i="16" s="1"/>
  <c r="O88" i="16" l="1"/>
  <c r="M88" i="16"/>
  <c r="J89" i="16" s="1"/>
  <c r="M89" i="8"/>
  <c r="N89" i="8" s="1"/>
  <c r="J90" i="8"/>
  <c r="P88" i="16" l="1"/>
  <c r="M90" i="8"/>
  <c r="N90" i="8" s="1"/>
  <c r="J91" i="8"/>
  <c r="M89" i="16"/>
  <c r="J90" i="16" s="1"/>
  <c r="O89" i="16"/>
  <c r="P89" i="16" l="1"/>
  <c r="O90" i="16"/>
  <c r="M90" i="16"/>
  <c r="J91" i="16" s="1"/>
  <c r="M91" i="8"/>
  <c r="N91" i="8" s="1"/>
  <c r="J92" i="8"/>
  <c r="P90" i="16" l="1"/>
  <c r="M92" i="8"/>
  <c r="N92" i="8" s="1"/>
  <c r="J93" i="8"/>
  <c r="M91" i="16"/>
  <c r="J92" i="16" s="1"/>
  <c r="O91" i="16"/>
  <c r="P91" i="16" l="1"/>
  <c r="O92" i="16"/>
  <c r="M92" i="16"/>
  <c r="J93" i="16" s="1"/>
  <c r="M93" i="8"/>
  <c r="N93" i="8" s="1"/>
  <c r="J94" i="8"/>
  <c r="P92" i="16" l="1"/>
  <c r="M94" i="8"/>
  <c r="N94" i="8" s="1"/>
  <c r="J95" i="8"/>
  <c r="M93" i="16"/>
  <c r="J94" i="16" s="1"/>
  <c r="O93" i="16"/>
  <c r="P93" i="16" l="1"/>
  <c r="O94" i="16"/>
  <c r="M94" i="16"/>
  <c r="J95" i="16" s="1"/>
  <c r="M95" i="8"/>
  <c r="N95" i="8" s="1"/>
  <c r="J96" i="8"/>
  <c r="P94" i="16" l="1"/>
  <c r="Q42" i="11"/>
  <c r="O95" i="8"/>
  <c r="M96" i="8"/>
  <c r="N96" i="8" s="1"/>
  <c r="J97" i="8"/>
  <c r="M95" i="16"/>
  <c r="J96" i="16" s="1"/>
  <c r="O95" i="16"/>
  <c r="P95" i="16" l="1"/>
  <c r="O96" i="16"/>
  <c r="M96" i="16"/>
  <c r="J97" i="16" s="1"/>
  <c r="M97" i="8"/>
  <c r="N97" i="8" s="1"/>
  <c r="J98" i="8"/>
  <c r="P96" i="16" l="1"/>
  <c r="Q35" i="11"/>
  <c r="Q32" i="11" s="1"/>
  <c r="M98" i="8"/>
  <c r="N98" i="8" s="1"/>
  <c r="J99" i="8"/>
  <c r="O97" i="16"/>
  <c r="M97" i="16"/>
  <c r="J98" i="16" s="1"/>
  <c r="M33" i="19" l="1"/>
  <c r="M34" i="19" s="1"/>
  <c r="M29" i="20"/>
  <c r="M30" i="20" s="1"/>
  <c r="M29" i="19"/>
  <c r="M30" i="19" s="1"/>
  <c r="P97" i="16"/>
  <c r="M33" i="20"/>
  <c r="M34" i="20" s="1"/>
  <c r="Q44" i="11"/>
  <c r="M99" i="8"/>
  <c r="N99" i="8" s="1"/>
  <c r="J100" i="8"/>
  <c r="M98" i="16"/>
  <c r="J99" i="16" s="1"/>
  <c r="O98" i="16"/>
  <c r="P98" i="16" l="1"/>
  <c r="O99" i="16"/>
  <c r="M99" i="16"/>
  <c r="J100" i="16" s="1"/>
  <c r="M100" i="8"/>
  <c r="N100" i="8" s="1"/>
  <c r="J101" i="8"/>
  <c r="P99" i="16" l="1"/>
  <c r="M101" i="8"/>
  <c r="N101" i="8" s="1"/>
  <c r="J102" i="8"/>
  <c r="O100" i="16"/>
  <c r="M100" i="16"/>
  <c r="J101" i="16" s="1"/>
  <c r="P100" i="16" l="1"/>
  <c r="M102" i="8"/>
  <c r="N102" i="8" s="1"/>
  <c r="J103" i="8"/>
  <c r="M101" i="16"/>
  <c r="J102" i="16" s="1"/>
  <c r="O101" i="16"/>
  <c r="P101" i="16" s="1"/>
  <c r="O102" i="16" l="1"/>
  <c r="M102" i="16"/>
  <c r="J103" i="16" s="1"/>
  <c r="M103" i="8"/>
  <c r="N103" i="8" s="1"/>
  <c r="J104" i="8"/>
  <c r="P102" i="16" l="1"/>
  <c r="M104" i="8"/>
  <c r="N104" i="8" s="1"/>
  <c r="J105" i="8"/>
  <c r="M103" i="16"/>
  <c r="J104" i="16" s="1"/>
  <c r="O103" i="16"/>
  <c r="P103" i="16" l="1"/>
  <c r="O104" i="16"/>
  <c r="M104" i="16"/>
  <c r="J105" i="16" s="1"/>
  <c r="M105" i="8"/>
  <c r="N105" i="8" s="1"/>
  <c r="J106" i="8"/>
  <c r="P104" i="16" l="1"/>
  <c r="M106" i="8"/>
  <c r="N106" i="8" s="1"/>
  <c r="J107" i="8"/>
  <c r="M105" i="16"/>
  <c r="J106" i="16" s="1"/>
  <c r="O105" i="16"/>
  <c r="P105" i="16" l="1"/>
  <c r="O106" i="16"/>
  <c r="M106" i="16"/>
  <c r="J107" i="16" s="1"/>
  <c r="M107" i="8"/>
  <c r="N107" i="8" s="1"/>
  <c r="J108" i="8"/>
  <c r="P106" i="16" l="1"/>
  <c r="M121" i="8"/>
  <c r="N121" i="8" s="1"/>
  <c r="O107" i="8"/>
  <c r="O121" i="8" s="1"/>
  <c r="S42" i="11"/>
  <c r="M108" i="8"/>
  <c r="N108" i="8" s="1"/>
  <c r="J109" i="8"/>
  <c r="M107" i="16"/>
  <c r="J108" i="16" s="1"/>
  <c r="O107" i="16"/>
  <c r="P107" i="16" l="1"/>
  <c r="O108" i="16"/>
  <c r="M108" i="16"/>
  <c r="J109" i="16" s="1"/>
  <c r="M109" i="8"/>
  <c r="N109" i="8" s="1"/>
  <c r="J110" i="8"/>
  <c r="P108" i="16" l="1"/>
  <c r="S35" i="11"/>
  <c r="M110" i="8"/>
  <c r="N110" i="8" s="1"/>
  <c r="J111" i="8"/>
  <c r="O109" i="16"/>
  <c r="M109" i="16"/>
  <c r="J110" i="16" s="1"/>
  <c r="P109" i="16" l="1"/>
  <c r="S32" i="11"/>
  <c r="W35" i="11"/>
  <c r="M110" i="16"/>
  <c r="J111" i="16" s="1"/>
  <c r="O110" i="16"/>
  <c r="M111" i="8"/>
  <c r="N111" i="8" s="1"/>
  <c r="J112" i="8"/>
  <c r="O29" i="19" l="1"/>
  <c r="O30" i="19" s="1"/>
  <c r="Q30" i="19" s="1"/>
  <c r="O29" i="20"/>
  <c r="O30" i="20" s="1"/>
  <c r="O33" i="19"/>
  <c r="O34" i="19" s="1"/>
  <c r="Q34" i="19" s="1"/>
  <c r="O33" i="20"/>
  <c r="O34" i="20" s="1"/>
  <c r="W32" i="11"/>
  <c r="G61" i="11"/>
  <c r="S44" i="11"/>
  <c r="G53" i="11" s="1"/>
  <c r="P110" i="16"/>
  <c r="O111" i="16"/>
  <c r="M111" i="16"/>
  <c r="J112" i="16" s="1"/>
  <c r="M112" i="8"/>
  <c r="N112" i="8" s="1"/>
  <c r="J113" i="8"/>
  <c r="T34" i="19" l="1"/>
  <c r="X34" i="19"/>
  <c r="Z34" i="19"/>
  <c r="V34" i="19"/>
  <c r="X30" i="19"/>
  <c r="X36" i="19" s="1"/>
  <c r="X38" i="19" s="1"/>
  <c r="X40" i="19" s="1"/>
  <c r="X42" i="19" s="1"/>
  <c r="Q36" i="19"/>
  <c r="T30" i="19"/>
  <c r="Z30" i="19"/>
  <c r="V30" i="19"/>
  <c r="P111" i="16"/>
  <c r="M113" i="8"/>
  <c r="N113" i="8" s="1"/>
  <c r="J114" i="8"/>
  <c r="O112" i="16"/>
  <c r="M112" i="16"/>
  <c r="J113" i="16" s="1"/>
  <c r="T36" i="19" l="1"/>
  <c r="AB36" i="19" s="1"/>
  <c r="Z36" i="19"/>
  <c r="Z38" i="19" s="1"/>
  <c r="Z40" i="19" s="1"/>
  <c r="Z42" i="19" s="1"/>
  <c r="V36" i="19"/>
  <c r="Q42" i="19"/>
  <c r="Q44" i="19" s="1"/>
  <c r="P112" i="16"/>
  <c r="M113" i="16"/>
  <c r="J114" i="16" s="1"/>
  <c r="O113" i="16"/>
  <c r="M114" i="8"/>
  <c r="N114" i="8" s="1"/>
  <c r="J115" i="8"/>
  <c r="T38" i="19" l="1"/>
  <c r="T40" i="19" s="1"/>
  <c r="T42" i="19" s="1"/>
  <c r="V38" i="19"/>
  <c r="V40" i="19" s="1"/>
  <c r="V42" i="19" s="1"/>
  <c r="P113" i="16"/>
  <c r="O114" i="16"/>
  <c r="M114" i="16"/>
  <c r="J115" i="16" s="1"/>
  <c r="M115" i="8"/>
  <c r="N115" i="8" s="1"/>
  <c r="J116" i="8"/>
  <c r="X43" i="19" l="1"/>
  <c r="T43" i="19"/>
  <c r="T44" i="19" s="1"/>
  <c r="Z43" i="19"/>
  <c r="V43" i="19"/>
  <c r="V44" i="19" s="1"/>
  <c r="AB38" i="19"/>
  <c r="P114" i="16"/>
  <c r="M116" i="8"/>
  <c r="N116" i="8" s="1"/>
  <c r="J117" i="8"/>
  <c r="M115" i="16"/>
  <c r="J116" i="16" s="1"/>
  <c r="O115" i="16"/>
  <c r="X45" i="19" l="1"/>
  <c r="Z45" i="19"/>
  <c r="T45" i="19"/>
  <c r="V45" i="19"/>
  <c r="P115" i="16"/>
  <c r="O116" i="16"/>
  <c r="M116" i="16"/>
  <c r="J117" i="16" s="1"/>
  <c r="M117" i="8"/>
  <c r="N117" i="8" s="1"/>
  <c r="J118" i="8"/>
  <c r="P116" i="16" l="1"/>
  <c r="M118" i="8"/>
  <c r="N118" i="8" s="1"/>
  <c r="J119" i="8"/>
  <c r="M117" i="16"/>
  <c r="J118" i="16" s="1"/>
  <c r="O117" i="16"/>
  <c r="P117" i="16" l="1"/>
  <c r="O118" i="16"/>
  <c r="M118" i="16"/>
  <c r="J119" i="16" s="1"/>
  <c r="M119" i="8"/>
  <c r="P118" i="16" l="1"/>
  <c r="O119" i="8"/>
  <c r="U42" i="11"/>
  <c r="N119" i="8"/>
  <c r="M119" i="16"/>
  <c r="J120" i="16" s="1"/>
  <c r="O119" i="16"/>
  <c r="P119" i="16" l="1"/>
  <c r="O120" i="16"/>
  <c r="M120" i="16"/>
  <c r="U44" i="11"/>
  <c r="G63" i="11"/>
  <c r="W42" i="11"/>
  <c r="W44" i="11" s="1"/>
  <c r="G51" i="11" s="1"/>
  <c r="P120" i="16" l="1"/>
  <c r="U35" i="11"/>
  <c r="Q53" i="19"/>
  <c r="G65" i="11"/>
  <c r="G67" i="11" l="1"/>
  <c r="G69" i="11" s="1"/>
  <c r="I67" i="11" s="1"/>
  <c r="Z53" i="19"/>
  <c r="T53" i="19"/>
  <c r="V53" i="19"/>
  <c r="X53" i="19"/>
  <c r="X61" i="19" s="1"/>
  <c r="Q55" i="19"/>
  <c r="V55" i="19" l="1"/>
  <c r="V61" i="19" s="1"/>
  <c r="V63" i="19" s="1"/>
  <c r="T55" i="19"/>
  <c r="T61" i="19" s="1"/>
  <c r="T63" i="19" s="1"/>
  <c r="Q63" i="19" l="1"/>
  <c r="Q65" i="19" s="1"/>
</calcChain>
</file>

<file path=xl/comments1.xml><?xml version="1.0" encoding="utf-8"?>
<comments xmlns="http://schemas.openxmlformats.org/spreadsheetml/2006/main">
  <authors>
    <author>Keith C. Ritchie</author>
  </authors>
  <commentList>
    <comment ref="G30" authorId="0">
      <text>
        <r>
          <rPr>
            <b/>
            <sz val="8"/>
            <color indexed="81"/>
            <rFont val="Tahoma"/>
            <family val="2"/>
          </rPr>
          <t>Keith C. Ritchie:</t>
        </r>
        <r>
          <rPr>
            <sz val="8"/>
            <color indexed="81"/>
            <rFont val="Tahoma"/>
            <family val="2"/>
          </rPr>
          <t xml:space="preserve">
Default formula to align with deemed Long-term Debt Rate for 2006 Distribution Rate Handbook.  Input Board-approved LT Debt Rate for 2006 EDR Decision if necessary.</t>
        </r>
      </text>
    </comment>
    <comment ref="G40" authorId="0">
      <text>
        <r>
          <rPr>
            <b/>
            <sz val="8"/>
            <color indexed="81"/>
            <rFont val="Tahoma"/>
            <family val="2"/>
          </rPr>
          <t>Keith C. Ritchie:</t>
        </r>
        <r>
          <rPr>
            <sz val="8"/>
            <color indexed="81"/>
            <rFont val="Tahoma"/>
            <family val="2"/>
          </rPr>
          <t xml:space="preserve">
This is the maximum aggregate Federal and Ontario corporate income tax rate.  The utility should override this with the tax rate that would correspond with their actual taxes/PILs paid for that tax year.  This would be available from taxes/PILs calculations filed in each year's cost of service or IRM application.</t>
        </r>
      </text>
    </comment>
    <comment ref="I40" authorId="0">
      <text>
        <r>
          <rPr>
            <b/>
            <sz val="8"/>
            <color indexed="81"/>
            <rFont val="Tahoma"/>
            <family val="2"/>
          </rPr>
          <t>Keith C. Ritchie:</t>
        </r>
        <r>
          <rPr>
            <sz val="8"/>
            <color indexed="81"/>
            <rFont val="Tahoma"/>
            <family val="2"/>
          </rPr>
          <t xml:space="preserve">
This is the maximum aggregate Federal and Ontario corporate income tax rate.  The utility should override this with the tax rate that would correspond with their actual taxes/PILs paid for that tax year.  This would be available from taxes/PILs calculations filed in each year's cost of service or IRM application.</t>
        </r>
      </text>
    </comment>
    <comment ref="K40" authorId="0">
      <text>
        <r>
          <rPr>
            <b/>
            <sz val="8"/>
            <color indexed="81"/>
            <rFont val="Tahoma"/>
            <family val="2"/>
          </rPr>
          <t>Keith C. Ritchie:</t>
        </r>
        <r>
          <rPr>
            <sz val="8"/>
            <color indexed="81"/>
            <rFont val="Tahoma"/>
            <family val="2"/>
          </rPr>
          <t xml:space="preserve">
This is the maximum aggregate Federal and Ontario corporate income tax rate.  The utility should override this with the tax rate that would correspond with their actual taxes/PILs paid for that tax year.  This would be available from taxes/PILs calculations filed in each year's cost of service or IRM application.</t>
        </r>
      </text>
    </comment>
    <comment ref="M40" authorId="0">
      <text>
        <r>
          <rPr>
            <b/>
            <sz val="8"/>
            <color indexed="81"/>
            <rFont val="Tahoma"/>
            <family val="2"/>
          </rPr>
          <t>Keith C. Ritchie:</t>
        </r>
        <r>
          <rPr>
            <sz val="8"/>
            <color indexed="81"/>
            <rFont val="Tahoma"/>
            <family val="2"/>
          </rPr>
          <t xml:space="preserve">
This is the maximum aggregate Federal and Ontario corporate income tax rate.  The utility should override this with the tax rate that would correspond with their actual taxes/PILs paid for that tax year.  This would be available from taxes/PILs calculations filed in each year's cost of service or IRM application.</t>
        </r>
      </text>
    </comment>
    <comment ref="O40" authorId="0">
      <text>
        <r>
          <rPr>
            <b/>
            <sz val="8"/>
            <color indexed="81"/>
            <rFont val="Tahoma"/>
            <family val="2"/>
          </rPr>
          <t>Keith C. Ritchie:</t>
        </r>
        <r>
          <rPr>
            <sz val="8"/>
            <color indexed="81"/>
            <rFont val="Tahoma"/>
            <family val="2"/>
          </rPr>
          <t xml:space="preserve">
This is the maximum aggregate Federal and Ontario corporate income tax rate.  The utility should override this with the tax rate that would correspond with their actual taxes/PILs paid for that tax year.  This would be available from taxes/PILs calculations filed in each year's cost of service or IRM application.</t>
        </r>
      </text>
    </comment>
    <comment ref="Q40" authorId="0">
      <text>
        <r>
          <rPr>
            <b/>
            <sz val="8"/>
            <color indexed="81"/>
            <rFont val="Tahoma"/>
            <family val="2"/>
          </rPr>
          <t>Keith C. Ritchie:</t>
        </r>
        <r>
          <rPr>
            <sz val="8"/>
            <color indexed="81"/>
            <rFont val="Tahoma"/>
            <family val="2"/>
          </rPr>
          <t xml:space="preserve">
This is the maximum aggregate Federal and Ontario corporate income tax rate.  The utility should override this with the tax rate that would correspond with their actual taxes/PILs paid for that tax year.  This would be available from taxes/PILs calculations filed in each year's cost of service or IRM application.</t>
        </r>
      </text>
    </comment>
    <comment ref="S40" authorId="0">
      <text>
        <r>
          <rPr>
            <b/>
            <sz val="8"/>
            <color indexed="81"/>
            <rFont val="Tahoma"/>
            <family val="2"/>
          </rPr>
          <t>Keith C. Ritchie:</t>
        </r>
        <r>
          <rPr>
            <sz val="8"/>
            <color indexed="81"/>
            <rFont val="Tahoma"/>
            <family val="2"/>
          </rPr>
          <t xml:space="preserve">
This is the maximum aggregate Federal and Ontario corporate income tax rate.  The utility should override this with the tax rate that would correspond with their actual taxes/PILs paid for that tax year.  This would be available from taxes/PILs calculations filed in each year's cost of service or IRM application.</t>
        </r>
      </text>
    </comment>
    <comment ref="U40" authorId="0">
      <text>
        <r>
          <rPr>
            <b/>
            <sz val="8"/>
            <color indexed="81"/>
            <rFont val="Tahoma"/>
            <family val="2"/>
          </rPr>
          <t>Keith C. Ritchie:</t>
        </r>
        <r>
          <rPr>
            <sz val="8"/>
            <color indexed="81"/>
            <rFont val="Tahoma"/>
            <family val="2"/>
          </rPr>
          <t xml:space="preserve">
This is the maximum aggregate Federal and Ontario corporate income tax rate.  The utility should override this with the tax rate that would correspond with their actual taxes/PILs paid for that tax year.  This would be available from taxes/PILs calculations filed in each year's cost of service or IRM application.</t>
        </r>
      </text>
    </comment>
  </commentList>
</comments>
</file>

<file path=xl/comments2.xml><?xml version="1.0" encoding="utf-8"?>
<comments xmlns="http://schemas.openxmlformats.org/spreadsheetml/2006/main">
  <authors>
    <author>Keith C. Ritchie</author>
  </authors>
  <commentList>
    <comment ref="L99" authorId="0">
      <text>
        <r>
          <rPr>
            <b/>
            <sz val="8"/>
            <color indexed="81"/>
            <rFont val="Tahoma"/>
            <family val="2"/>
          </rPr>
          <t>Keith C. Ritchie:</t>
        </r>
        <r>
          <rPr>
            <sz val="8"/>
            <color indexed="81"/>
            <rFont val="Tahoma"/>
            <family val="2"/>
          </rPr>
          <t xml:space="preserve">
Unprotected, to override rate for month of April 2012 if SMFA in effect to April 30, 2012.</t>
        </r>
      </text>
    </comment>
    <comment ref="L100" authorId="0">
      <text>
        <r>
          <rPr>
            <b/>
            <sz val="8"/>
            <color indexed="81"/>
            <rFont val="Tahoma"/>
            <family val="2"/>
          </rPr>
          <t>Keith C. Ritchie:</t>
        </r>
        <r>
          <rPr>
            <sz val="8"/>
            <color indexed="81"/>
            <rFont val="Tahoma"/>
            <family val="2"/>
          </rPr>
          <t xml:space="preserve">
Unprotected, to override rate for month of May 2012 if SMFA in effect to May 31, 2012.</t>
        </r>
      </text>
    </comment>
    <comment ref="L101" authorId="0">
      <text>
        <r>
          <rPr>
            <b/>
            <sz val="8"/>
            <color indexed="81"/>
            <rFont val="Tahoma"/>
            <family val="2"/>
          </rPr>
          <t>Keith C. Ritchie:</t>
        </r>
        <r>
          <rPr>
            <sz val="8"/>
            <color indexed="81"/>
            <rFont val="Tahoma"/>
            <family val="2"/>
          </rPr>
          <t xml:space="preserve">
Unprotected, to override rate for month of June 2012 if SMFA in effect to June 30, 2012.</t>
        </r>
      </text>
    </comment>
    <comment ref="L102" authorId="0">
      <text>
        <r>
          <rPr>
            <b/>
            <sz val="8"/>
            <color indexed="81"/>
            <rFont val="Tahoma"/>
            <family val="2"/>
          </rPr>
          <t>Keith C. Ritchie:</t>
        </r>
        <r>
          <rPr>
            <sz val="8"/>
            <color indexed="81"/>
            <rFont val="Tahoma"/>
            <family val="2"/>
          </rPr>
          <t xml:space="preserve">
Unprotected, to override rate for month of July 2012 if SMFA in effect to July 31, 2012.</t>
        </r>
      </text>
    </comment>
    <comment ref="L103" authorId="0">
      <text>
        <r>
          <rPr>
            <b/>
            <sz val="8"/>
            <color indexed="81"/>
            <rFont val="Tahoma"/>
            <family val="2"/>
          </rPr>
          <t>Keith C. Ritchie:</t>
        </r>
        <r>
          <rPr>
            <sz val="8"/>
            <color indexed="81"/>
            <rFont val="Tahoma"/>
            <family val="2"/>
          </rPr>
          <t xml:space="preserve">
Unprotected, to override rate for month of August 2012 if SMFA in effect to August 31, 2012.</t>
        </r>
      </text>
    </comment>
    <comment ref="L104" authorId="0">
      <text>
        <r>
          <rPr>
            <b/>
            <sz val="8"/>
            <color indexed="81"/>
            <rFont val="Tahoma"/>
            <family val="2"/>
          </rPr>
          <t>Keith C. Ritchie:</t>
        </r>
        <r>
          <rPr>
            <sz val="8"/>
            <color indexed="81"/>
            <rFont val="Tahoma"/>
            <family val="2"/>
          </rPr>
          <t xml:space="preserve">
Unprotected, to override rate for month of September 2012 if SMFA in effect to September 30, 2012.</t>
        </r>
      </text>
    </comment>
    <comment ref="L105" authorId="0">
      <text>
        <r>
          <rPr>
            <b/>
            <sz val="8"/>
            <color indexed="81"/>
            <rFont val="Tahoma"/>
            <family val="2"/>
          </rPr>
          <t>Keith C. Ritchie:</t>
        </r>
        <r>
          <rPr>
            <sz val="8"/>
            <color indexed="81"/>
            <rFont val="Tahoma"/>
            <family val="2"/>
          </rPr>
          <t xml:space="preserve">
Unprotected, to override rate for month of October 2012 if SMFA in effect to October 31, 2012.</t>
        </r>
      </text>
    </comment>
    <comment ref="L106" authorId="0">
      <text>
        <r>
          <rPr>
            <b/>
            <sz val="8"/>
            <color indexed="81"/>
            <rFont val="Tahoma"/>
            <family val="2"/>
          </rPr>
          <t>Keith C. Ritchie:</t>
        </r>
        <r>
          <rPr>
            <sz val="8"/>
            <color indexed="81"/>
            <rFont val="Tahoma"/>
            <family val="2"/>
          </rPr>
          <t xml:space="preserve">
Unprotected, to override rate for month of November 2012 if SMFA in effect to November 30, 2012.</t>
        </r>
      </text>
    </comment>
    <comment ref="L107" authorId="0">
      <text>
        <r>
          <rPr>
            <b/>
            <sz val="8"/>
            <color indexed="81"/>
            <rFont val="Tahoma"/>
            <family val="2"/>
          </rPr>
          <t>Keith C. Ritchie:</t>
        </r>
        <r>
          <rPr>
            <sz val="8"/>
            <color indexed="81"/>
            <rFont val="Tahoma"/>
            <family val="2"/>
          </rPr>
          <t xml:space="preserve">
Unprotected, to override rate for month of December 2012 if SMFA in effect to December 31, 2012.</t>
        </r>
      </text>
    </comment>
    <comment ref="L108" authorId="0">
      <text>
        <r>
          <rPr>
            <b/>
            <sz val="8"/>
            <color indexed="81"/>
            <rFont val="Tahoma"/>
            <family val="2"/>
          </rPr>
          <t>Keith C. Ritchie:</t>
        </r>
        <r>
          <rPr>
            <sz val="8"/>
            <color indexed="81"/>
            <rFont val="Tahoma"/>
            <family val="2"/>
          </rPr>
          <t xml:space="preserve">
Unprotected, to override rate for month of January 2013 if SMFA in effect to January 31, 2013.</t>
        </r>
      </text>
    </comment>
    <comment ref="L109" authorId="0">
      <text>
        <r>
          <rPr>
            <b/>
            <sz val="8"/>
            <color indexed="81"/>
            <rFont val="Tahoma"/>
            <family val="2"/>
          </rPr>
          <t>Keith C. Ritchie:</t>
        </r>
        <r>
          <rPr>
            <sz val="8"/>
            <color indexed="81"/>
            <rFont val="Tahoma"/>
            <family val="2"/>
          </rPr>
          <t xml:space="preserve">
Unprotected, to override rate for month of February 2013 if SMFA in effect to February 28, 2013.</t>
        </r>
      </text>
    </comment>
    <comment ref="L110" authorId="0">
      <text>
        <r>
          <rPr>
            <b/>
            <sz val="8"/>
            <color indexed="81"/>
            <rFont val="Tahoma"/>
            <family val="2"/>
          </rPr>
          <t>Keith C. Ritchie:</t>
        </r>
        <r>
          <rPr>
            <sz val="8"/>
            <color indexed="81"/>
            <rFont val="Tahoma"/>
            <family val="2"/>
          </rPr>
          <t xml:space="preserve">
Unprotected, to override rate for month of March 2012 if SMFA in effect to March 31, 2012.</t>
        </r>
      </text>
    </comment>
    <comment ref="L111" authorId="0">
      <text>
        <r>
          <rPr>
            <b/>
            <sz val="8"/>
            <color indexed="81"/>
            <rFont val="Tahoma"/>
            <family val="2"/>
          </rPr>
          <t>Keith C. Ritchie:</t>
        </r>
        <r>
          <rPr>
            <sz val="8"/>
            <color indexed="81"/>
            <rFont val="Tahoma"/>
            <family val="2"/>
          </rPr>
          <t xml:space="preserve">
Unprotected, to override rate for month of April 2013 if SMFA in effect to April 30, 2013.</t>
        </r>
      </text>
    </comment>
    <comment ref="L112" authorId="0">
      <text>
        <r>
          <rPr>
            <b/>
            <sz val="8"/>
            <color indexed="81"/>
            <rFont val="Tahoma"/>
            <family val="2"/>
          </rPr>
          <t>Keith C. Ritchie:</t>
        </r>
        <r>
          <rPr>
            <sz val="8"/>
            <color indexed="81"/>
            <rFont val="Tahoma"/>
            <family val="2"/>
          </rPr>
          <t xml:space="preserve">
Unprotected, to override rate for month of May 2013 if SMFA in effect to May 31, 2013.</t>
        </r>
      </text>
    </comment>
    <comment ref="L113" authorId="0">
      <text>
        <r>
          <rPr>
            <b/>
            <sz val="8"/>
            <color indexed="81"/>
            <rFont val="Tahoma"/>
            <family val="2"/>
          </rPr>
          <t>Keith C. Ritchie:</t>
        </r>
        <r>
          <rPr>
            <sz val="8"/>
            <color indexed="81"/>
            <rFont val="Tahoma"/>
            <family val="2"/>
          </rPr>
          <t xml:space="preserve">
Unprotected, to override rate for month of June 2013 if SMFA in effect to June 30, 2013.</t>
        </r>
      </text>
    </comment>
    <comment ref="L114" authorId="0">
      <text>
        <r>
          <rPr>
            <b/>
            <sz val="8"/>
            <color indexed="81"/>
            <rFont val="Tahoma"/>
            <family val="2"/>
          </rPr>
          <t>Keith C. Ritchie:</t>
        </r>
        <r>
          <rPr>
            <sz val="8"/>
            <color indexed="81"/>
            <rFont val="Tahoma"/>
            <family val="2"/>
          </rPr>
          <t xml:space="preserve">
Unprotected, to override rate for month of July 2013 if SMFA in effect to July 31, 2013.</t>
        </r>
      </text>
    </comment>
    <comment ref="L115" authorId="0">
      <text>
        <r>
          <rPr>
            <b/>
            <sz val="8"/>
            <color indexed="81"/>
            <rFont val="Tahoma"/>
            <family val="2"/>
          </rPr>
          <t>Keith C. Ritchie:</t>
        </r>
        <r>
          <rPr>
            <sz val="8"/>
            <color indexed="81"/>
            <rFont val="Tahoma"/>
            <family val="2"/>
          </rPr>
          <t xml:space="preserve">
Unprotected, to override rate for month of August 2013 if SMFA in effect to August 31, 2013.</t>
        </r>
      </text>
    </comment>
    <comment ref="L116" authorId="0">
      <text>
        <r>
          <rPr>
            <b/>
            <sz val="8"/>
            <color indexed="81"/>
            <rFont val="Tahoma"/>
            <family val="2"/>
          </rPr>
          <t>Keith C. Ritchie:</t>
        </r>
        <r>
          <rPr>
            <sz val="8"/>
            <color indexed="81"/>
            <rFont val="Tahoma"/>
            <family val="2"/>
          </rPr>
          <t xml:space="preserve">
Unprotected, to override rate for month of September 2013 if SMFA in effect to September 30, 2013.</t>
        </r>
      </text>
    </comment>
    <comment ref="L117" authorId="0">
      <text>
        <r>
          <rPr>
            <b/>
            <sz val="8"/>
            <color indexed="81"/>
            <rFont val="Tahoma"/>
            <family val="2"/>
          </rPr>
          <t>Keith C. Ritchie:</t>
        </r>
        <r>
          <rPr>
            <sz val="8"/>
            <color indexed="81"/>
            <rFont val="Tahoma"/>
            <family val="2"/>
          </rPr>
          <t xml:space="preserve">
Unprotected, to override rate for month of October 2013 if SMFA in effect to October 31, 2013.</t>
        </r>
      </text>
    </comment>
    <comment ref="L118" authorId="0">
      <text>
        <r>
          <rPr>
            <b/>
            <sz val="8"/>
            <color indexed="81"/>
            <rFont val="Tahoma"/>
            <family val="2"/>
          </rPr>
          <t>Keith C. Ritchie:</t>
        </r>
        <r>
          <rPr>
            <sz val="8"/>
            <color indexed="81"/>
            <rFont val="Tahoma"/>
            <family val="2"/>
          </rPr>
          <t xml:space="preserve">
Unprotected, to override rate for month of November 2013 if SMFA in effect to November 30, 2013.</t>
        </r>
      </text>
    </comment>
    <comment ref="L119" authorId="0">
      <text>
        <r>
          <rPr>
            <b/>
            <sz val="8"/>
            <color indexed="81"/>
            <rFont val="Tahoma"/>
            <family val="2"/>
          </rPr>
          <t>Keith C. Ritchie:</t>
        </r>
        <r>
          <rPr>
            <sz val="8"/>
            <color indexed="81"/>
            <rFont val="Tahoma"/>
            <family val="2"/>
          </rPr>
          <t xml:space="preserve">
Unprotected, to override rate for month of December 2013 if SMFA in effect to December 31, 2013.</t>
        </r>
      </text>
    </comment>
  </commentList>
</comments>
</file>

<file path=xl/comments3.xml><?xml version="1.0" encoding="utf-8"?>
<comments xmlns="http://schemas.openxmlformats.org/spreadsheetml/2006/main">
  <authors>
    <author>Keith C. Ritchie</author>
  </authors>
  <commentList>
    <comment ref="L23" authorId="0">
      <text>
        <r>
          <rPr>
            <b/>
            <sz val="8"/>
            <color indexed="81"/>
            <rFont val="Tahoma"/>
            <family val="2"/>
          </rPr>
          <t>Keith C. Ritchie:</t>
        </r>
        <r>
          <rPr>
            <sz val="8"/>
            <color indexed="81"/>
            <rFont val="Tahoma"/>
            <family val="2"/>
          </rPr>
          <t xml:space="preserve">
Assume 2006 Q2 interest rate also applied to 2006 Q1.</t>
        </r>
      </text>
    </comment>
  </commentList>
</comments>
</file>

<file path=xl/comments4.xml><?xml version="1.0" encoding="utf-8"?>
<comments xmlns="http://schemas.openxmlformats.org/spreadsheetml/2006/main">
  <authors>
    <author>Keith C. Ritchie</author>
  </authors>
  <commentList>
    <comment ref="W30" authorId="0">
      <text>
        <r>
          <rPr>
            <b/>
            <sz val="8"/>
            <color indexed="81"/>
            <rFont val="Tahoma"/>
            <family val="2"/>
          </rPr>
          <t>Keith C. Ritchie:</t>
        </r>
        <r>
          <rPr>
            <sz val="8"/>
            <color indexed="81"/>
            <rFont val="Tahoma"/>
            <family val="2"/>
          </rPr>
          <t xml:space="preserve">
Total from 2006 to 2012</t>
        </r>
      </text>
    </comment>
    <comment ref="W32" authorId="0">
      <text>
        <r>
          <rPr>
            <b/>
            <sz val="8"/>
            <color indexed="81"/>
            <rFont val="Tahoma"/>
            <family val="2"/>
          </rPr>
          <t>Keith C. Ritchie:</t>
        </r>
        <r>
          <rPr>
            <sz val="8"/>
            <color indexed="81"/>
            <rFont val="Tahoma"/>
            <family val="2"/>
          </rPr>
          <t xml:space="preserve">
Total from 2006 to 2012</t>
        </r>
      </text>
    </comment>
    <comment ref="W40" authorId="0">
      <text>
        <r>
          <rPr>
            <b/>
            <sz val="8"/>
            <color indexed="81"/>
            <rFont val="Tahoma"/>
            <family val="2"/>
          </rPr>
          <t>Keith C. Ritchie:</t>
        </r>
        <r>
          <rPr>
            <sz val="8"/>
            <color indexed="81"/>
            <rFont val="Tahoma"/>
            <family val="2"/>
          </rPr>
          <t xml:space="preserve">
Total 2006 to 2013 per Sheet 8</t>
        </r>
      </text>
    </comment>
    <comment ref="W42" authorId="0">
      <text>
        <r>
          <rPr>
            <b/>
            <sz val="8"/>
            <color indexed="81"/>
            <rFont val="Tahoma"/>
            <family val="2"/>
          </rPr>
          <t>Keith C. Ritchie:</t>
        </r>
        <r>
          <rPr>
            <sz val="8"/>
            <color indexed="81"/>
            <rFont val="Tahoma"/>
            <family val="2"/>
          </rPr>
          <t xml:space="preserve">
Total 2006 to 2013 per Sheet 8</t>
        </r>
      </text>
    </comment>
  </commentList>
</comments>
</file>

<file path=xl/sharedStrings.xml><?xml version="1.0" encoding="utf-8"?>
<sst xmlns="http://schemas.openxmlformats.org/spreadsheetml/2006/main" count="647" uniqueCount="459">
  <si>
    <t>Smart Meter Installation Plan</t>
  </si>
  <si>
    <t>Actual/Planned number of Smart Meters installed during the Calendar Year</t>
  </si>
  <si>
    <t>Residential</t>
  </si>
  <si>
    <t>General Service &lt; 50 kW</t>
  </si>
  <si>
    <t>Actual/Planned number of Smart Meters installed (Residential and GS &lt; 50 kW only)</t>
  </si>
  <si>
    <t>Actual/Planned number of GS &gt; 50 kW meters installed</t>
  </si>
  <si>
    <t>Total Number of Smart Meters installed or planned to be installed</t>
  </si>
  <si>
    <t>Total</t>
  </si>
  <si>
    <t>Audited Actual</t>
  </si>
  <si>
    <t>Other (please identify)</t>
  </si>
  <si>
    <t>Percentage of Residential and GS &lt; 50 kW Smart Meter Installations Completed</t>
  </si>
  <si>
    <t>Capital Costs</t>
  </si>
  <si>
    <t>1.1  ADVANCED METERING COMMUNICATION DEVICE (AMCD)</t>
  </si>
  <si>
    <t>Asset Type</t>
  </si>
  <si>
    <t>Smart Meter</t>
  </si>
  <si>
    <t>Computer Hardware</t>
  </si>
  <si>
    <t>Computer Software</t>
  </si>
  <si>
    <t>Other Equipment</t>
  </si>
  <si>
    <t>Tools &amp; Equipment</t>
  </si>
  <si>
    <t>Total Advanced Metering Communications Devices (AMCD)</t>
  </si>
  <si>
    <t>1.2  ADVANCED METERING REGIONAL COLLECTOR (AMRC)  (includes LAN)</t>
  </si>
  <si>
    <t>1.2.1  Collectors</t>
  </si>
  <si>
    <r>
      <t xml:space="preserve">1.1.3a  Workforce Automation Hardware </t>
    </r>
    <r>
      <rPr>
        <i/>
        <sz val="8"/>
        <rFont val="Arial"/>
        <family val="2"/>
      </rPr>
      <t>(may include fieldwork handhelds, barcode hardware, etc.)</t>
    </r>
  </si>
  <si>
    <r>
      <t xml:space="preserve">1.1.3b  Workforce Automation Software </t>
    </r>
    <r>
      <rPr>
        <i/>
        <sz val="8"/>
        <rFont val="Arial"/>
        <family val="2"/>
      </rPr>
      <t>(may include fieldwork handhelds, barcode hardware, etc.)</t>
    </r>
  </si>
  <si>
    <r>
      <t xml:space="preserve">1.2.2  Repeaters </t>
    </r>
    <r>
      <rPr>
        <i/>
        <sz val="8"/>
        <rFont val="Arial"/>
        <family val="2"/>
      </rPr>
      <t>(may include radio licence, etc.)</t>
    </r>
  </si>
  <si>
    <r>
      <t xml:space="preserve">1.2.3  Installation </t>
    </r>
    <r>
      <rPr>
        <i/>
        <sz val="8"/>
        <rFont val="Arial"/>
        <family val="2"/>
      </rPr>
      <t>(may include meter seals and rings, collector computer hardware, etc.)</t>
    </r>
  </si>
  <si>
    <r>
      <t xml:space="preserve">1.1.2  Installation Costs </t>
    </r>
    <r>
      <rPr>
        <i/>
        <sz val="8"/>
        <rFont val="Arial"/>
        <family val="2"/>
      </rPr>
      <t>(may include socket kits, labour, vehicle, benefits, etc.)</t>
    </r>
  </si>
  <si>
    <r>
      <t xml:space="preserve">1.1.1  Smart Meters </t>
    </r>
    <r>
      <rPr>
        <i/>
        <sz val="8"/>
        <rFont val="Arial"/>
        <family val="2"/>
      </rPr>
      <t>(may include new meters and modules, etc.)</t>
    </r>
  </si>
  <si>
    <t>Total Advanced Metering Regional Collector (AMRC)  (Includes LAN)</t>
  </si>
  <si>
    <t>1.3  ADVANCED METERING CONTROL COMPUTER (AMCC)</t>
  </si>
  <si>
    <t>1.3.1  Computer Hardware</t>
  </si>
  <si>
    <t>1.3.2  Computer Software</t>
  </si>
  <si>
    <t>1.3.3  Computer Software Licences &amp; Installation (includes hardware and software)</t>
  </si>
  <si>
    <r>
      <t xml:space="preserve">          </t>
    </r>
    <r>
      <rPr>
        <i/>
        <sz val="8"/>
        <rFont val="Arial"/>
        <family val="2"/>
      </rPr>
      <t>(may include AS/400 disk space, backup and recovery computer, UPS, etc.)</t>
    </r>
  </si>
  <si>
    <t>Total Advanced Metering Control Computer (AMCC)</t>
  </si>
  <si>
    <t>1.4  WIDE AREA NETWORK (WAN)</t>
  </si>
  <si>
    <t>1.4.1  Activiation Fees</t>
  </si>
  <si>
    <t>Total Wide Area Network (WAN)</t>
  </si>
  <si>
    <t>1.5  OTHER AMI CAPITAL COSTS RELATED TO MINIMUM FUNCTIONALITY</t>
  </si>
  <si>
    <t>1.5.2  AMI Interface to CIS</t>
  </si>
  <si>
    <t>1.5.3  Professional Fees</t>
  </si>
  <si>
    <t>1.5.4  Integration</t>
  </si>
  <si>
    <t>1.5.5  Program Management</t>
  </si>
  <si>
    <t>1.5.6  Other AMI Capital</t>
  </si>
  <si>
    <t>Total Other AMI Capital Costs Related to Minimum Functionality</t>
  </si>
  <si>
    <r>
      <t xml:space="preserve">1.5.1  Customer Equipment </t>
    </r>
    <r>
      <rPr>
        <i/>
        <sz val="8"/>
        <rFont val="Arial"/>
        <family val="2"/>
      </rPr>
      <t>(including repair of damaged equipment)</t>
    </r>
  </si>
  <si>
    <t>1.6  CAPITAL COSTS BEYOND MINIMUM FUNCTIONALITY</t>
  </si>
  <si>
    <t>(Please provide a descriptive title and identify nature of beyond minimum functionality costs)</t>
  </si>
  <si>
    <t>Total Capital Costs Beyond Minimum Functionality</t>
  </si>
  <si>
    <t>Total Capital Costs Related to Minimum Functionality</t>
  </si>
  <si>
    <t>Total Smart Meter Capital Costs</t>
  </si>
  <si>
    <t>OM&amp;A Expenses</t>
  </si>
  <si>
    <t>2.1  ADVANCED METERING COMMUNICATION DEVICE (AMCD)</t>
  </si>
  <si>
    <r>
      <t xml:space="preserve">2.1.1  Maintenance </t>
    </r>
    <r>
      <rPr>
        <i/>
        <sz val="8"/>
        <rFont val="Arial"/>
        <family val="2"/>
      </rPr>
      <t>(may include meter reverification costs, etc.)</t>
    </r>
  </si>
  <si>
    <t>Total Incremental AMCD OM&amp;A Costs</t>
  </si>
  <si>
    <r>
      <t xml:space="preserve">2.1.2  Other </t>
    </r>
    <r>
      <rPr>
        <i/>
        <sz val="8"/>
        <rFont val="Arial"/>
        <family val="2"/>
      </rPr>
      <t>(please specifiy)</t>
    </r>
  </si>
  <si>
    <r>
      <t xml:space="preserve">2.2.2  Other </t>
    </r>
    <r>
      <rPr>
        <i/>
        <sz val="8"/>
        <rFont val="Arial"/>
        <family val="2"/>
      </rPr>
      <t>(please specifiy)</t>
    </r>
  </si>
  <si>
    <t>Total Incremental AMCC OM&amp;A Costs</t>
  </si>
  <si>
    <t>2.2  ADVANCED METERING REGIONAL COLLECTOR (AMRC) (includes LAN)</t>
  </si>
  <si>
    <t>Total Incremental AMRC OM&amp;A Costs</t>
  </si>
  <si>
    <t>2.2.1  Maintenance</t>
  </si>
  <si>
    <t>2.3  ADVANCED METERING CONTROL COMPUTER (AMCC)</t>
  </si>
  <si>
    <r>
      <t xml:space="preserve">2.3.2  Other </t>
    </r>
    <r>
      <rPr>
        <i/>
        <sz val="8"/>
        <rFont val="Arial"/>
        <family val="2"/>
      </rPr>
      <t>(please specifiy)</t>
    </r>
  </si>
  <si>
    <t>2.4  WIDE AREA NETWORK (WAN)</t>
  </si>
  <si>
    <t>2.4.1  WAN Maintenance</t>
  </si>
  <si>
    <r>
      <t xml:space="preserve">2.4.2  Other </t>
    </r>
    <r>
      <rPr>
        <i/>
        <sz val="8"/>
        <rFont val="Arial"/>
        <family val="2"/>
      </rPr>
      <t>(please specifiy)</t>
    </r>
  </si>
  <si>
    <t>2.5  OTHER AMI OM&amp;A COSTS RELATED TO MINIMUM FUNCTIONALITY</t>
  </si>
  <si>
    <t>2.5.1  Business Process Redesign</t>
  </si>
  <si>
    <t>2.5.3  Program Management</t>
  </si>
  <si>
    <t xml:space="preserve">             (please specify)</t>
  </si>
  <si>
    <t>Total Other AMI OM&amp;A Costs Related to Minimum Functionality</t>
  </si>
  <si>
    <t>TOTAL OM&amp;A COSTS RELATED TO MINIMUM FUNCTIONALITY</t>
  </si>
  <si>
    <t>2.6  OM&amp;A COSTS RELATED TO BEYOND MINIMUM FUNCTIONALITY</t>
  </si>
  <si>
    <t>Total OM&amp;A Costs Beyond Minimum Functionality</t>
  </si>
  <si>
    <t>Total Smart Meter OM&amp;A Costs</t>
  </si>
  <si>
    <t>Cost of Capital</t>
  </si>
  <si>
    <t>Deemed Short-term Debt Rate</t>
  </si>
  <si>
    <t>Capital Structure</t>
  </si>
  <si>
    <t>Deemed Short-term Debt Capitalization</t>
  </si>
  <si>
    <t>Deemed Long-term Debt Capitalization</t>
  </si>
  <si>
    <t>Deemed Equity Capitalization</t>
  </si>
  <si>
    <t>Preferred Shares</t>
  </si>
  <si>
    <t>Cost of Capital Parameters</t>
  </si>
  <si>
    <t>Target Return on Equity (ROE)</t>
  </si>
  <si>
    <t>Return on Preferred Shares</t>
  </si>
  <si>
    <t>WACC</t>
  </si>
  <si>
    <t>Working Capital Allowance</t>
  </si>
  <si>
    <t>Working Capital Allowance Rate</t>
  </si>
  <si>
    <t>(% of the sum of Cost of Power + controllable expenses)</t>
  </si>
  <si>
    <t>Taxes/PILs</t>
  </si>
  <si>
    <t>Aggregate Corporate Income Tax Rate</t>
  </si>
  <si>
    <t>Depreciation Rates</t>
  </si>
  <si>
    <t>(expressed as expected useful life in years)</t>
  </si>
  <si>
    <t>Smart Meters</t>
  </si>
  <si>
    <t>CCA Rates</t>
  </si>
  <si>
    <t>Assumptions</t>
  </si>
  <si>
    <t>Planned smart meter installations occur evenly throughout the year.</t>
  </si>
  <si>
    <t>Fiscal calendar year (January 1 to December 31) used.</t>
  </si>
  <si>
    <t>Amortization is done on a striaght line basis and has the "half-year" rule applied.</t>
  </si>
  <si>
    <t>Net Fixed Assets - Smart Meters</t>
  </si>
  <si>
    <t>Opening Balance</t>
  </si>
  <si>
    <t>Capital Additions during year (from Smart Meter Costs)</t>
  </si>
  <si>
    <t>Retirements/Removals (if applicable)</t>
  </si>
  <si>
    <t>Closing Balance</t>
  </si>
  <si>
    <t>Net Fixed Assets - Computer Hardware</t>
  </si>
  <si>
    <t>Gross Book Value</t>
  </si>
  <si>
    <t>Accumulated Depreciation</t>
  </si>
  <si>
    <t>Net Book Value</t>
  </si>
  <si>
    <t>Average Net Book Value</t>
  </si>
  <si>
    <t>Net Fixed Assets - Tools and Equipment</t>
  </si>
  <si>
    <t>Net Fixed Assets - Other Equipment</t>
  </si>
  <si>
    <t>Capital</t>
  </si>
  <si>
    <t>3.1.1</t>
  </si>
  <si>
    <t>3.1</t>
  </si>
  <si>
    <t>3.1.2</t>
  </si>
  <si>
    <t>3.1.3</t>
  </si>
  <si>
    <t>3.1.4</t>
  </si>
  <si>
    <t>3.1.5</t>
  </si>
  <si>
    <t>3.1.6</t>
  </si>
  <si>
    <t>Total Capital Costs</t>
  </si>
  <si>
    <t>3.2</t>
  </si>
  <si>
    <t>OM&amp;A Costs</t>
  </si>
  <si>
    <t>3.2.1</t>
  </si>
  <si>
    <t>Total OM&amp;A Costs</t>
  </si>
  <si>
    <t>Aggregate Smart Meter Costs by Category</t>
  </si>
  <si>
    <t>Amortization expense during year</t>
  </si>
  <si>
    <t>Total Net Fixed Assets</t>
  </si>
  <si>
    <t>Working Capital</t>
  </si>
  <si>
    <t>Incremental Smart Meter Rate Base</t>
  </si>
  <si>
    <t>Return on Rate Base</t>
  </si>
  <si>
    <t>Deemed Short Term Debt</t>
  </si>
  <si>
    <t>Deemed Long Term Debt</t>
  </si>
  <si>
    <t>Equity</t>
  </si>
  <si>
    <t>Total Capitalization</t>
  </si>
  <si>
    <t>Return on</t>
  </si>
  <si>
    <t>Total Return on Capital</t>
  </si>
  <si>
    <t>Total Amortization Expense in Year</t>
  </si>
  <si>
    <t>Incremental Revenue Requirement before Taxes/PILs</t>
  </si>
  <si>
    <t>Calculation of Taxable Income</t>
  </si>
  <si>
    <t>Incremental Operating Expenses</t>
  </si>
  <si>
    <t>Amortization Expense</t>
  </si>
  <si>
    <t>Interest Expense</t>
  </si>
  <si>
    <t>Revenue Requirement, including Grossed-up Taxes/PILs</t>
  </si>
  <si>
    <t>Date</t>
  </si>
  <si>
    <t>Account 1555 - Sub-account Funding Adder Revenues</t>
  </si>
  <si>
    <t>Funding Adder Revenues</t>
  </si>
  <si>
    <t>Interest Rate</t>
  </si>
  <si>
    <t>Quarter</t>
  </si>
  <si>
    <t>Year</t>
  </si>
  <si>
    <t>Total Funding Adder Revenues Collected</t>
  </si>
  <si>
    <t>Interest Rates</t>
  </si>
  <si>
    <t>Approved Deferral and Variance Accounts</t>
  </si>
  <si>
    <t>CWIP</t>
  </si>
  <si>
    <t>2006 Q1</t>
  </si>
  <si>
    <t>2006 Q2</t>
  </si>
  <si>
    <t>2006 Q3</t>
  </si>
  <si>
    <t>2006 Q4</t>
  </si>
  <si>
    <t>2007 Q1</t>
  </si>
  <si>
    <t>2007 Q2</t>
  </si>
  <si>
    <t>2007 Q3</t>
  </si>
  <si>
    <t>2007 Q4</t>
  </si>
  <si>
    <t>2008 Q1</t>
  </si>
  <si>
    <t>2008 Q2</t>
  </si>
  <si>
    <t>2008 Q3</t>
  </si>
  <si>
    <t>2008 Q4</t>
  </si>
  <si>
    <t>2009 Q1</t>
  </si>
  <si>
    <t>2009 Q2</t>
  </si>
  <si>
    <t>2009 Q3</t>
  </si>
  <si>
    <t>2009 Q4</t>
  </si>
  <si>
    <t>2010 Q1</t>
  </si>
  <si>
    <t>2010 Q2</t>
  </si>
  <si>
    <t>2010 Q3</t>
  </si>
  <si>
    <t>2010 Q4</t>
  </si>
  <si>
    <t>2011 Q1</t>
  </si>
  <si>
    <t>2011 Q2</t>
  </si>
  <si>
    <t>2011 Q3</t>
  </si>
  <si>
    <t>2011 Q4</t>
  </si>
  <si>
    <t>2012 Q1</t>
  </si>
  <si>
    <t>2012 Q2</t>
  </si>
  <si>
    <t>2012 Q3</t>
  </si>
  <si>
    <t>2012 Q4</t>
  </si>
  <si>
    <t>Interest</t>
  </si>
  <si>
    <t>SMFA</t>
  </si>
  <si>
    <t>SMDR</t>
  </si>
  <si>
    <t>Annual amounts</t>
  </si>
  <si>
    <t>Net Deferred Revenue Requirement</t>
  </si>
  <si>
    <t>Check if applicable</t>
  </si>
  <si>
    <t xml:space="preserve"> </t>
  </si>
  <si>
    <t>Years for collection or refunding</t>
  </si>
  <si>
    <t>SMIRR</t>
  </si>
  <si>
    <t>Last COS Re-based Year</t>
  </si>
  <si>
    <t>Algoma Power Inc.</t>
  </si>
  <si>
    <t>Brantford Power Inc.</t>
  </si>
  <si>
    <t>Burlington Hydro Inc.</t>
  </si>
  <si>
    <t>Centre Wellington Hydro Ltd.</t>
  </si>
  <si>
    <t>Cooperative Hydro Embrun Inc.</t>
  </si>
  <si>
    <t>ENWIN Utilities Ltd.</t>
  </si>
  <si>
    <t>Essex Powerlines Corporation</t>
  </si>
  <si>
    <t>Festival Hydro Inc.</t>
  </si>
  <si>
    <t>Fort Frances Power Corporation</t>
  </si>
  <si>
    <t>Greater Sudbury Hydro Inc.</t>
  </si>
  <si>
    <t>Haldimand County Hydro Inc.</t>
  </si>
  <si>
    <t>Horizon Utilities Corporation</t>
  </si>
  <si>
    <t>Hydro Hawkesbury Inc.</t>
  </si>
  <si>
    <t>Hydro One Networks Inc.</t>
  </si>
  <si>
    <t>Hydro One Brampton Networks Inc.</t>
  </si>
  <si>
    <t>Kenora Hydro Electric Corporation Ltd.</t>
  </si>
  <si>
    <t>Kingston Hydro Corporation</t>
  </si>
  <si>
    <t>Kitchener-Wilmot Hydro Inc.</t>
  </si>
  <si>
    <t>Lakeland Power Distribution Ltd.</t>
  </si>
  <si>
    <t>London Hydro Inc.</t>
  </si>
  <si>
    <t>Midland Power Utility Corporation</t>
  </si>
  <si>
    <t>Niagara Peninsula Energy Inc.</t>
  </si>
  <si>
    <t>Niagara-on-the-Lake Hydro Inc.</t>
  </si>
  <si>
    <t>North Bay Hydro Distribution Limited</t>
  </si>
  <si>
    <t>Northern Ontario Wires Inc.</t>
  </si>
  <si>
    <t>Orangeville Hydro Limited</t>
  </si>
  <si>
    <t>Ottawa River Power Corporation</t>
  </si>
  <si>
    <t>Parry Sound Power Corporation</t>
  </si>
  <si>
    <t>PUC Distribution Inc.</t>
  </si>
  <si>
    <t>Renfrew Hydro Inc.</t>
  </si>
  <si>
    <t>Sioux Lookout Hydro Inc.</t>
  </si>
  <si>
    <t>St. Thomas Energy Inc.</t>
  </si>
  <si>
    <t>Tillsonburg Hydro Inc.</t>
  </si>
  <si>
    <t>Waterloo North Hydro Inc.</t>
  </si>
  <si>
    <t>West Coast Huron Energy Inc.</t>
  </si>
  <si>
    <t>Westario Power Inc.</t>
  </si>
  <si>
    <t>Whitby Hydro Electric Corporation</t>
  </si>
  <si>
    <t>Woodstock Hydro Services Inc.</t>
  </si>
  <si>
    <t>Veridian Connections Inc.</t>
  </si>
  <si>
    <t>E.L.K. Energy Inc.</t>
  </si>
  <si>
    <t>Toronto Hydro-Electric System Limited</t>
  </si>
  <si>
    <t>Wasaga Distribution Inc.</t>
  </si>
  <si>
    <t>Smart Meter Capital Cost and Operational Expense Data</t>
  </si>
  <si>
    <r>
      <t xml:space="preserve">2.3.1  Hardware Maintenance </t>
    </r>
    <r>
      <rPr>
        <i/>
        <sz val="8"/>
        <rFont val="Arial"/>
        <family val="2"/>
      </rPr>
      <t>(may include server support, etc.)</t>
    </r>
  </si>
  <si>
    <t>2.5.2  Customer Communication (may include project communication, etc.)</t>
  </si>
  <si>
    <t>2.5.4  Change Management (may include training, etc.)</t>
  </si>
  <si>
    <t>Computer Software - years</t>
  </si>
  <si>
    <t>Tools &amp; Equipment - years</t>
  </si>
  <si>
    <t>Computer Hardware - years</t>
  </si>
  <si>
    <t xml:space="preserve">                             - rate (%)</t>
  </si>
  <si>
    <t>Other Equipment    - years</t>
  </si>
  <si>
    <t>Smart Meters          - years</t>
  </si>
  <si>
    <t xml:space="preserve">                              - rate (%)</t>
  </si>
  <si>
    <r>
      <t>Capital Structure</t>
    </r>
    <r>
      <rPr>
        <b/>
        <vertAlign val="superscript"/>
        <sz val="10"/>
        <rFont val="Arial"/>
        <family val="2"/>
      </rPr>
      <t>1</t>
    </r>
  </si>
  <si>
    <r>
      <t>Long-term Debt Rate (actual/embedded/deemed)</t>
    </r>
    <r>
      <rPr>
        <vertAlign val="superscript"/>
        <sz val="10"/>
        <rFont val="Arial"/>
        <family val="2"/>
      </rPr>
      <t>2</t>
    </r>
  </si>
  <si>
    <t>PILs Calculation</t>
  </si>
  <si>
    <t>INCOME TAX</t>
  </si>
  <si>
    <t>Net Income</t>
  </si>
  <si>
    <r>
      <t>Amortization</t>
    </r>
    <r>
      <rPr>
        <i/>
        <sz val="8"/>
        <rFont val="Arial"/>
        <family val="2"/>
      </rPr>
      <t xml:space="preserve"> </t>
    </r>
  </si>
  <si>
    <t>CCA - Smart Meters</t>
  </si>
  <si>
    <t>CCA -  Other Equipment</t>
  </si>
  <si>
    <t>Change in taxable income</t>
  </si>
  <si>
    <t>Income Taxes Payable</t>
  </si>
  <si>
    <t>ONTARIO CAPITAL TAX</t>
  </si>
  <si>
    <t>Rate Base</t>
  </si>
  <si>
    <t>Less: Exemption</t>
  </si>
  <si>
    <t>Deemed Taxable Capital</t>
  </si>
  <si>
    <t>Net Amount (Taxable Capital x Rate)</t>
  </si>
  <si>
    <t>Change in Income Taxes Payable</t>
  </si>
  <si>
    <t>Change in OCT</t>
  </si>
  <si>
    <t>Average Net Fixed Asset Values (from Sheet 4)</t>
  </si>
  <si>
    <t>Operating Expenses (from Sheet 2)</t>
  </si>
  <si>
    <t>Working Capital Factor (from Sheet 3)</t>
  </si>
  <si>
    <t>Amortization Expenses (from Sheet 4)</t>
  </si>
  <si>
    <t>Smart Meter Funding Adder (SMFA)</t>
  </si>
  <si>
    <t>Smart Meter Disposition Rider (SMDR)</t>
  </si>
  <si>
    <t>Smart Meter Incremental Revenue Requirement Rate Rider (SMIRR)</t>
  </si>
  <si>
    <t>May 1, 2012 to April 30, 201X</t>
  </si>
  <si>
    <t>Check:  Forecasted SMDR Revenues</t>
  </si>
  <si>
    <t>Check:  Forecasted SMFA Revenues for 2012 test year</t>
  </si>
  <si>
    <t>Check:  Forecasted SMIRR Revenues</t>
  </si>
  <si>
    <t>1.6.1  Costs related to technical capabilities in the smart meters or related communications infrastructure that exceed those specified in O.Reg 425/06</t>
  </si>
  <si>
    <t xml:space="preserve">1.6.2  Costs for deployment of smart meters to customers other than residential                                                 and small general service </t>
  </si>
  <si>
    <t xml:space="preserve">1.6.3  Costs for TOU rate implementation, CIS system upgrades, web presentation,                                     integration with the MDM/R, etc.  </t>
  </si>
  <si>
    <t>Gross Up PILs</t>
  </si>
  <si>
    <t>Tax Rate</t>
  </si>
  <si>
    <t>For PILs Calculation</t>
  </si>
  <si>
    <t>UCC - Smart Meters</t>
  </si>
  <si>
    <t>Opening UCC</t>
  </si>
  <si>
    <t>Capital Additions</t>
  </si>
  <si>
    <t>UCC Before Half Year Rule</t>
  </si>
  <si>
    <t>Half Year Rule (1/2 Additions - Disposals)</t>
  </si>
  <si>
    <t>Reduced UCC</t>
  </si>
  <si>
    <t>CCA Rate Class</t>
  </si>
  <si>
    <t xml:space="preserve">CCA Rate </t>
  </si>
  <si>
    <t>CCA</t>
  </si>
  <si>
    <t>Closing UCC</t>
  </si>
  <si>
    <t>UCC - Computer Equipment</t>
  </si>
  <si>
    <t>Capital Additions Computer Hardware</t>
  </si>
  <si>
    <t>Capital Additions Computer Software</t>
  </si>
  <si>
    <t>UCC - General Equipment</t>
  </si>
  <si>
    <t>Capital Additions Tools &amp; Equipment</t>
  </si>
  <si>
    <t>Capital Additions Other Equipment</t>
  </si>
  <si>
    <t>Capital Tax (until July 1st, 2010)</t>
  </si>
  <si>
    <t>Smart Meters - CCA Class</t>
  </si>
  <si>
    <t>Smart Meters - CCA Rate</t>
  </si>
  <si>
    <t>Computer Equipment - CCA Class</t>
  </si>
  <si>
    <t>Computer Equipment - CCA Rate</t>
  </si>
  <si>
    <t>General Equipment - CCA Class</t>
  </si>
  <si>
    <t>General Equipment - CCA Rate</t>
  </si>
  <si>
    <t>2.6.1  Costs related to technical capabilities in the smart meters or related communications infrastructure that exceed those specified in O.Reg 425/06</t>
  </si>
  <si>
    <t xml:space="preserve">2.6.2  Costs for deployment of smart meters to customers other than residential                                                 and small general service </t>
  </si>
  <si>
    <t xml:space="preserve">2.6.3  Costs for TOU rate implementation, CIS system upgrades, web presentation,                                     integration with the MDM/R, etc.  </t>
  </si>
  <si>
    <t>Calculation of Smart Meter Funding Adder (per metered customer per month)</t>
  </si>
  <si>
    <t>Calculation of Smart Meter Disposition Rider (per metered customer per month)</t>
  </si>
  <si>
    <t>Calculation of Smart Meter Incremental Revenue Requirement Rate Rider (per metered customer per month)</t>
  </si>
  <si>
    <t>Deferred and forecasted Smart Meter Incremental Revenue Requirement (from Sheet 5)</t>
  </si>
  <si>
    <t>Operating Expenses</t>
  </si>
  <si>
    <t>Grossed-up Taxes/PILs (from Sheet 7)</t>
  </si>
  <si>
    <t>Tax Rate (from Sheet 3)</t>
  </si>
  <si>
    <t>Ontario Capital Tax Rate (from Sheet 3)</t>
  </si>
  <si>
    <t>The SMDR is calculated based on costs to December 31, 2011</t>
  </si>
  <si>
    <t>The SMIRR is calculated based on the incremental revenue requirement associated with the recovery of capital related costs to December 31, 2012 and associated OM&amp;A.</t>
  </si>
  <si>
    <t>2.5.5  Administration Costs</t>
  </si>
  <si>
    <t>2.5.6  Other AMI Expenses</t>
  </si>
  <si>
    <t>Board Approved Smart Meter Funding Adder (from Tariff)</t>
  </si>
  <si>
    <r>
      <t xml:space="preserve">2.3.2 Software Maintenance </t>
    </r>
    <r>
      <rPr>
        <i/>
        <sz val="8"/>
        <rFont val="Arial"/>
        <family val="2"/>
      </rPr>
      <t>(may include maintenance support, etc.)</t>
    </r>
  </si>
  <si>
    <t>Asset type must be selected to enable calculations</t>
  </si>
  <si>
    <t>Atikokan Hydro Inc.</t>
  </si>
  <si>
    <t>Chapleau Public Utilities Corporation</t>
  </si>
  <si>
    <t>Espanola Regional Hydro Distribution Corporation</t>
  </si>
  <si>
    <t>Fort Albany Power Corporation</t>
  </si>
  <si>
    <t>Grimsby Power Inc.</t>
  </si>
  <si>
    <t>Guelph Hydro Electric Systems Inc.</t>
  </si>
  <si>
    <t>Halton Hills Hydro Inc.</t>
  </si>
  <si>
    <t>Hydro 2000 Inc.</t>
  </si>
  <si>
    <t>Hydro Ottawa Limited</t>
  </si>
  <si>
    <t>Kashechewan Power Corporation</t>
  </si>
  <si>
    <t>Lakefront Utilities Inc.</t>
  </si>
  <si>
    <t>Oshawa PUC Networks Inc.</t>
  </si>
  <si>
    <t>Rideau St. Lawrence Distribution Inc.</t>
  </si>
  <si>
    <t>Wellington North Power Inc.</t>
  </si>
  <si>
    <t>Net Income for Taxes/PILs</t>
  </si>
  <si>
    <t>Forecast</t>
  </si>
  <si>
    <t>Opening Balance (Principal)</t>
  </si>
  <si>
    <t>Interest on Deferred and forecasted OM&amp;A and Amortization Expense (Sheet 8A/8B)</t>
  </si>
  <si>
    <t>SMFA Interest (from Sheet 8)</t>
  </si>
  <si>
    <t>Sheet 8A (Interest calculated on monthly balances)</t>
  </si>
  <si>
    <t>Sheet 8B (Interest calculated on average annual balances)</t>
  </si>
  <si>
    <t>Account 1556 - Sub-accounts Operating Expenses, Amortization Expenses, Carrying Charges</t>
  </si>
  <si>
    <t>Prescribed Interest Rates</t>
  </si>
  <si>
    <t>Amortization / Depreciation Expense</t>
  </si>
  <si>
    <t>Cumulative Interest</t>
  </si>
  <si>
    <t>Interest (on opening balance)</t>
  </si>
  <si>
    <t>Closing Balance (Principal)</t>
  </si>
  <si>
    <t>OM&amp;A</t>
  </si>
  <si>
    <t>Cumulative Interest to 2011</t>
  </si>
  <si>
    <t>Cumulative Interest to 2012</t>
  </si>
  <si>
    <t>Cumulative OM&amp;A and Amortization Expense</t>
  </si>
  <si>
    <t>Average Cumulative OM&amp;A and Amortization Expense</t>
  </si>
  <si>
    <t>(from Sheet 5)</t>
  </si>
  <si>
    <t>Average Annual Prescribed Interest Rate for Deferral and Variance Accounts (from Sheets 8A and 8B)</t>
  </si>
  <si>
    <t>Simple Interest on OM&amp;A and Amortization Expenses</t>
  </si>
  <si>
    <r>
      <t xml:space="preserve">(Check </t>
    </r>
    <r>
      <rPr>
        <b/>
        <sz val="10"/>
        <rFont val="Arial"/>
        <family val="2"/>
      </rPr>
      <t>one</t>
    </r>
    <r>
      <rPr>
        <sz val="10"/>
        <rFont val="Arial"/>
        <family val="2"/>
      </rPr>
      <t xml:space="preserve"> of the boxes below)</t>
    </r>
  </si>
  <si>
    <t>X</t>
  </si>
  <si>
    <t>SMFA Revenues (from Sheet 8)</t>
  </si>
  <si>
    <t>(Annual) Interest Rate</t>
  </si>
  <si>
    <t>PILs</t>
  </si>
  <si>
    <t>plus Interest on OM&amp;A and Amortization</t>
  </si>
  <si>
    <t>Plus Simple Interest on SMFA Revenues</t>
  </si>
  <si>
    <t>Applications Software - CCA Class</t>
  </si>
  <si>
    <t>Applications Software - CCA Rate</t>
  </si>
  <si>
    <t>UCC - Applications Software</t>
  </si>
  <si>
    <t>Applications Software</t>
  </si>
  <si>
    <t>3.1.7</t>
  </si>
  <si>
    <t>Capital Additions Applications Software</t>
  </si>
  <si>
    <t>CCA - Applications Software</t>
  </si>
  <si>
    <t>CCA - Computers</t>
  </si>
  <si>
    <t>Net Fixed Assets - Computer Software (including Applications Software)</t>
  </si>
  <si>
    <t>Computer Software                                    (Including Application Software)</t>
  </si>
  <si>
    <t>2013 Q4</t>
  </si>
  <si>
    <t>2013 Q1</t>
  </si>
  <si>
    <t>2013 Q2</t>
  </si>
  <si>
    <t>2013 Q3</t>
  </si>
  <si>
    <t>Cumulative Interest to 2013</t>
  </si>
  <si>
    <t xml:space="preserve">Net Deferred Revenues </t>
  </si>
  <si>
    <t>May 1, 2006 to December 31, 2012</t>
  </si>
  <si>
    <t>Number of Metered Customers (average for 2013 test year)</t>
  </si>
  <si>
    <t>- Number of metered customers for which smart meter were deployed as part of program).  Residential and GS &lt; 50 kW customer classes and any other metered classes involved (e.g. GS 50 to 4999 kW for which interval meters were upgraded to utilize AMI and ODS assets)</t>
  </si>
  <si>
    <t>Deferred Incremental Revenue Requirement from 2006 to December 31, 2012</t>
  </si>
  <si>
    <t xml:space="preserve">SMFA Revenues collected from 2006 to 2013 test year (inclusive) </t>
  </si>
  <si>
    <t>Incremental Revenue Requirement for 2013</t>
  </si>
  <si>
    <t>Class-specific SMDRs</t>
  </si>
  <si>
    <t>Revenue Requirement for Historical Years</t>
  </si>
  <si>
    <t>Return on Capital</t>
  </si>
  <si>
    <t>Depreciation/Amortization expense and related interest</t>
  </si>
  <si>
    <t>Total 2006 to 2012</t>
  </si>
  <si>
    <t>Weighted Meter Cost - Capital</t>
  </si>
  <si>
    <t>Operating Expenses and related interest</t>
  </si>
  <si>
    <t>Number of Smart Meters installed by Class</t>
  </si>
  <si>
    <t>Allocated per class</t>
  </si>
  <si>
    <t>Revenue Requirement before Taxes/PILs</t>
  </si>
  <si>
    <t>Grossed-up Taxes/PILs</t>
  </si>
  <si>
    <t>GS &lt; 50 kW</t>
  </si>
  <si>
    <t>GS 50 to 4999 kW</t>
  </si>
  <si>
    <t>Other (please specify)</t>
  </si>
  <si>
    <t>Explanation / Allocator</t>
  </si>
  <si>
    <t>%</t>
  </si>
  <si>
    <t>#</t>
  </si>
  <si>
    <t>Check Row if SMDR/SMIRR apply to class</t>
  </si>
  <si>
    <t>Revenue Requirement before PILs</t>
  </si>
  <si>
    <t>Total Revenue Requirement plus interest on OM&amp;A and depreciation expense</t>
  </si>
  <si>
    <t>Percentage of costs allocated to each class</t>
  </si>
  <si>
    <t>Percentage of costs for classes with SMDR/SMIRR</t>
  </si>
  <si>
    <t>SMFA Revenues plus interest expense</t>
  </si>
  <si>
    <t>SMFA Revenues directly attributable to class</t>
  </si>
  <si>
    <t>Residual SMFA Revenues (from other metered classes) attributed evenly</t>
  </si>
  <si>
    <t>Net Deferred Revenue Requirement to be recovered via SMDR</t>
  </si>
  <si>
    <t>Average number of metered customers by class (2013)</t>
  </si>
  <si>
    <t>Number of Years for SMDR recovery</t>
  </si>
  <si>
    <t>years</t>
  </si>
  <si>
    <t>Smart Meter Disposition Rider ($/month per metered customer in the customer class)</t>
  </si>
  <si>
    <t>Estimated SMDR Revenues</t>
  </si>
  <si>
    <t>Revenue Requirement for 2013</t>
  </si>
  <si>
    <t>Smart Meter Incremental Revenue Requirement Rate Rider ($/month per metered customer in the customer class)</t>
  </si>
  <si>
    <t>Estimated SMIRR Revenues</t>
  </si>
  <si>
    <t>The SMIRR is recovered as an annualized rate until the effective date of the distributor's next rebased rates resulting from a cost of service application</t>
  </si>
  <si>
    <t>Depreciation/Amortization expense</t>
  </si>
  <si>
    <t>Total Revenue Requirement for 2013</t>
  </si>
  <si>
    <t>year</t>
  </si>
  <si>
    <t>Average number of customers (2013)</t>
  </si>
  <si>
    <t>Attawapiskat Power Corporation</t>
  </si>
  <si>
    <t>Bluewater Power Distribution Corp.</t>
  </si>
  <si>
    <t>Brant County Power</t>
  </si>
  <si>
    <t>Cambridge and North Dumfries Hydro</t>
  </si>
  <si>
    <t>Canadian Niagara Power Inc. – Eastern Ontario Power/Fort Erie/Port Colborne</t>
  </si>
  <si>
    <t>COLLUS Power Corp.</t>
  </si>
  <si>
    <t xml:space="preserve">Utility Name   </t>
  </si>
  <si>
    <t>Enersource Hydro Mississauga Inc.</t>
  </si>
  <si>
    <t>Entegrus Powerlines Inc.</t>
  </si>
  <si>
    <t>Assigned EB Number</t>
  </si>
  <si>
    <t>Erie Thames Powerlines Corp.</t>
  </si>
  <si>
    <t>Name and Title</t>
  </si>
  <si>
    <t>Phone Number</t>
  </si>
  <si>
    <t>Email Address</t>
  </si>
  <si>
    <t>Hearst Power Distribution Co. Ltd.</t>
  </si>
  <si>
    <t>Note:  Drop-down lists are shaded blue; Input cells are shaded green.</t>
  </si>
  <si>
    <t>Hydro One Remote Communities Inc.</t>
  </si>
  <si>
    <t>Innisfil Hydro Dist. Systems Limited</t>
  </si>
  <si>
    <t>Milton Hydro Distribution Inc.</t>
  </si>
  <si>
    <t>Newmarket – Tay Power Distribution Ltd.</t>
  </si>
  <si>
    <t>Norfolk Power Distribution Ltd.</t>
  </si>
  <si>
    <t>Oakville Hydro Distribution Inc.</t>
  </si>
  <si>
    <t>Orillia Power Distribution Corp.</t>
  </si>
  <si>
    <t>Peterborough Distribution Inc.</t>
  </si>
  <si>
    <t>PowerStream Inc.</t>
  </si>
  <si>
    <t>Thunder Bay Hydro Electricity Distribution</t>
  </si>
  <si>
    <t>Welland Hydro Electric System Corp.</t>
  </si>
  <si>
    <t>Version</t>
  </si>
  <si>
    <t>Distributors must enter all incremental costs related to their smart meter program and all revenues recovered to date in the applicable tabs except for those costs (and associated revenues) for which the Board has approved on a final basis, i.e. capital costs have been included in rate base and OM&amp;A costs in revenue requirement.
For 2012, distributors that have completed their deployments by the end of 2011 are not expected to enter any capital costs.  However, for OM&amp;A, regardless of whether a distributor has deployments in 2012, distributors should enter the forecasted OM&amp;A for 2012 for all smart meters in service.</t>
  </si>
  <si>
    <t xml:space="preserve">This worksheet calculates the class-specific SMIRRs according to accepted practice.  A distributor may choose to use its own methodology, but should provide analogous support for its allocation and derivation of class-specific SMDRs and SMIRRs.
</t>
  </si>
  <si>
    <t xml:space="preserve">This worksheet calculates the class-specific SMDRs according to accepted practice.  A distributor may choose to use its own methodology, but should provide analogous support for its allocation and derivation of class-specific SMDRs and SMIRRs.
</t>
  </si>
  <si>
    <t xml:space="preserve">This worksheet calculates the Smart Meter Disposition Rider and the Smart Meter Incremental Revenue Requirement Rate Rider, if applicable.  This worksheet also calculates any new Smart Meter Funding Adder that a distributor may wish to request.  However, please note that in many 2011 IRM decisions, the Board noted that current funding adders will cease on April 30, 2011 and that the Board's expectation is that distributors will file for a final review of prudence at the earliest opportunity.  The Board also noted that the SMFA is a tool designed to provide advance funding and to mitigate the anticipated rate impact of smart meter costs when recovery of those costs is approved by the Board. The Board observed that the SMFA was not intended to be compensatory (return on and of capital) on a cumulative basis over the term the SMFA was in effect. The SMFA was initially designed to fund future investment, and not fully fund prior capital investment.  Distributors that seek a new SMFA should provide evidence to support its proposal.  This would include documentation of where the distributor is with respect to its smart meter deployment program, and reasons as to why the distributor's circumstances are such that continuation of the SMFA is warranted.  Press the "UPDATE WORKSHEET" button after choosing the applicable adders/riders.
</t>
  </si>
  <si>
    <t>This worksheet calculates the interest on OM&amp;A and amortization/depreciation expense, in the absence of monthly data.</t>
  </si>
  <si>
    <t>This worksheet calculates the interest on OM&amp;A and amortization/depreciation expense, based on monthly data.</t>
  </si>
  <si>
    <t xml:space="preserve">This worksheet calculates the funding adder revenues.
</t>
  </si>
  <si>
    <t>EB-2012_175</t>
  </si>
  <si>
    <t>May 1, 2013 to April 30, 2014</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</si>
</sst>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quot;$&quot;* #,##0_-;_-&quot;$&quot;* &quot;-&quot;_-;_-@_-"/>
    <numFmt numFmtId="44" formatCode="_-&quot;$&quot;* #,##0.00_-;\-&quot;$&quot;* #,##0.00_-;_-&quot;$&quot;* &quot;-&quot;??_-;_-@_-"/>
    <numFmt numFmtId="43" formatCode="_-* #,##0.00_-;\-* #,##0.00_-;_-* &quot;-&quot;??_-;_-@_-"/>
    <numFmt numFmtId="164" formatCode="_-&quot;$&quot;* #,##0_-;\-&quot;$&quot;* #,##0_-;_-&quot;$&quot;* &quot;-&quot;??_-;_-@_-"/>
    <numFmt numFmtId="165" formatCode="0.0%"/>
    <numFmt numFmtId="166" formatCode="_-* #,##0_-;\-* #,##0_-;_-* &quot;-&quot;??_-;_-@_-"/>
    <numFmt numFmtId="167" formatCode="[$-1009]mmmm\ d\,\ yyyy;@"/>
    <numFmt numFmtId="168" formatCode="0.000%"/>
  </numFmts>
  <fonts count="60" x14ac:knownFonts="1">
    <font>
      <sz val="10"/>
      <name val="Arial"/>
    </font>
    <font>
      <sz val="10"/>
      <name val="Arial"/>
      <family val="2"/>
    </font>
    <font>
      <b/>
      <u/>
      <sz val="14"/>
      <name val="Arial"/>
      <family val="2"/>
    </font>
    <font>
      <b/>
      <sz val="10"/>
      <name val="Arial"/>
      <family val="2"/>
    </font>
    <font>
      <b/>
      <sz val="14"/>
      <name val="Arial"/>
      <family val="2"/>
    </font>
    <font>
      <b/>
      <sz val="12"/>
      <name val="Arial"/>
      <family val="2"/>
    </font>
    <font>
      <i/>
      <sz val="8"/>
      <name val="Arial"/>
      <family val="2"/>
    </font>
    <font>
      <sz val="8"/>
      <name val="Arial"/>
      <family val="2"/>
    </font>
    <font>
      <b/>
      <sz val="11"/>
      <name val="Arial"/>
      <family val="2"/>
    </font>
    <font>
      <b/>
      <i/>
      <sz val="10"/>
      <name val="Arial"/>
      <family val="2"/>
    </font>
    <font>
      <sz val="10"/>
      <color indexed="10"/>
      <name val="Arial"/>
      <family val="2"/>
    </font>
    <font>
      <sz val="10"/>
      <color indexed="55"/>
      <name val="Arial"/>
      <family val="2"/>
    </font>
    <font>
      <b/>
      <sz val="10"/>
      <color indexed="55"/>
      <name val="Arial"/>
      <family val="2"/>
    </font>
    <font>
      <b/>
      <sz val="10"/>
      <color indexed="10"/>
      <name val="Arial"/>
      <family val="2"/>
    </font>
    <font>
      <b/>
      <sz val="12"/>
      <name val="Book Antiqua"/>
      <family val="1"/>
    </font>
    <font>
      <b/>
      <sz val="12"/>
      <color indexed="10"/>
      <name val="Arial"/>
      <family val="2"/>
    </font>
    <font>
      <b/>
      <sz val="11"/>
      <color indexed="48"/>
      <name val="Arial"/>
      <family val="2"/>
    </font>
    <font>
      <sz val="12"/>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sz val="14"/>
      <name val="Arial"/>
      <family val="2"/>
    </font>
    <font>
      <b/>
      <sz val="20"/>
      <name val="Arial"/>
      <family val="2"/>
    </font>
    <font>
      <sz val="11"/>
      <name val="Arial"/>
      <family val="2"/>
    </font>
    <font>
      <sz val="10"/>
      <name val="Arial"/>
      <family val="2"/>
    </font>
    <font>
      <i/>
      <sz val="10"/>
      <name val="Arial"/>
      <family val="2"/>
    </font>
    <font>
      <b/>
      <vertAlign val="superscript"/>
      <sz val="10"/>
      <name val="Arial"/>
      <family val="2"/>
    </font>
    <font>
      <vertAlign val="superscript"/>
      <sz val="10"/>
      <name val="Arial"/>
      <family val="2"/>
    </font>
    <font>
      <i/>
      <vertAlign val="superscript"/>
      <sz val="10"/>
      <name val="Arial"/>
      <family val="2"/>
    </font>
    <font>
      <sz val="10"/>
      <color indexed="12"/>
      <name val="Arial"/>
      <family val="2"/>
    </font>
    <font>
      <sz val="10"/>
      <color indexed="12"/>
      <name val="Arial"/>
      <family val="2"/>
    </font>
    <font>
      <b/>
      <i/>
      <sz val="8"/>
      <name val="Arial"/>
      <family val="2"/>
    </font>
    <font>
      <b/>
      <sz val="8"/>
      <color indexed="10"/>
      <name val="Arial"/>
      <family val="2"/>
    </font>
    <font>
      <sz val="8"/>
      <color indexed="81"/>
      <name val="Tahoma"/>
      <family val="2"/>
    </font>
    <font>
      <b/>
      <sz val="8"/>
      <color indexed="81"/>
      <name val="Tahoma"/>
      <family val="2"/>
    </font>
    <font>
      <b/>
      <i/>
      <sz val="8"/>
      <color indexed="55"/>
      <name val="Arial"/>
      <family val="2"/>
    </font>
    <font>
      <i/>
      <sz val="8"/>
      <color indexed="55"/>
      <name val="Arial"/>
      <family val="2"/>
    </font>
    <font>
      <sz val="10"/>
      <name val="Symbol"/>
      <family val="1"/>
      <charset val="2"/>
    </font>
    <font>
      <sz val="10"/>
      <color indexed="9"/>
      <name val="Arial"/>
      <family val="2"/>
    </font>
    <font>
      <b/>
      <sz val="10"/>
      <color rgb="FF000080"/>
      <name val="Arial"/>
      <family val="2"/>
    </font>
    <font>
      <sz val="10"/>
      <color theme="0" tint="-0.14999847407452621"/>
      <name val="Arial"/>
      <family val="2"/>
    </font>
    <font>
      <sz val="10"/>
      <color theme="0" tint="-0.34998626667073579"/>
      <name val="Arial"/>
      <family val="2"/>
    </font>
    <font>
      <sz val="10"/>
      <color theme="0" tint="-0.249977111117893"/>
      <name val="Arial"/>
      <family val="2"/>
    </font>
    <font>
      <sz val="10"/>
      <color rgb="FF000000"/>
      <name val="Arial"/>
      <family val="2"/>
    </font>
    <font>
      <b/>
      <sz val="11"/>
      <color theme="1"/>
      <name val="Calibri"/>
      <family val="2"/>
      <scheme val="minor"/>
    </font>
    <font>
      <b/>
      <sz val="10"/>
      <color theme="3"/>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8"/>
        <bgColor indexed="64"/>
      </patternFill>
    </fill>
    <fill>
      <patternFill patternType="solid">
        <fgColor indexed="22"/>
        <bgColor indexed="64"/>
      </patternFill>
    </fill>
    <fill>
      <patternFill patternType="solid">
        <fgColor theme="4" tint="0.79998168889431442"/>
        <bgColor indexed="64"/>
      </patternFill>
    </fill>
    <fill>
      <patternFill patternType="solid">
        <fgColor theme="6" tint="0.79998168889431442"/>
        <bgColor indexed="64"/>
      </patternFill>
    </fill>
  </fills>
  <borders count="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medium">
        <color indexed="22"/>
      </left>
      <right style="thin">
        <color indexed="22"/>
      </right>
      <top style="medium">
        <color indexed="22"/>
      </top>
      <bottom style="thin">
        <color indexed="22"/>
      </bottom>
      <diagonal/>
    </border>
    <border>
      <left/>
      <right style="thin">
        <color indexed="22"/>
      </right>
      <top style="medium">
        <color indexed="22"/>
      </top>
      <bottom style="thin">
        <color indexed="22"/>
      </bottom>
      <diagonal/>
    </border>
    <border>
      <left style="medium">
        <color indexed="22"/>
      </left>
      <right style="thin">
        <color indexed="22"/>
      </right>
      <top style="medium">
        <color indexed="22"/>
      </top>
      <bottom/>
      <diagonal/>
    </border>
    <border>
      <left style="medium">
        <color indexed="22"/>
      </left>
      <right style="thin">
        <color indexed="22"/>
      </right>
      <top style="medium">
        <color indexed="22"/>
      </top>
      <bottom style="medium">
        <color indexed="22"/>
      </bottom>
      <diagonal/>
    </border>
    <border>
      <left style="medium">
        <color indexed="22"/>
      </left>
      <right style="thin">
        <color indexed="22"/>
      </right>
      <top/>
      <bottom style="medium">
        <color indexed="22"/>
      </bottom>
      <diagonal/>
    </border>
    <border>
      <left style="medium">
        <color indexed="22"/>
      </left>
      <right style="medium">
        <color indexed="22"/>
      </right>
      <top style="medium">
        <color indexed="22"/>
      </top>
      <bottom style="medium">
        <color indexed="22"/>
      </bottom>
      <diagonal/>
    </border>
    <border>
      <left/>
      <right/>
      <top style="thin">
        <color indexed="55"/>
      </top>
      <bottom/>
      <diagonal/>
    </border>
    <border>
      <left/>
      <right/>
      <top style="thin">
        <color indexed="55"/>
      </top>
      <bottom style="medium">
        <color indexed="64"/>
      </bottom>
      <diagonal/>
    </border>
    <border>
      <left/>
      <right/>
      <top style="medium">
        <color indexed="64"/>
      </top>
      <bottom/>
      <diagonal/>
    </border>
    <border>
      <left/>
      <right/>
      <top style="medium">
        <color indexed="64"/>
      </top>
      <bottom style="double">
        <color indexed="64"/>
      </bottom>
      <diagonal/>
    </border>
    <border>
      <left/>
      <right/>
      <top style="double">
        <color indexed="64"/>
      </top>
      <bottom/>
      <diagonal/>
    </border>
    <border>
      <left style="thin">
        <color indexed="55"/>
      </left>
      <right/>
      <top/>
      <bottom/>
      <diagonal/>
    </border>
    <border>
      <left/>
      <right/>
      <top/>
      <bottom style="medium">
        <color indexed="64"/>
      </bottom>
      <diagonal/>
    </border>
    <border>
      <left/>
      <right/>
      <top/>
      <bottom style="double">
        <color indexed="64"/>
      </bottom>
      <diagonal/>
    </border>
    <border>
      <left/>
      <right/>
      <top style="double">
        <color indexed="64"/>
      </top>
      <bottom style="thick">
        <color indexed="64"/>
      </bottom>
      <diagonal/>
    </border>
    <border>
      <left/>
      <right/>
      <top style="thick">
        <color indexed="64"/>
      </top>
      <bottom/>
      <diagonal/>
    </border>
    <border>
      <left/>
      <right/>
      <top style="thick">
        <color indexed="64"/>
      </top>
      <bottom style="double">
        <color indexed="64"/>
      </bottom>
      <diagonal/>
    </border>
    <border>
      <left/>
      <right/>
      <top/>
      <bottom style="medium">
        <color indexed="22"/>
      </bottom>
      <diagonal/>
    </border>
    <border>
      <left/>
      <right style="medium">
        <color indexed="22"/>
      </right>
      <top/>
      <bottom/>
      <diagonal/>
    </border>
    <border>
      <left style="thin">
        <color indexed="22"/>
      </left>
      <right style="medium">
        <color indexed="22"/>
      </right>
      <top/>
      <bottom/>
      <diagonal/>
    </border>
    <border>
      <left/>
      <right/>
      <top/>
      <bottom style="dashed">
        <color indexed="55"/>
      </bottom>
      <diagonal/>
    </border>
    <border>
      <left/>
      <right style="dashed">
        <color indexed="55"/>
      </right>
      <top/>
      <bottom/>
      <diagonal/>
    </border>
    <border>
      <left/>
      <right style="dashed">
        <color indexed="55"/>
      </right>
      <top style="dashed">
        <color indexed="55"/>
      </top>
      <bottom/>
      <diagonal/>
    </border>
    <border>
      <left style="dashed">
        <color indexed="55"/>
      </left>
      <right/>
      <top/>
      <bottom style="dashed">
        <color indexed="55"/>
      </bottom>
      <diagonal/>
    </border>
    <border>
      <left/>
      <right style="dashed">
        <color indexed="55"/>
      </right>
      <top/>
      <bottom style="dashed">
        <color indexed="55"/>
      </bottom>
      <diagonal/>
    </border>
    <border>
      <left style="thin">
        <color indexed="22"/>
      </left>
      <right/>
      <top/>
      <bottom style="thin">
        <color indexed="55"/>
      </bottom>
      <diagonal/>
    </border>
    <border>
      <left style="thin">
        <color indexed="22"/>
      </left>
      <right style="thin">
        <color indexed="55"/>
      </right>
      <top style="thin">
        <color indexed="55"/>
      </top>
      <bottom style="medium">
        <color indexed="55"/>
      </bottom>
      <diagonal/>
    </border>
    <border>
      <left/>
      <right style="thin">
        <color indexed="22"/>
      </right>
      <top/>
      <bottom style="medium">
        <color indexed="22"/>
      </bottom>
      <diagonal/>
    </border>
    <border>
      <left/>
      <right style="thin">
        <color indexed="22"/>
      </right>
      <top/>
      <bottom style="thin">
        <color indexed="22"/>
      </bottom>
      <diagonal/>
    </border>
    <border>
      <left style="thick">
        <color theme="0" tint="-0.34998626667073579"/>
      </left>
      <right/>
      <top style="thick">
        <color theme="0" tint="-0.34998626667073579"/>
      </top>
      <bottom style="medium">
        <color theme="0" tint="-4.9989318521683403E-2"/>
      </bottom>
      <diagonal/>
    </border>
    <border>
      <left/>
      <right style="medium">
        <color theme="0" tint="-4.9989318521683403E-2"/>
      </right>
      <top style="thick">
        <color theme="0" tint="-0.34998626667073579"/>
      </top>
      <bottom style="medium">
        <color theme="0" tint="-4.9989318521683403E-2"/>
      </bottom>
      <diagonal/>
    </border>
    <border>
      <left style="thick">
        <color theme="0" tint="-0.24994659260841701"/>
      </left>
      <right style="thin">
        <color theme="0" tint="-4.9989318521683403E-2"/>
      </right>
      <top style="thick">
        <color theme="0" tint="-0.24994659260841701"/>
      </top>
      <bottom style="thin">
        <color theme="0" tint="-4.9989318521683403E-2"/>
      </bottom>
      <diagonal/>
    </border>
    <border>
      <left style="thick">
        <color theme="0" tint="-0.24994659260841701"/>
      </left>
      <right/>
      <top style="thick">
        <color theme="0" tint="-0.24994659260841701"/>
      </top>
      <bottom style="thin">
        <color theme="0" tint="-4.9989318521683403E-2"/>
      </bottom>
      <diagonal/>
    </border>
    <border>
      <left/>
      <right style="thin">
        <color theme="0" tint="-4.9989318521683403E-2"/>
      </right>
      <top style="thick">
        <color theme="0" tint="-0.24994659260841701"/>
      </top>
      <bottom style="thin">
        <color theme="0" tint="-4.9989318521683403E-2"/>
      </bottom>
      <diagonal/>
    </border>
  </borders>
  <cellStyleXfs count="48">
    <xf numFmtId="0" fontId="0" fillId="0" borderId="0"/>
    <xf numFmtId="0" fontId="18" fillId="2" borderId="0" applyNumberFormat="0" applyBorder="0" applyAlignment="0" applyProtection="0"/>
    <xf numFmtId="0" fontId="18" fillId="3" borderId="0" applyNumberFormat="0" applyBorder="0" applyAlignment="0" applyProtection="0"/>
    <xf numFmtId="0" fontId="18" fillId="4" borderId="0" applyNumberFormat="0" applyBorder="0" applyAlignment="0" applyProtection="0"/>
    <xf numFmtId="0" fontId="18" fillId="5" borderId="0" applyNumberFormat="0" applyBorder="0" applyAlignment="0" applyProtection="0"/>
    <xf numFmtId="0" fontId="18" fillId="6" borderId="0" applyNumberFormat="0" applyBorder="0" applyAlignment="0" applyProtection="0"/>
    <xf numFmtId="0" fontId="18" fillId="7" borderId="0" applyNumberFormat="0" applyBorder="0" applyAlignment="0" applyProtection="0"/>
    <xf numFmtId="0" fontId="18"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5" borderId="0" applyNumberFormat="0" applyBorder="0" applyAlignment="0" applyProtection="0"/>
    <xf numFmtId="0" fontId="18" fillId="8" borderId="0" applyNumberFormat="0" applyBorder="0" applyAlignment="0" applyProtection="0"/>
    <xf numFmtId="0" fontId="18" fillId="11" borderId="0" applyNumberFormat="0" applyBorder="0" applyAlignment="0" applyProtection="0"/>
    <xf numFmtId="0" fontId="19" fillId="12" borderId="0" applyNumberFormat="0" applyBorder="0" applyAlignment="0" applyProtection="0"/>
    <xf numFmtId="0" fontId="19" fillId="9" borderId="0" applyNumberFormat="0" applyBorder="0" applyAlignment="0" applyProtection="0"/>
    <xf numFmtId="0" fontId="19" fillId="10"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5"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18" borderId="0" applyNumberFormat="0" applyBorder="0" applyAlignment="0" applyProtection="0"/>
    <xf numFmtId="0" fontId="19" fillId="13" borderId="0" applyNumberFormat="0" applyBorder="0" applyAlignment="0" applyProtection="0"/>
    <xf numFmtId="0" fontId="19" fillId="14" borderId="0" applyNumberFormat="0" applyBorder="0" applyAlignment="0" applyProtection="0"/>
    <xf numFmtId="0" fontId="19" fillId="19" borderId="0" applyNumberFormat="0" applyBorder="0" applyAlignment="0" applyProtection="0"/>
    <xf numFmtId="0" fontId="20" fillId="3" borderId="0" applyNumberFormat="0" applyBorder="0" applyAlignment="0" applyProtection="0"/>
    <xf numFmtId="0" fontId="21" fillId="20" borderId="1" applyNumberFormat="0" applyAlignment="0" applyProtection="0"/>
    <xf numFmtId="0" fontId="22" fillId="21" borderId="2" applyNumberFormat="0" applyAlignment="0" applyProtection="0"/>
    <xf numFmtId="43" fontId="1" fillId="0" borderId="0" applyFont="0" applyFill="0" applyBorder="0" applyAlignment="0" applyProtection="0"/>
    <xf numFmtId="44" fontId="1" fillId="0" borderId="0" applyFont="0" applyFill="0" applyBorder="0" applyAlignment="0" applyProtection="0"/>
    <xf numFmtId="0" fontId="23" fillId="0" borderId="0" applyNumberFormat="0" applyFill="0" applyBorder="0" applyAlignment="0" applyProtection="0"/>
    <xf numFmtId="0" fontId="24" fillId="4" borderId="0" applyNumberFormat="0" applyBorder="0" applyAlignment="0" applyProtection="0"/>
    <xf numFmtId="0" fontId="25" fillId="0" borderId="3" applyNumberFormat="0" applyFill="0" applyAlignment="0" applyProtection="0"/>
    <xf numFmtId="0" fontId="26" fillId="0" borderId="4" applyNumberFormat="0" applyFill="0" applyAlignment="0" applyProtection="0"/>
    <xf numFmtId="0" fontId="27" fillId="0" borderId="5" applyNumberFormat="0" applyFill="0" applyAlignment="0" applyProtection="0"/>
    <xf numFmtId="0" fontId="27" fillId="0" borderId="0" applyNumberFormat="0" applyFill="0" applyBorder="0" applyAlignment="0" applyProtection="0"/>
    <xf numFmtId="0" fontId="28" fillId="7" borderId="1" applyNumberFormat="0" applyAlignment="0" applyProtection="0"/>
    <xf numFmtId="0" fontId="29" fillId="0" borderId="6" applyNumberFormat="0" applyFill="0" applyAlignment="0" applyProtection="0"/>
    <xf numFmtId="0" fontId="30" fillId="22" borderId="0" applyNumberFormat="0" applyBorder="0" applyAlignment="0" applyProtection="0"/>
    <xf numFmtId="0" fontId="1" fillId="0" borderId="0"/>
    <xf numFmtId="0" fontId="17" fillId="23" borderId="7" applyNumberFormat="0" applyFont="0" applyAlignment="0" applyProtection="0"/>
    <xf numFmtId="0" fontId="31" fillId="20" borderId="8" applyNumberFormat="0" applyAlignment="0" applyProtection="0"/>
    <xf numFmtId="9" fontId="1" fillId="0" borderId="0" applyFont="0" applyFill="0" applyBorder="0" applyAlignment="0" applyProtection="0"/>
    <xf numFmtId="0" fontId="32" fillId="0" borderId="0" applyNumberFormat="0" applyFill="0" applyBorder="0" applyAlignment="0" applyProtection="0"/>
    <xf numFmtId="0" fontId="33" fillId="0" borderId="9" applyNumberFormat="0" applyFill="0" applyAlignment="0" applyProtection="0"/>
    <xf numFmtId="0" fontId="34" fillId="0" borderId="0" applyNumberFormat="0" applyFill="0" applyBorder="0" applyAlignment="0" applyProtection="0"/>
    <xf numFmtId="0" fontId="38" fillId="0" borderId="0"/>
    <xf numFmtId="43" fontId="38" fillId="0" borderId="0" applyFont="0" applyFill="0" applyBorder="0" applyAlignment="0" applyProtection="0"/>
  </cellStyleXfs>
  <cellXfs count="393">
    <xf numFmtId="0" fontId="0" fillId="0" borderId="0" xfId="0"/>
    <xf numFmtId="0" fontId="0" fillId="24" borderId="0" xfId="0" applyFill="1" applyProtection="1"/>
    <xf numFmtId="0" fontId="36" fillId="24" borderId="0" xfId="0" applyFont="1" applyFill="1" applyProtection="1"/>
    <xf numFmtId="0" fontId="3" fillId="24" borderId="0" xfId="0" applyFont="1" applyFill="1" applyProtection="1"/>
    <xf numFmtId="0" fontId="38" fillId="24" borderId="0" xfId="0" applyFont="1" applyFill="1" applyProtection="1"/>
    <xf numFmtId="0" fontId="5" fillId="24" borderId="0" xfId="0" applyFont="1" applyFill="1" applyAlignment="1" applyProtection="1">
      <alignment horizontal="left"/>
    </xf>
    <xf numFmtId="0" fontId="3" fillId="24" borderId="0" xfId="0" applyFont="1" applyFill="1" applyAlignment="1" applyProtection="1">
      <alignment horizontal="center"/>
    </xf>
    <xf numFmtId="0" fontId="3" fillId="24" borderId="0" xfId="0" applyFont="1" applyFill="1" applyAlignment="1" applyProtection="1">
      <alignment horizontal="center" vertical="center" wrapText="1"/>
    </xf>
    <xf numFmtId="44" fontId="43" fillId="0" borderId="0" xfId="29" applyFont="1" applyFill="1" applyProtection="1"/>
    <xf numFmtId="44" fontId="1" fillId="0" borderId="10" xfId="29" applyFill="1" applyBorder="1" applyProtection="1"/>
    <xf numFmtId="0" fontId="0" fillId="0" borderId="0" xfId="0" applyFill="1" applyProtection="1"/>
    <xf numFmtId="44" fontId="43" fillId="0" borderId="0" xfId="29" applyFont="1" applyFill="1" applyBorder="1" applyProtection="1"/>
    <xf numFmtId="44" fontId="43" fillId="0" borderId="11" xfId="29" applyFont="1" applyFill="1" applyBorder="1" applyProtection="1"/>
    <xf numFmtId="44" fontId="1" fillId="0" borderId="0" xfId="29" applyFill="1" applyProtection="1"/>
    <xf numFmtId="168" fontId="1" fillId="0" borderId="0" xfId="42" applyNumberFormat="1" applyFill="1" applyProtection="1"/>
    <xf numFmtId="0" fontId="0" fillId="0" borderId="0" xfId="0" applyFill="1" applyAlignment="1" applyProtection="1">
      <alignment horizontal="center" wrapText="1"/>
    </xf>
    <xf numFmtId="44" fontId="13" fillId="0" borderId="10" xfId="29" applyFont="1" applyFill="1" applyBorder="1" applyProtection="1"/>
    <xf numFmtId="10" fontId="43" fillId="0" borderId="0" xfId="0" applyNumberFormat="1" applyFont="1" applyFill="1" applyAlignment="1" applyProtection="1">
      <alignment horizontal="right"/>
    </xf>
    <xf numFmtId="44" fontId="1" fillId="0" borderId="0" xfId="29" applyFill="1" applyBorder="1" applyProtection="1"/>
    <xf numFmtId="164" fontId="0" fillId="24" borderId="0" xfId="0" applyNumberFormat="1" applyFill="1" applyBorder="1" applyProtection="1"/>
    <xf numFmtId="0" fontId="4" fillId="24" borderId="0" xfId="0" applyFont="1" applyFill="1" applyProtection="1"/>
    <xf numFmtId="0" fontId="1" fillId="0" borderId="0" xfId="29" applyNumberFormat="1" applyFill="1" applyBorder="1" applyAlignment="1" applyProtection="1">
      <alignment horizontal="center"/>
    </xf>
    <xf numFmtId="9" fontId="1" fillId="0" borderId="0" xfId="42" applyFill="1" applyBorder="1" applyAlignment="1" applyProtection="1">
      <alignment horizontal="center"/>
    </xf>
    <xf numFmtId="44" fontId="1" fillId="0" borderId="0" xfId="29" applyFont="1" applyFill="1" applyBorder="1" applyProtection="1"/>
    <xf numFmtId="44" fontId="1" fillId="0" borderId="0" xfId="29" applyNumberFormat="1" applyFill="1" applyBorder="1" applyProtection="1"/>
    <xf numFmtId="44" fontId="1" fillId="0" borderId="12" xfId="29" applyFill="1" applyBorder="1" applyProtection="1"/>
    <xf numFmtId="0" fontId="3" fillId="24" borderId="0" xfId="0" applyFont="1" applyFill="1" applyAlignment="1" applyProtection="1">
      <alignment horizontal="right" vertical="center" wrapText="1"/>
    </xf>
    <xf numFmtId="168" fontId="44" fillId="0" borderId="0" xfId="42" applyNumberFormat="1" applyFont="1" applyFill="1" applyProtection="1"/>
    <xf numFmtId="0" fontId="0" fillId="0" borderId="0" xfId="0" applyAlignment="1" applyProtection="1">
      <alignment horizontal="left" indent="2"/>
    </xf>
    <xf numFmtId="0" fontId="0" fillId="0" borderId="0" xfId="0" applyBorder="1" applyProtection="1"/>
    <xf numFmtId="0" fontId="4" fillId="0" borderId="0" xfId="0" applyFont="1" applyAlignment="1" applyProtection="1"/>
    <xf numFmtId="0" fontId="0" fillId="0" borderId="0" xfId="0" applyProtection="1"/>
    <xf numFmtId="0" fontId="2" fillId="0" borderId="0" xfId="0" applyFont="1" applyAlignment="1" applyProtection="1"/>
    <xf numFmtId="0" fontId="2" fillId="0" borderId="0" xfId="0" applyFont="1" applyAlignment="1" applyProtection="1">
      <alignment horizontal="center"/>
    </xf>
    <xf numFmtId="0" fontId="5" fillId="0" borderId="0" xfId="0" applyFont="1" applyProtection="1"/>
    <xf numFmtId="0" fontId="2" fillId="0" borderId="0" xfId="0" applyFont="1" applyFill="1" applyAlignment="1" applyProtection="1">
      <alignment horizontal="center"/>
    </xf>
    <xf numFmtId="0" fontId="3" fillId="0" borderId="0" xfId="0" applyFont="1" applyBorder="1" applyAlignment="1" applyProtection="1">
      <alignment horizontal="center"/>
    </xf>
    <xf numFmtId="0" fontId="3" fillId="0" borderId="0" xfId="0" applyFont="1" applyAlignment="1" applyProtection="1">
      <alignment horizontal="center"/>
    </xf>
    <xf numFmtId="0" fontId="3" fillId="0" borderId="0" xfId="0" applyFont="1" applyAlignment="1" applyProtection="1">
      <alignment horizontal="center" wrapText="1"/>
    </xf>
    <xf numFmtId="0" fontId="3" fillId="0" borderId="0" xfId="0" applyFont="1" applyProtection="1"/>
    <xf numFmtId="0" fontId="0" fillId="0" borderId="0" xfId="0" applyFill="1" applyBorder="1" applyAlignment="1" applyProtection="1">
      <alignment horizontal="center" wrapText="1"/>
    </xf>
    <xf numFmtId="3" fontId="0" fillId="0" borderId="0" xfId="28" applyNumberFormat="1" applyFont="1" applyBorder="1" applyProtection="1"/>
    <xf numFmtId="3" fontId="0" fillId="0" borderId="0" xfId="28" applyNumberFormat="1" applyFont="1" applyProtection="1"/>
    <xf numFmtId="1" fontId="0" fillId="0" borderId="0" xfId="0" applyNumberFormat="1" applyProtection="1"/>
    <xf numFmtId="1" fontId="0" fillId="0" borderId="0" xfId="28" applyNumberFormat="1" applyFont="1" applyProtection="1"/>
    <xf numFmtId="1" fontId="0" fillId="0" borderId="19" xfId="0" applyNumberFormat="1" applyBorder="1" applyProtection="1"/>
    <xf numFmtId="1" fontId="0" fillId="0" borderId="20" xfId="0" applyNumberFormat="1" applyBorder="1" applyProtection="1"/>
    <xf numFmtId="1" fontId="0" fillId="0" borderId="0" xfId="0" applyNumberFormat="1" applyBorder="1" applyProtection="1"/>
    <xf numFmtId="0" fontId="38" fillId="0" borderId="0" xfId="0" applyFont="1" applyProtection="1"/>
    <xf numFmtId="1" fontId="0" fillId="0" borderId="12" xfId="0" applyNumberFormat="1" applyBorder="1" applyProtection="1"/>
    <xf numFmtId="1" fontId="0" fillId="0" borderId="21" xfId="0" applyNumberFormat="1" applyBorder="1" applyProtection="1"/>
    <xf numFmtId="1" fontId="0" fillId="0" borderId="22" xfId="0" applyNumberFormat="1" applyBorder="1" applyProtection="1"/>
    <xf numFmtId="0" fontId="0" fillId="0" borderId="23" xfId="0" applyBorder="1" applyProtection="1"/>
    <xf numFmtId="10" fontId="0" fillId="0" borderId="0" xfId="0" applyNumberFormat="1" applyProtection="1"/>
    <xf numFmtId="0" fontId="0" fillId="0" borderId="24" xfId="0" applyFill="1" applyBorder="1" applyAlignment="1" applyProtection="1"/>
    <xf numFmtId="0" fontId="8" fillId="0" borderId="0" xfId="0" applyFont="1" applyAlignment="1" applyProtection="1">
      <alignment vertical="top"/>
    </xf>
    <xf numFmtId="0" fontId="46" fillId="0" borderId="0" xfId="0" applyFont="1" applyAlignment="1" applyProtection="1">
      <alignment horizontal="center" vertical="center" wrapText="1"/>
    </xf>
    <xf numFmtId="0" fontId="0" fillId="0" borderId="0" xfId="0" applyAlignment="1" applyProtection="1">
      <alignment horizontal="center" wrapText="1"/>
    </xf>
    <xf numFmtId="0" fontId="0" fillId="0" borderId="0" xfId="0" applyAlignment="1" applyProtection="1">
      <alignment wrapText="1"/>
    </xf>
    <xf numFmtId="164" fontId="0" fillId="0" borderId="0" xfId="29" applyNumberFormat="1" applyFont="1" applyProtection="1"/>
    <xf numFmtId="42" fontId="0" fillId="0" borderId="0" xfId="29" applyNumberFormat="1" applyFont="1" applyProtection="1"/>
    <xf numFmtId="42" fontId="0" fillId="0" borderId="25" xfId="29" applyNumberFormat="1" applyFont="1" applyBorder="1" applyProtection="1"/>
    <xf numFmtId="42" fontId="0" fillId="0" borderId="22" xfId="29" applyNumberFormat="1" applyFont="1" applyBorder="1" applyProtection="1"/>
    <xf numFmtId="164" fontId="0" fillId="0" borderId="23" xfId="29" applyNumberFormat="1" applyFont="1" applyBorder="1" applyProtection="1"/>
    <xf numFmtId="42" fontId="0" fillId="0" borderId="23" xfId="29" applyNumberFormat="1" applyFont="1" applyBorder="1" applyProtection="1"/>
    <xf numFmtId="0" fontId="0" fillId="0" borderId="0" xfId="0" applyAlignment="1" applyProtection="1">
      <alignment horizontal="center"/>
    </xf>
    <xf numFmtId="42" fontId="3" fillId="0" borderId="0" xfId="0" applyNumberFormat="1" applyFont="1" applyAlignment="1" applyProtection="1">
      <alignment horizontal="center"/>
    </xf>
    <xf numFmtId="0" fontId="3" fillId="0" borderId="0" xfId="0" applyFont="1" applyAlignment="1" applyProtection="1">
      <alignment vertical="top"/>
    </xf>
    <xf numFmtId="42" fontId="0" fillId="0" borderId="0" xfId="0" applyNumberFormat="1" applyAlignment="1" applyProtection="1">
      <alignment horizontal="center" wrapText="1"/>
    </xf>
    <xf numFmtId="42" fontId="0" fillId="0" borderId="0" xfId="0" applyNumberFormat="1" applyProtection="1"/>
    <xf numFmtId="0" fontId="0" fillId="0" borderId="20" xfId="0" applyBorder="1" applyProtection="1"/>
    <xf numFmtId="42" fontId="0" fillId="0" borderId="22" xfId="0" applyNumberFormat="1" applyBorder="1" applyProtection="1"/>
    <xf numFmtId="42" fontId="0" fillId="0" borderId="23" xfId="0" applyNumberFormat="1" applyBorder="1" applyProtection="1"/>
    <xf numFmtId="42" fontId="3" fillId="0" borderId="0" xfId="0" applyNumberFormat="1" applyFont="1" applyAlignment="1" applyProtection="1">
      <alignment horizontal="center" wrapText="1"/>
    </xf>
    <xf numFmtId="0" fontId="0" fillId="0" borderId="0" xfId="0" applyAlignment="1" applyProtection="1">
      <alignment vertical="top" wrapText="1"/>
    </xf>
    <xf numFmtId="0" fontId="0" fillId="0" borderId="0" xfId="0" applyAlignment="1" applyProtection="1">
      <alignment horizontal="center" vertical="top" wrapText="1"/>
    </xf>
    <xf numFmtId="42" fontId="0" fillId="0" borderId="0" xfId="0" applyNumberFormat="1" applyAlignment="1" applyProtection="1">
      <alignment vertical="top" wrapText="1"/>
    </xf>
    <xf numFmtId="42" fontId="0" fillId="0" borderId="25" xfId="0" applyNumberFormat="1" applyBorder="1" applyProtection="1"/>
    <xf numFmtId="42" fontId="0" fillId="0" borderId="21" xfId="0" applyNumberFormat="1" applyBorder="1" applyProtection="1"/>
    <xf numFmtId="42" fontId="0" fillId="0" borderId="26" xfId="0" applyNumberFormat="1" applyBorder="1" applyProtection="1"/>
    <xf numFmtId="3" fontId="0" fillId="0" borderId="0" xfId="0" applyNumberFormat="1" applyProtection="1"/>
    <xf numFmtId="42" fontId="0" fillId="0" borderId="27" xfId="0" applyNumberFormat="1" applyBorder="1" applyProtection="1"/>
    <xf numFmtId="42" fontId="0" fillId="0" borderId="28" xfId="0" applyNumberFormat="1" applyBorder="1" applyProtection="1"/>
    <xf numFmtId="42" fontId="0" fillId="0" borderId="29" xfId="0" applyNumberFormat="1" applyBorder="1" applyProtection="1"/>
    <xf numFmtId="164" fontId="0" fillId="0" borderId="23" xfId="0" applyNumberFormat="1" applyBorder="1" applyProtection="1"/>
    <xf numFmtId="0" fontId="6" fillId="0" borderId="0" xfId="0" applyFont="1" applyProtection="1"/>
    <xf numFmtId="0" fontId="1" fillId="0" borderId="0" xfId="0" applyFont="1" applyFill="1" applyBorder="1" applyProtection="1"/>
    <xf numFmtId="0" fontId="0" fillId="0" borderId="24" xfId="0" applyBorder="1" applyProtection="1"/>
    <xf numFmtId="3" fontId="0" fillId="0" borderId="0" xfId="28" applyNumberFormat="1" applyFont="1" applyFill="1" applyBorder="1" applyProtection="1"/>
    <xf numFmtId="3" fontId="0" fillId="0" borderId="0" xfId="28" applyNumberFormat="1" applyFont="1" applyFill="1" applyProtection="1"/>
    <xf numFmtId="164" fontId="0" fillId="0" borderId="0" xfId="29" applyNumberFormat="1" applyFont="1" applyFill="1" applyProtection="1"/>
    <xf numFmtId="0" fontId="0" fillId="0" borderId="0" xfId="0" applyFill="1" applyBorder="1" applyProtection="1"/>
    <xf numFmtId="0" fontId="38" fillId="0" borderId="0" xfId="0" applyFont="1" applyAlignment="1" applyProtection="1"/>
    <xf numFmtId="0" fontId="1" fillId="0" borderId="0" xfId="0" applyFont="1" applyFill="1" applyBorder="1" applyAlignment="1" applyProtection="1"/>
    <xf numFmtId="0" fontId="38" fillId="0" borderId="0" xfId="0" applyFont="1" applyBorder="1" applyAlignment="1" applyProtection="1"/>
    <xf numFmtId="0" fontId="0" fillId="0" borderId="25" xfId="0" applyBorder="1" applyProtection="1"/>
    <xf numFmtId="0" fontId="3" fillId="0" borderId="0" xfId="0" quotePrefix="1" applyFont="1" applyProtection="1"/>
    <xf numFmtId="0" fontId="38" fillId="0" borderId="0" xfId="0" applyFont="1" applyAlignment="1" applyProtection="1">
      <alignment horizontal="left" indent="1"/>
    </xf>
    <xf numFmtId="42" fontId="3" fillId="0" borderId="25" xfId="0" applyNumberFormat="1" applyFont="1" applyBorder="1" applyProtection="1"/>
    <xf numFmtId="0" fontId="3" fillId="0" borderId="0" xfId="0" applyFont="1" applyAlignment="1" applyProtection="1">
      <alignment horizontal="left" indent="1"/>
    </xf>
    <xf numFmtId="42" fontId="3" fillId="0" borderId="21" xfId="0" applyNumberFormat="1" applyFont="1" applyBorder="1" applyProtection="1"/>
    <xf numFmtId="42" fontId="3" fillId="0" borderId="0" xfId="0" applyNumberFormat="1" applyFont="1" applyProtection="1"/>
    <xf numFmtId="42" fontId="3" fillId="0" borderId="22" xfId="0" applyNumberFormat="1" applyFont="1" applyBorder="1" applyProtection="1"/>
    <xf numFmtId="0" fontId="0" fillId="0" borderId="0" xfId="0" applyAlignment="1" applyProtection="1">
      <alignment horizontal="left"/>
    </xf>
    <xf numFmtId="0" fontId="0" fillId="0" borderId="0" xfId="0" quotePrefix="1" applyProtection="1"/>
    <xf numFmtId="165" fontId="0" fillId="0" borderId="0" xfId="0" applyNumberFormat="1" applyProtection="1"/>
    <xf numFmtId="165" fontId="0" fillId="0" borderId="0" xfId="42" applyNumberFormat="1" applyFont="1" applyFill="1" applyBorder="1" applyProtection="1"/>
    <xf numFmtId="165" fontId="0" fillId="0" borderId="0" xfId="0" applyNumberFormat="1" applyBorder="1" applyProtection="1"/>
    <xf numFmtId="165" fontId="0" fillId="0" borderId="0" xfId="42" applyNumberFormat="1" applyFont="1" applyBorder="1" applyProtection="1"/>
    <xf numFmtId="0" fontId="0" fillId="0" borderId="30" xfId="0" applyBorder="1" applyProtection="1"/>
    <xf numFmtId="0" fontId="0" fillId="0" borderId="31" xfId="0" applyBorder="1" applyProtection="1"/>
    <xf numFmtId="10" fontId="0" fillId="0" borderId="0" xfId="0" applyNumberFormat="1" applyFill="1" applyBorder="1" applyProtection="1"/>
    <xf numFmtId="10" fontId="0" fillId="0" borderId="0" xfId="42" applyNumberFormat="1" applyFont="1" applyProtection="1"/>
    <xf numFmtId="10" fontId="0" fillId="0" borderId="0" xfId="42" applyNumberFormat="1" applyFont="1" applyAlignment="1" applyProtection="1">
      <alignment horizontal="center"/>
    </xf>
    <xf numFmtId="168" fontId="0" fillId="0" borderId="0" xfId="42" applyNumberFormat="1" applyFont="1" applyAlignment="1" applyProtection="1">
      <alignment horizontal="center"/>
    </xf>
    <xf numFmtId="0" fontId="0" fillId="0" borderId="0" xfId="0" applyAlignment="1" applyProtection="1">
      <alignment horizontal="right"/>
    </xf>
    <xf numFmtId="0" fontId="38" fillId="0" borderId="0" xfId="0" quotePrefix="1" applyFont="1" applyProtection="1"/>
    <xf numFmtId="10" fontId="0" fillId="0" borderId="0" xfId="42" applyNumberFormat="1" applyFont="1" applyFill="1" applyBorder="1" applyProtection="1"/>
    <xf numFmtId="0" fontId="9" fillId="0" borderId="0" xfId="0" applyFont="1" applyProtection="1"/>
    <xf numFmtId="0" fontId="42" fillId="0" borderId="0" xfId="0" applyFont="1" applyProtection="1"/>
    <xf numFmtId="0" fontId="39" fillId="0" borderId="0" xfId="0" applyFont="1" applyProtection="1"/>
    <xf numFmtId="164" fontId="0" fillId="0" borderId="0" xfId="0" applyNumberFormat="1" applyProtection="1"/>
    <xf numFmtId="164" fontId="0" fillId="0" borderId="0" xfId="0" applyNumberFormat="1" applyBorder="1" applyProtection="1"/>
    <xf numFmtId="164" fontId="0" fillId="0" borderId="0" xfId="29" applyNumberFormat="1" applyFont="1" applyBorder="1" applyProtection="1"/>
    <xf numFmtId="164" fontId="0" fillId="0" borderId="12" xfId="0" applyNumberFormat="1" applyBorder="1" applyProtection="1"/>
    <xf numFmtId="164" fontId="0" fillId="0" borderId="32" xfId="29" applyNumberFormat="1" applyFont="1" applyBorder="1" applyProtection="1"/>
    <xf numFmtId="0" fontId="3" fillId="0" borderId="0" xfId="0" applyFont="1" applyAlignment="1" applyProtection="1">
      <alignment horizontal="center" vertical="center" wrapText="1"/>
    </xf>
    <xf numFmtId="164" fontId="0" fillId="0" borderId="26" xfId="29" applyNumberFormat="1" applyFont="1" applyBorder="1" applyProtection="1"/>
    <xf numFmtId="164" fontId="3" fillId="0" borderId="0" xfId="0" applyNumberFormat="1" applyFont="1" applyProtection="1"/>
    <xf numFmtId="164" fontId="3" fillId="0" borderId="23" xfId="0" applyNumberFormat="1" applyFont="1" applyBorder="1" applyProtection="1"/>
    <xf numFmtId="9" fontId="0" fillId="0" borderId="0" xfId="42" applyFont="1" applyAlignment="1" applyProtection="1">
      <alignment horizontal="center"/>
    </xf>
    <xf numFmtId="164" fontId="0" fillId="0" borderId="26" xfId="0" applyNumberFormat="1" applyBorder="1" applyProtection="1"/>
    <xf numFmtId="0" fontId="3" fillId="0" borderId="0" xfId="0" applyFont="1" applyBorder="1" applyProtection="1"/>
    <xf numFmtId="0" fontId="9" fillId="0" borderId="0" xfId="0" applyFont="1" applyBorder="1" applyProtection="1"/>
    <xf numFmtId="0" fontId="10" fillId="0" borderId="0" xfId="0" applyFont="1" applyAlignment="1" applyProtection="1">
      <alignment horizontal="center"/>
    </xf>
    <xf numFmtId="0" fontId="10" fillId="0" borderId="0" xfId="0" applyFont="1" applyProtection="1"/>
    <xf numFmtId="0" fontId="0" fillId="0" borderId="26" xfId="0" applyBorder="1" applyProtection="1"/>
    <xf numFmtId="44" fontId="0" fillId="0" borderId="0" xfId="0" applyNumberFormat="1" applyProtection="1"/>
    <xf numFmtId="168" fontId="44" fillId="0" borderId="0" xfId="39" applyNumberFormat="1" applyFont="1" applyFill="1" applyProtection="1"/>
    <xf numFmtId="168" fontId="1" fillId="0" borderId="0" xfId="39" applyNumberFormat="1" applyFill="1" applyProtection="1"/>
    <xf numFmtId="10" fontId="44" fillId="24" borderId="0" xfId="0" applyNumberFormat="1" applyFont="1" applyFill="1" applyAlignment="1" applyProtection="1">
      <alignment horizontal="right"/>
    </xf>
    <xf numFmtId="0" fontId="3" fillId="0" borderId="0" xfId="0" applyFont="1" applyAlignment="1" applyProtection="1">
      <alignment horizontal="left"/>
    </xf>
    <xf numFmtId="0" fontId="12" fillId="0" borderId="0" xfId="0" applyFont="1" applyProtection="1"/>
    <xf numFmtId="0" fontId="3" fillId="0" borderId="0" xfId="0" applyFont="1" applyBorder="1" applyAlignment="1" applyProtection="1">
      <alignment horizontal="center" wrapText="1"/>
    </xf>
    <xf numFmtId="0" fontId="3" fillId="0" borderId="0" xfId="0" applyFont="1" applyBorder="1" applyAlignment="1" applyProtection="1">
      <alignment horizontal="center" vertical="center" wrapText="1"/>
    </xf>
    <xf numFmtId="0" fontId="45" fillId="0" borderId="0" xfId="0" applyFont="1" applyBorder="1" applyAlignment="1" applyProtection="1">
      <alignment horizontal="center"/>
    </xf>
    <xf numFmtId="0" fontId="12" fillId="0" borderId="0" xfId="0" applyFont="1" applyBorder="1" applyProtection="1"/>
    <xf numFmtId="0" fontId="0" fillId="0" borderId="0" xfId="0" applyBorder="1" applyAlignment="1" applyProtection="1">
      <alignment horizontal="center"/>
    </xf>
    <xf numFmtId="0" fontId="3" fillId="0" borderId="0" xfId="0" applyFont="1" applyBorder="1" applyAlignment="1" applyProtection="1">
      <alignment wrapText="1"/>
    </xf>
    <xf numFmtId="0" fontId="44" fillId="25" borderId="0" xfId="0" applyFont="1" applyFill="1" applyBorder="1" applyProtection="1"/>
    <xf numFmtId="0" fontId="44" fillId="25" borderId="0" xfId="0" applyFont="1" applyFill="1" applyProtection="1"/>
    <xf numFmtId="17" fontId="0" fillId="0" borderId="0" xfId="0" applyNumberFormat="1" applyProtection="1"/>
    <xf numFmtId="0" fontId="6" fillId="0" borderId="0" xfId="0" applyFont="1" applyAlignment="1" applyProtection="1">
      <alignment horizontal="center"/>
    </xf>
    <xf numFmtId="0" fontId="11" fillId="0" borderId="0" xfId="0" applyFont="1" applyProtection="1"/>
    <xf numFmtId="44" fontId="0" fillId="0" borderId="0" xfId="29" applyNumberFormat="1" applyFont="1" applyProtection="1"/>
    <xf numFmtId="10" fontId="0" fillId="0" borderId="0" xfId="42" applyNumberFormat="1" applyFont="1" applyFill="1" applyProtection="1"/>
    <xf numFmtId="44" fontId="0" fillId="0" borderId="0" xfId="29" applyNumberFormat="1" applyFont="1" applyBorder="1" applyProtection="1"/>
    <xf numFmtId="10" fontId="0" fillId="0" borderId="0" xfId="0" applyNumberFormat="1" applyAlignment="1" applyProtection="1">
      <alignment horizontal="center"/>
    </xf>
    <xf numFmtId="0" fontId="39" fillId="0" borderId="26" xfId="0" applyFont="1" applyBorder="1" applyProtection="1"/>
    <xf numFmtId="44" fontId="0" fillId="0" borderId="26" xfId="0" applyNumberFormat="1" applyBorder="1" applyProtection="1"/>
    <xf numFmtId="0" fontId="39" fillId="0" borderId="23" xfId="0" applyFont="1" applyBorder="1" applyProtection="1"/>
    <xf numFmtId="44" fontId="3" fillId="0" borderId="0" xfId="0" applyNumberFormat="1" applyFont="1" applyProtection="1"/>
    <xf numFmtId="44" fontId="3" fillId="0" borderId="23" xfId="0" applyNumberFormat="1" applyFont="1" applyBorder="1" applyProtection="1"/>
    <xf numFmtId="44" fontId="3" fillId="0" borderId="0" xfId="0" applyNumberFormat="1" applyFont="1" applyBorder="1" applyProtection="1"/>
    <xf numFmtId="10" fontId="0" fillId="0" borderId="0" xfId="0" applyNumberFormat="1" applyFill="1" applyProtection="1"/>
    <xf numFmtId="10" fontId="0" fillId="0" borderId="24" xfId="0" applyNumberFormat="1" applyFill="1" applyBorder="1" applyProtection="1"/>
    <xf numFmtId="0" fontId="39" fillId="0" borderId="19" xfId="0" applyFont="1" applyBorder="1" applyProtection="1"/>
    <xf numFmtId="0" fontId="49" fillId="0" borderId="0" xfId="0" applyFont="1" applyBorder="1" applyAlignment="1" applyProtection="1">
      <alignment horizontal="center"/>
    </xf>
    <xf numFmtId="1" fontId="50" fillId="0" borderId="0" xfId="0" applyNumberFormat="1" applyFont="1" applyProtection="1"/>
    <xf numFmtId="17" fontId="50" fillId="0" borderId="0" xfId="0" applyNumberFormat="1" applyFont="1" applyAlignment="1" applyProtection="1">
      <alignment horizontal="center"/>
    </xf>
    <xf numFmtId="43" fontId="0" fillId="0" borderId="0" xfId="0" applyNumberFormat="1" applyProtection="1"/>
    <xf numFmtId="0" fontId="44" fillId="0" borderId="0" xfId="0" applyFont="1" applyFill="1" applyBorder="1" applyProtection="1"/>
    <xf numFmtId="0" fontId="3" fillId="0" borderId="0" xfId="0" applyFont="1" applyAlignment="1" applyProtection="1">
      <alignment wrapText="1"/>
    </xf>
    <xf numFmtId="0" fontId="0" fillId="0" borderId="0" xfId="0" applyAlignment="1" applyProtection="1">
      <alignment vertical="top"/>
    </xf>
    <xf numFmtId="44" fontId="0" fillId="0" borderId="0" xfId="0" applyNumberFormat="1" applyAlignment="1" applyProtection="1">
      <alignment horizontal="center"/>
    </xf>
    <xf numFmtId="44" fontId="0" fillId="0" borderId="0" xfId="29" applyFont="1" applyAlignment="1" applyProtection="1">
      <alignment horizontal="center"/>
    </xf>
    <xf numFmtId="0" fontId="3" fillId="26" borderId="0" xfId="0" applyFont="1" applyFill="1" applyProtection="1"/>
    <xf numFmtId="0" fontId="0" fillId="26" borderId="0" xfId="0" applyFill="1" applyProtection="1"/>
    <xf numFmtId="0" fontId="0" fillId="26" borderId="0" xfId="0" applyFill="1" applyAlignment="1" applyProtection="1">
      <alignment horizontal="center"/>
    </xf>
    <xf numFmtId="44" fontId="0" fillId="26" borderId="0" xfId="0" applyNumberFormat="1" applyFill="1" applyAlignment="1" applyProtection="1">
      <alignment horizontal="center"/>
    </xf>
    <xf numFmtId="0" fontId="13" fillId="0" borderId="0" xfId="0" applyFont="1" applyAlignment="1" applyProtection="1">
      <alignment horizontal="center"/>
    </xf>
    <xf numFmtId="44" fontId="0" fillId="0" borderId="0" xfId="29" applyFont="1" applyProtection="1"/>
    <xf numFmtId="0" fontId="0" fillId="0" borderId="33" xfId="0" applyBorder="1" applyProtection="1"/>
    <xf numFmtId="44" fontId="0" fillId="0" borderId="33" xfId="29" applyFont="1" applyBorder="1" applyProtection="1"/>
    <xf numFmtId="44" fontId="0" fillId="0" borderId="33" xfId="0" applyNumberFormat="1" applyBorder="1" applyProtection="1"/>
    <xf numFmtId="0" fontId="0" fillId="0" borderId="34" xfId="0" applyBorder="1" applyProtection="1"/>
    <xf numFmtId="0" fontId="34" fillId="0" borderId="0" xfId="0" applyFont="1" applyFill="1" applyBorder="1" applyProtection="1"/>
    <xf numFmtId="44" fontId="0" fillId="0" borderId="0" xfId="29" applyFont="1" applyFill="1" applyBorder="1" applyProtection="1"/>
    <xf numFmtId="44" fontId="0" fillId="0" borderId="0" xfId="29" applyFont="1" applyBorder="1" applyProtection="1"/>
    <xf numFmtId="44" fontId="0" fillId="0" borderId="0" xfId="0" applyNumberFormat="1" applyBorder="1" applyProtection="1"/>
    <xf numFmtId="0" fontId="0" fillId="0" borderId="35" xfId="0" applyBorder="1" applyProtection="1"/>
    <xf numFmtId="44" fontId="11" fillId="0" borderId="0" xfId="29" applyFont="1" applyBorder="1" applyProtection="1"/>
    <xf numFmtId="0" fontId="11" fillId="0" borderId="0" xfId="0" applyFont="1" applyBorder="1" applyProtection="1"/>
    <xf numFmtId="44" fontId="11" fillId="0" borderId="0" xfId="0" applyNumberFormat="1" applyFont="1" applyBorder="1" applyProtection="1"/>
    <xf numFmtId="0" fontId="0" fillId="0" borderId="34" xfId="0" applyFill="1" applyBorder="1" applyProtection="1"/>
    <xf numFmtId="0" fontId="3" fillId="0" borderId="0" xfId="0" applyFont="1" applyFill="1" applyBorder="1" applyAlignment="1" applyProtection="1">
      <alignment horizontal="center"/>
    </xf>
    <xf numFmtId="44" fontId="11" fillId="0" borderId="0" xfId="29" applyFont="1" applyFill="1" applyBorder="1" applyProtection="1"/>
    <xf numFmtId="0" fontId="11" fillId="0" borderId="0" xfId="0" applyFont="1" applyFill="1" applyBorder="1" applyProtection="1"/>
    <xf numFmtId="44" fontId="11" fillId="0" borderId="0" xfId="0" applyNumberFormat="1" applyFont="1" applyFill="1" applyBorder="1" applyProtection="1"/>
    <xf numFmtId="0" fontId="0" fillId="0" borderId="36" xfId="0" applyBorder="1" applyProtection="1"/>
    <xf numFmtId="0" fontId="0" fillId="0" borderId="37" xfId="0" applyBorder="1" applyProtection="1"/>
    <xf numFmtId="0" fontId="0" fillId="0" borderId="0" xfId="0" quotePrefix="1" applyFill="1" applyBorder="1" applyAlignment="1" applyProtection="1"/>
    <xf numFmtId="44" fontId="0" fillId="0" borderId="0" xfId="29" quotePrefix="1" applyFont="1" applyFill="1" applyBorder="1" applyAlignment="1" applyProtection="1"/>
    <xf numFmtId="0" fontId="15" fillId="0" borderId="0" xfId="0" applyFont="1" applyAlignment="1" applyProtection="1">
      <alignment horizontal="left" indent="2"/>
    </xf>
    <xf numFmtId="9" fontId="0" fillId="0" borderId="0" xfId="0" applyNumberFormat="1" applyFill="1" applyBorder="1" applyProtection="1"/>
    <xf numFmtId="10" fontId="0" fillId="0" borderId="38" xfId="42" applyNumberFormat="1" applyFont="1" applyFill="1" applyBorder="1" applyProtection="1"/>
    <xf numFmtId="44" fontId="0" fillId="0" borderId="24" xfId="29" applyNumberFormat="1" applyFont="1" applyBorder="1" applyProtection="1"/>
    <xf numFmtId="0" fontId="38" fillId="24" borderId="0" xfId="0" applyFont="1" applyFill="1" applyAlignment="1" applyProtection="1">
      <alignment wrapText="1"/>
    </xf>
    <xf numFmtId="44" fontId="43" fillId="0" borderId="0" xfId="29" applyFont="1" applyFill="1" applyBorder="1" applyAlignment="1" applyProtection="1">
      <alignment vertical="center"/>
    </xf>
    <xf numFmtId="164" fontId="0" fillId="0" borderId="30" xfId="29" applyNumberFormat="1" applyFont="1" applyBorder="1" applyProtection="1"/>
    <xf numFmtId="164" fontId="0" fillId="0" borderId="31" xfId="29" applyNumberFormat="1" applyFont="1" applyBorder="1" applyProtection="1"/>
    <xf numFmtId="164" fontId="0" fillId="24" borderId="0" xfId="29" applyNumberFormat="1" applyFont="1" applyFill="1" applyBorder="1" applyProtection="1">
      <protection locked="0"/>
    </xf>
    <xf numFmtId="164" fontId="0" fillId="24" borderId="0" xfId="29" applyNumberFormat="1" applyFont="1" applyFill="1" applyBorder="1" applyProtection="1"/>
    <xf numFmtId="164" fontId="0" fillId="0" borderId="30" xfId="0" applyNumberFormat="1" applyBorder="1" applyProtection="1"/>
    <xf numFmtId="164" fontId="0" fillId="0" borderId="32" xfId="0" applyNumberFormat="1" applyBorder="1" applyProtection="1"/>
    <xf numFmtId="164" fontId="0" fillId="0" borderId="31" xfId="0" applyNumberFormat="1" applyBorder="1" applyProtection="1"/>
    <xf numFmtId="0" fontId="3" fillId="24" borderId="0" xfId="0" applyFont="1" applyFill="1" applyAlignment="1" applyProtection="1">
      <alignment horizontal="center" wrapText="1"/>
    </xf>
    <xf numFmtId="164" fontId="0" fillId="24" borderId="0" xfId="0" applyNumberFormat="1" applyFill="1" applyProtection="1"/>
    <xf numFmtId="164" fontId="0" fillId="24" borderId="0" xfId="0" applyNumberFormat="1" applyFill="1" applyBorder="1" applyProtection="1">
      <protection locked="0"/>
    </xf>
    <xf numFmtId="10" fontId="0" fillId="0" borderId="0" xfId="0" applyNumberFormat="1" applyFill="1" applyAlignment="1" applyProtection="1">
      <alignment horizontal="center"/>
    </xf>
    <xf numFmtId="0" fontId="0" fillId="0" borderId="0" xfId="0" applyFill="1" applyBorder="1" applyProtection="1">
      <protection locked="0"/>
    </xf>
    <xf numFmtId="10" fontId="1" fillId="0" borderId="0" xfId="42" applyNumberFormat="1" applyAlignment="1" applyProtection="1">
      <alignment horizontal="center"/>
    </xf>
    <xf numFmtId="44" fontId="1" fillId="0" borderId="0" xfId="29" applyAlignment="1" applyProtection="1">
      <alignment horizontal="center"/>
    </xf>
    <xf numFmtId="10" fontId="1" fillId="0" borderId="0" xfId="42" applyNumberFormat="1" applyFont="1" applyAlignment="1" applyProtection="1">
      <alignment horizontal="center"/>
    </xf>
    <xf numFmtId="0" fontId="0" fillId="0" borderId="0" xfId="0" applyAlignment="1" applyProtection="1">
      <alignment horizontal="left" wrapText="1"/>
    </xf>
    <xf numFmtId="0" fontId="0" fillId="0" borderId="0" xfId="0" applyAlignment="1" applyProtection="1">
      <alignment horizontal="left" vertical="top" wrapText="1"/>
    </xf>
    <xf numFmtId="44" fontId="11" fillId="0" borderId="0" xfId="0" applyNumberFormat="1" applyFont="1" applyProtection="1"/>
    <xf numFmtId="44" fontId="11" fillId="0" borderId="0" xfId="0" applyNumberFormat="1" applyFont="1" applyAlignment="1" applyProtection="1">
      <alignment horizontal="center"/>
    </xf>
    <xf numFmtId="0" fontId="11" fillId="0" borderId="0" xfId="0" applyFont="1" applyAlignment="1" applyProtection="1">
      <alignment horizontal="center"/>
    </xf>
    <xf numFmtId="44" fontId="11" fillId="0" borderId="26" xfId="0" applyNumberFormat="1" applyFont="1" applyBorder="1" applyProtection="1"/>
    <xf numFmtId="0" fontId="0" fillId="0" borderId="0" xfId="0" applyFont="1" applyAlignment="1" applyProtection="1">
      <alignment vertical="center"/>
    </xf>
    <xf numFmtId="44" fontId="11" fillId="0" borderId="26" xfId="29" applyFont="1" applyBorder="1" applyProtection="1"/>
    <xf numFmtId="44" fontId="11" fillId="0" borderId="0" xfId="29" applyFont="1" applyProtection="1"/>
    <xf numFmtId="44" fontId="1" fillId="0" borderId="0" xfId="0" applyNumberFormat="1" applyFont="1" applyProtection="1"/>
    <xf numFmtId="0" fontId="1" fillId="0" borderId="0" xfId="0" applyFont="1" applyProtection="1"/>
    <xf numFmtId="44" fontId="1" fillId="0" borderId="23" xfId="0" applyNumberFormat="1" applyFont="1" applyBorder="1" applyProtection="1"/>
    <xf numFmtId="44" fontId="1" fillId="0" borderId="0" xfId="0" applyNumberFormat="1" applyFont="1" applyAlignment="1" applyProtection="1">
      <alignment horizontal="center"/>
    </xf>
    <xf numFmtId="0" fontId="1" fillId="0" borderId="0" xfId="0" applyFont="1" applyAlignment="1" applyProtection="1">
      <alignment horizontal="center"/>
    </xf>
    <xf numFmtId="44" fontId="11" fillId="0" borderId="0" xfId="29" applyFont="1" applyAlignment="1" applyProtection="1">
      <alignment horizontal="center"/>
    </xf>
    <xf numFmtId="0" fontId="3" fillId="0" borderId="0" xfId="0" applyFont="1" applyAlignment="1" applyProtection="1">
      <alignment vertical="top" wrapText="1"/>
    </xf>
    <xf numFmtId="0" fontId="0" fillId="0" borderId="0" xfId="0" applyAlignment="1" applyProtection="1">
      <alignment vertical="center" wrapText="1"/>
    </xf>
    <xf numFmtId="0" fontId="0" fillId="0" borderId="0" xfId="0" applyAlignment="1" applyProtection="1">
      <alignment horizontal="center" vertical="center" wrapText="1"/>
    </xf>
    <xf numFmtId="9" fontId="0" fillId="0" borderId="0" xfId="42" applyFont="1" applyProtection="1"/>
    <xf numFmtId="0" fontId="51" fillId="0" borderId="0" xfId="0" applyFont="1" applyProtection="1"/>
    <xf numFmtId="0" fontId="0" fillId="0" borderId="0" xfId="0" quotePrefix="1" applyAlignment="1" applyProtection="1">
      <alignment horizontal="center"/>
    </xf>
    <xf numFmtId="0" fontId="0" fillId="0" borderId="0" xfId="0" applyAlignment="1" applyProtection="1">
      <alignment vertical="center"/>
    </xf>
    <xf numFmtId="9" fontId="1" fillId="0" borderId="0" xfId="42" applyProtection="1"/>
    <xf numFmtId="44" fontId="1" fillId="0" borderId="0" xfId="29" applyProtection="1"/>
    <xf numFmtId="0" fontId="52" fillId="0" borderId="0" xfId="0" applyFont="1" applyAlignment="1" applyProtection="1">
      <alignment vertical="center"/>
    </xf>
    <xf numFmtId="0" fontId="52" fillId="0" borderId="0" xfId="0" applyFont="1" applyProtection="1"/>
    <xf numFmtId="44" fontId="52" fillId="0" borderId="0" xfId="0" applyNumberFormat="1" applyFont="1" applyAlignment="1" applyProtection="1">
      <alignment horizontal="center"/>
    </xf>
    <xf numFmtId="0" fontId="52" fillId="0" borderId="0" xfId="0" applyFont="1" applyAlignment="1" applyProtection="1">
      <alignment horizontal="center"/>
    </xf>
    <xf numFmtId="44" fontId="52" fillId="0" borderId="0" xfId="29" applyFont="1" applyProtection="1"/>
    <xf numFmtId="44" fontId="52" fillId="0" borderId="0" xfId="0" applyNumberFormat="1" applyFont="1" applyProtection="1"/>
    <xf numFmtId="0" fontId="52" fillId="0" borderId="0" xfId="0" applyFont="1" applyFill="1" applyProtection="1"/>
    <xf numFmtId="44" fontId="52" fillId="0" borderId="0" xfId="0" applyNumberFormat="1" applyFont="1" applyBorder="1" applyProtection="1"/>
    <xf numFmtId="44" fontId="52" fillId="0" borderId="0" xfId="29" applyFont="1" applyBorder="1" applyProtection="1"/>
    <xf numFmtId="0" fontId="52" fillId="0" borderId="0" xfId="0" applyFont="1" applyBorder="1" applyProtection="1"/>
    <xf numFmtId="44" fontId="52" fillId="0" borderId="0" xfId="0" applyNumberFormat="1" applyFont="1" applyBorder="1" applyAlignment="1" applyProtection="1">
      <alignment horizontal="center"/>
    </xf>
    <xf numFmtId="0" fontId="52" fillId="0" borderId="0" xfId="0" applyFont="1" applyBorder="1" applyAlignment="1" applyProtection="1">
      <alignment horizontal="center"/>
    </xf>
    <xf numFmtId="44" fontId="52" fillId="0" borderId="0" xfId="29" applyFont="1" applyBorder="1" applyAlignment="1" applyProtection="1">
      <alignment horizontal="center"/>
    </xf>
    <xf numFmtId="0" fontId="0" fillId="24" borderId="0" xfId="0" applyFill="1" applyAlignment="1" applyProtection="1">
      <alignment horizontal="center" vertical="center"/>
    </xf>
    <xf numFmtId="0" fontId="1" fillId="0" borderId="0" xfId="0" applyFont="1" applyFill="1" applyProtection="1"/>
    <xf numFmtId="44" fontId="0" fillId="0" borderId="0" xfId="29" applyFont="1" applyAlignment="1" applyProtection="1">
      <alignment horizontal="center" vertical="top"/>
    </xf>
    <xf numFmtId="0" fontId="0" fillId="0" borderId="0" xfId="0" applyAlignment="1" applyProtection="1">
      <alignment horizontal="left"/>
    </xf>
    <xf numFmtId="0" fontId="0" fillId="0" borderId="0" xfId="0" applyAlignment="1" applyProtection="1">
      <alignment wrapText="1"/>
    </xf>
    <xf numFmtId="0" fontId="3" fillId="0" borderId="0" xfId="0" applyFont="1" applyAlignment="1" applyProtection="1">
      <alignment wrapText="1"/>
    </xf>
    <xf numFmtId="0" fontId="0" fillId="0" borderId="0" xfId="0" applyAlignment="1" applyProtection="1">
      <alignment horizontal="left" wrapText="1"/>
    </xf>
    <xf numFmtId="0" fontId="0" fillId="0" borderId="0" xfId="0" applyAlignment="1" applyProtection="1">
      <alignment horizontal="left" vertical="top" wrapText="1"/>
    </xf>
    <xf numFmtId="0" fontId="0" fillId="0" borderId="0" xfId="0" applyAlignment="1" applyProtection="1">
      <alignment vertical="center" wrapText="1"/>
    </xf>
    <xf numFmtId="0" fontId="45" fillId="0" borderId="0" xfId="0" applyFont="1" applyBorder="1" applyAlignment="1" applyProtection="1">
      <alignment horizontal="center" vertical="center"/>
    </xf>
    <xf numFmtId="0" fontId="3" fillId="0" borderId="0" xfId="0" applyFont="1" applyBorder="1" applyAlignment="1" applyProtection="1">
      <alignment horizontal="center" vertical="center"/>
    </xf>
    <xf numFmtId="44" fontId="11" fillId="0" borderId="0" xfId="0" applyNumberFormat="1" applyFont="1" applyFill="1" applyProtection="1"/>
    <xf numFmtId="44" fontId="54" fillId="0" borderId="0" xfId="0" applyNumberFormat="1" applyFont="1" applyFill="1" applyProtection="1"/>
    <xf numFmtId="44" fontId="55" fillId="0" borderId="0" xfId="0" applyNumberFormat="1" applyFont="1" applyFill="1" applyProtection="1"/>
    <xf numFmtId="10" fontId="11" fillId="0" borderId="0" xfId="42" applyNumberFormat="1" applyFont="1" applyFill="1" applyAlignment="1" applyProtection="1">
      <alignment horizontal="center"/>
    </xf>
    <xf numFmtId="10" fontId="1" fillId="0" borderId="26" xfId="42" applyNumberFormat="1" applyFont="1" applyBorder="1" applyAlignment="1" applyProtection="1">
      <alignment horizontal="center"/>
    </xf>
    <xf numFmtId="44" fontId="56" fillId="0" borderId="0" xfId="0" applyNumberFormat="1" applyFont="1" applyAlignment="1" applyProtection="1">
      <alignment horizontal="center"/>
    </xf>
    <xf numFmtId="10" fontId="0" fillId="24" borderId="0" xfId="42" applyNumberFormat="1" applyFont="1" applyFill="1" applyAlignment="1" applyProtection="1">
      <alignment horizontal="center"/>
    </xf>
    <xf numFmtId="0" fontId="0" fillId="0" borderId="0" xfId="0" applyFill="1" applyAlignment="1" applyProtection="1">
      <alignment horizontal="center"/>
    </xf>
    <xf numFmtId="166" fontId="0" fillId="24" borderId="0" xfId="28" applyNumberFormat="1" applyFont="1" applyFill="1" applyAlignment="1" applyProtection="1">
      <alignment horizontal="center"/>
    </xf>
    <xf numFmtId="166" fontId="0" fillId="0" borderId="0" xfId="28" applyNumberFormat="1" applyFont="1" applyFill="1" applyAlignment="1" applyProtection="1">
      <alignment horizontal="center"/>
    </xf>
    <xf numFmtId="0" fontId="0" fillId="0" borderId="0" xfId="0" applyFill="1" applyAlignment="1" applyProtection="1">
      <alignment horizontal="center" vertical="top" wrapText="1"/>
    </xf>
    <xf numFmtId="0" fontId="38" fillId="0" borderId="0" xfId="46" applyProtection="1"/>
    <xf numFmtId="0" fontId="5" fillId="0" borderId="0" xfId="46" applyFont="1" applyAlignment="1" applyProtection="1">
      <alignment horizontal="center"/>
    </xf>
    <xf numFmtId="0" fontId="38" fillId="0" borderId="0" xfId="46" applyAlignment="1" applyProtection="1">
      <alignment horizontal="left"/>
    </xf>
    <xf numFmtId="0" fontId="57" fillId="0" borderId="0" xfId="46" applyFont="1" applyFill="1" applyBorder="1" applyAlignment="1">
      <alignment vertical="top" wrapText="1"/>
    </xf>
    <xf numFmtId="0" fontId="38" fillId="0" borderId="0" xfId="46" applyAlignment="1" applyProtection="1">
      <alignment horizontal="left"/>
      <protection locked="0"/>
    </xf>
    <xf numFmtId="0" fontId="38" fillId="0" borderId="0" xfId="46" applyAlignment="1" applyProtection="1">
      <alignment horizontal="center"/>
    </xf>
    <xf numFmtId="0" fontId="36" fillId="0" borderId="0" xfId="46" applyFont="1" applyProtection="1"/>
    <xf numFmtId="0" fontId="58" fillId="0" borderId="0" xfId="46" applyFont="1" applyAlignment="1" applyProtection="1">
      <alignment horizontal="right" vertical="center"/>
    </xf>
    <xf numFmtId="0" fontId="58" fillId="0" borderId="0" xfId="46" applyFont="1" applyAlignment="1" applyProtection="1">
      <alignment horizontal="right" vertical="center" indent="1"/>
    </xf>
    <xf numFmtId="0" fontId="38" fillId="28" borderId="44" xfId="46" applyFill="1" applyBorder="1" applyAlignment="1" applyProtection="1">
      <alignment vertical="center"/>
      <protection locked="0"/>
    </xf>
    <xf numFmtId="0" fontId="15" fillId="0" borderId="0" xfId="46" applyFont="1" applyAlignment="1" applyProtection="1">
      <alignment horizontal="left" vertical="center" wrapText="1"/>
    </xf>
    <xf numFmtId="0" fontId="3" fillId="0" borderId="0" xfId="46" applyFont="1" applyAlignment="1" applyProtection="1">
      <alignment horizontal="left"/>
    </xf>
    <xf numFmtId="0" fontId="3" fillId="0" borderId="0" xfId="46" applyFont="1" applyAlignment="1" applyProtection="1">
      <alignment horizontal="center"/>
    </xf>
    <xf numFmtId="0" fontId="0" fillId="0" borderId="0" xfId="47" applyNumberFormat="1" applyFont="1" applyAlignment="1" applyProtection="1">
      <alignment horizontal="center"/>
    </xf>
    <xf numFmtId="22" fontId="38" fillId="0" borderId="0" xfId="46" applyNumberFormat="1" applyAlignment="1" applyProtection="1">
      <alignment horizontal="center"/>
    </xf>
    <xf numFmtId="167" fontId="16" fillId="0" borderId="0" xfId="46" applyNumberFormat="1" applyFont="1" applyFill="1" applyBorder="1" applyAlignment="1" applyProtection="1">
      <alignment horizontal="left"/>
    </xf>
    <xf numFmtId="0" fontId="38" fillId="0" borderId="0" xfId="46" applyAlignment="1" applyProtection="1"/>
    <xf numFmtId="167" fontId="5" fillId="0" borderId="0" xfId="46" applyNumberFormat="1" applyFont="1" applyFill="1" applyAlignment="1" applyProtection="1">
      <alignment horizontal="center"/>
    </xf>
    <xf numFmtId="49" fontId="38" fillId="0" borderId="0" xfId="46" applyNumberFormat="1" applyProtection="1"/>
    <xf numFmtId="0" fontId="14" fillId="0" borderId="0" xfId="46" applyFont="1" applyFill="1" applyProtection="1"/>
    <xf numFmtId="0" fontId="5" fillId="27" borderId="44" xfId="46" applyFont="1" applyFill="1" applyBorder="1" applyAlignment="1" applyProtection="1">
      <alignment horizontal="center" vertical="center" wrapText="1"/>
      <protection locked="0"/>
    </xf>
    <xf numFmtId="0" fontId="5" fillId="0" borderId="0" xfId="46" applyFont="1" applyProtection="1"/>
    <xf numFmtId="0" fontId="38" fillId="0" borderId="0" xfId="46" applyFill="1" applyProtection="1"/>
    <xf numFmtId="0" fontId="38" fillId="0" borderId="0" xfId="46" applyFill="1" applyBorder="1" applyAlignment="1" applyProtection="1">
      <alignment horizontal="left"/>
    </xf>
    <xf numFmtId="0" fontId="14" fillId="0" borderId="0" xfId="46" applyFont="1" applyAlignment="1" applyProtection="1">
      <alignment horizontal="left" indent="4"/>
    </xf>
    <xf numFmtId="0" fontId="16" fillId="0" borderId="0" xfId="46" applyFont="1" applyFill="1" applyBorder="1" applyAlignment="1" applyProtection="1"/>
    <xf numFmtId="0" fontId="14" fillId="0" borderId="0" xfId="46" applyFont="1" applyProtection="1"/>
    <xf numFmtId="0" fontId="8" fillId="0" borderId="0" xfId="46" applyFont="1" applyFill="1" applyBorder="1" applyAlignment="1" applyProtection="1">
      <alignment horizontal="left"/>
    </xf>
    <xf numFmtId="0" fontId="14" fillId="0" borderId="0" xfId="46" applyFont="1" applyBorder="1" applyAlignment="1" applyProtection="1">
      <alignment horizontal="left" indent="4"/>
    </xf>
    <xf numFmtId="0" fontId="37" fillId="0" borderId="0" xfId="46" applyFont="1" applyFill="1" applyBorder="1" applyAlignment="1" applyProtection="1">
      <alignment horizontal="left"/>
    </xf>
    <xf numFmtId="0" fontId="14" fillId="0" borderId="0" xfId="46" applyFont="1" applyAlignment="1" applyProtection="1"/>
    <xf numFmtId="0" fontId="14" fillId="0" borderId="0" xfId="46" applyFont="1" applyBorder="1" applyAlignment="1" applyProtection="1"/>
    <xf numFmtId="0" fontId="14" fillId="0" borderId="0" xfId="46" applyFont="1" applyFill="1" applyBorder="1" applyAlignment="1" applyProtection="1">
      <alignment horizontal="left"/>
    </xf>
    <xf numFmtId="167" fontId="16" fillId="0" borderId="0" xfId="46" applyNumberFormat="1" applyFont="1" applyFill="1" applyBorder="1" applyAlignment="1" applyProtection="1"/>
    <xf numFmtId="0" fontId="14" fillId="0" borderId="0" xfId="46" applyFont="1" applyAlignment="1" applyProtection="1">
      <alignment vertical="top" wrapText="1"/>
    </xf>
    <xf numFmtId="0" fontId="14" fillId="0" borderId="0" xfId="46" applyFont="1" applyFill="1" applyBorder="1" applyAlignment="1" applyProtection="1">
      <alignment horizontal="left" vertical="top" wrapText="1"/>
    </xf>
    <xf numFmtId="167" fontId="16" fillId="0" borderId="0" xfId="46" applyNumberFormat="1" applyFont="1" applyFill="1" applyBorder="1" applyAlignment="1" applyProtection="1">
      <alignment vertical="center"/>
    </xf>
    <xf numFmtId="22" fontId="38" fillId="0" borderId="0" xfId="46" applyNumberFormat="1" applyAlignment="1" applyProtection="1">
      <alignment horizontal="left"/>
    </xf>
    <xf numFmtId="0" fontId="59" fillId="0" borderId="0" xfId="46" applyFont="1" applyAlignment="1" applyProtection="1">
      <alignment horizontal="center" vertical="center"/>
    </xf>
    <xf numFmtId="2" fontId="59" fillId="0" borderId="0" xfId="46" applyNumberFormat="1" applyFont="1" applyAlignment="1" applyProtection="1">
      <alignment horizontal="center" vertical="center"/>
    </xf>
    <xf numFmtId="3" fontId="0" fillId="28" borderId="13" xfId="28" applyNumberFormat="1" applyFont="1" applyFill="1" applyBorder="1" applyProtection="1">
      <protection locked="0"/>
    </xf>
    <xf numFmtId="0" fontId="0" fillId="28" borderId="13" xfId="0" applyFill="1" applyBorder="1" applyProtection="1">
      <protection locked="0"/>
    </xf>
    <xf numFmtId="0" fontId="0" fillId="27" borderId="13" xfId="0" applyFill="1" applyBorder="1" applyAlignment="1" applyProtection="1">
      <alignment horizontal="center" wrapText="1"/>
      <protection locked="0"/>
    </xf>
    <xf numFmtId="0" fontId="0" fillId="27" borderId="13" xfId="0" applyFill="1" applyBorder="1" applyProtection="1">
      <protection locked="0"/>
    </xf>
    <xf numFmtId="0" fontId="0" fillId="27" borderId="14" xfId="0" applyFill="1" applyBorder="1" applyAlignment="1" applyProtection="1">
      <alignment vertical="center" wrapText="1"/>
      <protection locked="0"/>
    </xf>
    <xf numFmtId="0" fontId="3" fillId="27" borderId="13" xfId="0" applyFont="1" applyFill="1" applyBorder="1" applyAlignment="1" applyProtection="1">
      <alignment horizontal="center"/>
      <protection locked="0"/>
    </xf>
    <xf numFmtId="165" fontId="0" fillId="28" borderId="13" xfId="42" applyNumberFormat="1" applyFont="1" applyFill="1" applyBorder="1" applyProtection="1">
      <protection locked="0"/>
    </xf>
    <xf numFmtId="10" fontId="0" fillId="28" borderId="15" xfId="0" applyNumberFormat="1" applyFill="1" applyBorder="1" applyProtection="1">
      <protection locked="0"/>
    </xf>
    <xf numFmtId="10" fontId="0" fillId="28" borderId="18" xfId="42" applyNumberFormat="1" applyFont="1" applyFill="1" applyBorder="1" applyProtection="1">
      <protection locked="0"/>
    </xf>
    <xf numFmtId="10" fontId="0" fillId="28" borderId="13" xfId="42" applyNumberFormat="1" applyFont="1" applyFill="1" applyBorder="1" applyProtection="1">
      <protection locked="0"/>
    </xf>
    <xf numFmtId="10" fontId="0" fillId="28" borderId="13" xfId="0" applyNumberFormat="1" applyFill="1" applyBorder="1" applyProtection="1">
      <protection locked="0"/>
    </xf>
    <xf numFmtId="166" fontId="0" fillId="28" borderId="13" xfId="28" applyNumberFormat="1" applyFont="1" applyFill="1" applyBorder="1" applyProtection="1">
      <protection locked="0"/>
    </xf>
    <xf numFmtId="0" fontId="0" fillId="28" borderId="15" xfId="0" applyFill="1" applyBorder="1" applyProtection="1">
      <protection locked="0"/>
    </xf>
    <xf numFmtId="9" fontId="0" fillId="28" borderId="13" xfId="0" applyNumberFormat="1" applyFill="1" applyBorder="1" applyProtection="1">
      <protection locked="0"/>
    </xf>
    <xf numFmtId="164" fontId="0" fillId="28" borderId="13" xfId="29" applyNumberFormat="1" applyFont="1" applyFill="1" applyBorder="1" applyProtection="1">
      <protection locked="0"/>
    </xf>
    <xf numFmtId="164" fontId="0" fillId="28" borderId="15" xfId="29" applyNumberFormat="1" applyFont="1" applyFill="1" applyBorder="1" applyProtection="1">
      <protection locked="0"/>
    </xf>
    <xf numFmtId="164" fontId="0" fillId="28" borderId="16" xfId="29" applyNumberFormat="1" applyFont="1" applyFill="1" applyBorder="1" applyProtection="1">
      <protection locked="0"/>
    </xf>
    <xf numFmtId="164" fontId="0" fillId="28" borderId="40" xfId="29" applyNumberFormat="1" applyFont="1" applyFill="1" applyBorder="1" applyProtection="1">
      <protection locked="0"/>
    </xf>
    <xf numFmtId="164" fontId="0" fillId="28" borderId="41" xfId="0" applyNumberFormat="1" applyFill="1" applyBorder="1" applyProtection="1">
      <protection locked="0"/>
    </xf>
    <xf numFmtId="164" fontId="0" fillId="28" borderId="13" xfId="0" applyNumberFormat="1" applyFill="1" applyBorder="1" applyProtection="1">
      <protection locked="0"/>
    </xf>
    <xf numFmtId="42" fontId="1" fillId="28" borderId="0" xfId="29" applyNumberFormat="1" applyFill="1" applyBorder="1" applyProtection="1">
      <protection locked="0"/>
    </xf>
    <xf numFmtId="42" fontId="1" fillId="28" borderId="0" xfId="29" applyNumberFormat="1" applyFont="1" applyFill="1" applyBorder="1" applyProtection="1">
      <protection locked="0"/>
    </xf>
    <xf numFmtId="44" fontId="1" fillId="28" borderId="0" xfId="29" applyFill="1" applyProtection="1">
      <protection locked="0"/>
    </xf>
    <xf numFmtId="44" fontId="0" fillId="28" borderId="16" xfId="29" applyNumberFormat="1" applyFont="1" applyFill="1" applyBorder="1" applyProtection="1">
      <protection locked="0"/>
    </xf>
    <xf numFmtId="44" fontId="0" fillId="28" borderId="16" xfId="29" applyFont="1" applyFill="1" applyBorder="1" applyProtection="1">
      <protection locked="0"/>
    </xf>
    <xf numFmtId="10" fontId="0" fillId="28" borderId="16" xfId="42" applyNumberFormat="1" applyFont="1" applyFill="1" applyBorder="1" applyAlignment="1" applyProtection="1">
      <alignment horizontal="center"/>
      <protection locked="0"/>
    </xf>
    <xf numFmtId="10" fontId="0" fillId="28" borderId="17" xfId="42" applyNumberFormat="1" applyFont="1" applyFill="1" applyBorder="1" applyAlignment="1" applyProtection="1">
      <alignment horizontal="center"/>
      <protection locked="0"/>
    </xf>
    <xf numFmtId="10" fontId="0" fillId="28" borderId="39" xfId="42" applyNumberFormat="1" applyFont="1" applyFill="1" applyBorder="1" applyProtection="1">
      <protection locked="0"/>
    </xf>
    <xf numFmtId="44" fontId="0" fillId="28" borderId="13" xfId="29" applyFont="1" applyFill="1" applyBorder="1" applyProtection="1">
      <protection locked="0"/>
    </xf>
    <xf numFmtId="44" fontId="0" fillId="28" borderId="13" xfId="29" applyNumberFormat="1" applyFont="1" applyFill="1" applyBorder="1" applyProtection="1">
      <protection locked="0"/>
    </xf>
    <xf numFmtId="0" fontId="0" fillId="28" borderId="13" xfId="0" applyFill="1" applyBorder="1" applyAlignment="1" applyProtection="1">
      <protection locked="0"/>
    </xf>
    <xf numFmtId="0" fontId="0" fillId="28" borderId="13" xfId="0" applyFill="1" applyBorder="1" applyAlignment="1" applyProtection="1">
      <alignment horizontal="center"/>
      <protection locked="0"/>
    </xf>
    <xf numFmtId="0" fontId="0" fillId="28" borderId="0" xfId="0" applyFill="1" applyAlignment="1" applyProtection="1">
      <alignment horizontal="center" vertical="top" wrapText="1"/>
      <protection locked="0"/>
    </xf>
    <xf numFmtId="10" fontId="0" fillId="28" borderId="0" xfId="42" applyNumberFormat="1" applyFont="1" applyFill="1" applyAlignment="1" applyProtection="1">
      <alignment horizontal="center"/>
      <protection locked="0"/>
    </xf>
    <xf numFmtId="166" fontId="0" fillId="28" borderId="0" xfId="28" applyNumberFormat="1" applyFont="1" applyFill="1" applyAlignment="1" applyProtection="1">
      <protection locked="0"/>
    </xf>
    <xf numFmtId="10" fontId="0" fillId="28" borderId="0" xfId="42" applyNumberFormat="1" applyFont="1" applyFill="1" applyProtection="1">
      <protection locked="0"/>
    </xf>
    <xf numFmtId="0" fontId="0" fillId="28" borderId="0" xfId="0" applyFill="1" applyAlignment="1" applyProtection="1">
      <alignment horizontal="center"/>
      <protection locked="0"/>
    </xf>
    <xf numFmtId="0" fontId="0" fillId="28" borderId="0" xfId="0" applyFill="1" applyProtection="1">
      <protection locked="0"/>
    </xf>
    <xf numFmtId="0" fontId="0" fillId="27" borderId="0" xfId="0" applyFill="1" applyAlignment="1" applyProtection="1">
      <alignment horizontal="center" vertical="center"/>
      <protection locked="0"/>
    </xf>
    <xf numFmtId="0" fontId="1" fillId="28" borderId="44" xfId="46" applyFont="1" applyFill="1" applyBorder="1" applyAlignment="1" applyProtection="1">
      <alignment vertical="center"/>
      <protection locked="0"/>
    </xf>
    <xf numFmtId="0" fontId="1" fillId="28" borderId="13" xfId="0" applyFont="1" applyFill="1" applyBorder="1" applyProtection="1">
      <protection locked="0"/>
    </xf>
    <xf numFmtId="0" fontId="38" fillId="28" borderId="45" xfId="46" applyFill="1" applyBorder="1" applyAlignment="1" applyProtection="1">
      <alignment horizontal="left" vertical="center"/>
      <protection locked="0"/>
    </xf>
    <xf numFmtId="0" fontId="38" fillId="28" borderId="46" xfId="46" applyFill="1" applyBorder="1" applyAlignment="1" applyProtection="1">
      <alignment horizontal="left" vertical="center"/>
      <protection locked="0"/>
    </xf>
    <xf numFmtId="0" fontId="35" fillId="24" borderId="0" xfId="46" applyFont="1" applyFill="1" applyBorder="1" applyAlignment="1" applyProtection="1"/>
    <xf numFmtId="0" fontId="38" fillId="27" borderId="42" xfId="46" applyFill="1" applyBorder="1" applyAlignment="1" applyProtection="1">
      <alignment horizontal="left" vertical="center" wrapText="1"/>
      <protection locked="0"/>
    </xf>
    <xf numFmtId="0" fontId="38" fillId="27" borderId="43" xfId="46" applyFill="1" applyBorder="1" applyAlignment="1" applyProtection="1">
      <alignment horizontal="left" vertical="center" wrapText="1"/>
      <protection locked="0"/>
    </xf>
    <xf numFmtId="0" fontId="3" fillId="0" borderId="0" xfId="0" applyFont="1" applyAlignment="1" applyProtection="1">
      <alignment horizontal="left" vertical="top" wrapText="1"/>
    </xf>
    <xf numFmtId="0" fontId="38" fillId="0" borderId="0" xfId="0" applyFont="1" applyAlignment="1" applyProtection="1">
      <alignment horizontal="left" wrapText="1"/>
    </xf>
    <xf numFmtId="0" fontId="38" fillId="0" borderId="0" xfId="0" applyFont="1" applyBorder="1" applyAlignment="1" applyProtection="1">
      <alignment horizontal="left" wrapText="1"/>
    </xf>
    <xf numFmtId="0" fontId="0" fillId="0" borderId="0" xfId="0" applyBorder="1" applyAlignment="1" applyProtection="1">
      <alignment horizontal="left"/>
    </xf>
    <xf numFmtId="0" fontId="3" fillId="0" borderId="0" xfId="0" applyFont="1" applyBorder="1" applyAlignment="1" applyProtection="1">
      <alignment horizontal="left"/>
    </xf>
    <xf numFmtId="0" fontId="0" fillId="0" borderId="0" xfId="0" applyAlignment="1" applyProtection="1">
      <alignment horizontal="left"/>
    </xf>
    <xf numFmtId="0" fontId="3" fillId="0" borderId="0" xfId="0" applyFont="1" applyAlignment="1" applyProtection="1">
      <alignment horizontal="left"/>
    </xf>
    <xf numFmtId="0" fontId="3" fillId="0" borderId="0" xfId="0" applyFont="1" applyBorder="1" applyAlignment="1" applyProtection="1">
      <alignment horizontal="center" vertical="center" wrapText="1"/>
    </xf>
    <xf numFmtId="0" fontId="3" fillId="0" borderId="0" xfId="0" applyFont="1" applyAlignment="1" applyProtection="1">
      <alignment horizontal="left" vertical="top"/>
    </xf>
    <xf numFmtId="0" fontId="3" fillId="0" borderId="0" xfId="0" applyFont="1" applyAlignment="1" applyProtection="1">
      <alignment horizontal="center" wrapText="1"/>
    </xf>
    <xf numFmtId="0" fontId="0" fillId="0" borderId="0" xfId="0" quotePrefix="1" applyFill="1" applyBorder="1" applyAlignment="1" applyProtection="1">
      <alignment horizontal="left"/>
    </xf>
    <xf numFmtId="0" fontId="3" fillId="0" borderId="0" xfId="0" applyFont="1" applyAlignment="1" applyProtection="1">
      <alignment horizontal="left" wrapText="1"/>
    </xf>
    <xf numFmtId="0" fontId="0" fillId="0" borderId="0" xfId="0" applyAlignment="1" applyProtection="1">
      <alignment wrapText="1"/>
    </xf>
    <xf numFmtId="0" fontId="3" fillId="0" borderId="0" xfId="0" applyFont="1" applyAlignment="1" applyProtection="1">
      <alignment wrapText="1"/>
    </xf>
    <xf numFmtId="0" fontId="0" fillId="0" borderId="0" xfId="0" quotePrefix="1" applyAlignment="1" applyProtection="1">
      <alignment wrapText="1"/>
    </xf>
    <xf numFmtId="0" fontId="0" fillId="0" borderId="0" xfId="0" applyAlignment="1" applyProtection="1">
      <alignment vertical="top" wrapText="1"/>
    </xf>
    <xf numFmtId="0" fontId="0" fillId="0" borderId="0" xfId="0" applyBorder="1" applyAlignment="1" applyProtection="1">
      <alignment wrapText="1"/>
    </xf>
    <xf numFmtId="0" fontId="0" fillId="0" borderId="0" xfId="0" applyBorder="1" applyAlignment="1">
      <alignment wrapText="1"/>
    </xf>
    <xf numFmtId="0" fontId="0" fillId="0" borderId="26" xfId="0" applyBorder="1" applyAlignment="1">
      <alignment wrapText="1"/>
    </xf>
    <xf numFmtId="0" fontId="0" fillId="0" borderId="0" xfId="0" applyAlignment="1" applyProtection="1">
      <alignment horizontal="left" wrapText="1"/>
    </xf>
    <xf numFmtId="0" fontId="0" fillId="0" borderId="0" xfId="0" applyAlignment="1" applyProtection="1">
      <alignment horizontal="left" vertical="top" wrapText="1"/>
    </xf>
    <xf numFmtId="10" fontId="0" fillId="0" borderId="0" xfId="0" applyNumberFormat="1" applyFill="1" applyAlignment="1" applyProtection="1">
      <alignment horizontal="center" wrapText="1"/>
    </xf>
    <xf numFmtId="0" fontId="0" fillId="0" borderId="0" xfId="0" applyAlignment="1">
      <alignment horizontal="center" wrapText="1"/>
    </xf>
    <xf numFmtId="0" fontId="0" fillId="0" borderId="0" xfId="0" applyAlignment="1" applyProtection="1">
      <alignment vertical="center" wrapText="1"/>
    </xf>
  </cellXfs>
  <cellStyles count="48">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28" builtinId="3"/>
    <cellStyle name="Comma 2" xfId="47"/>
    <cellStyle name="Currency" xfId="29" builtinId="4"/>
    <cellStyle name="Explanatory Text" xfId="30" builtinId="53" customBuiltin="1"/>
    <cellStyle name="Good" xfId="31" builtinId="26" customBuiltin="1"/>
    <cellStyle name="Heading 1" xfId="32" builtinId="16" customBuiltin="1"/>
    <cellStyle name="Heading 2" xfId="33" builtinId="17" customBuiltin="1"/>
    <cellStyle name="Heading 3" xfId="34" builtinId="18" customBuiltin="1"/>
    <cellStyle name="Heading 4" xfId="35" builtinId="19" customBuiltin="1"/>
    <cellStyle name="Input" xfId="36" builtinId="20" customBuiltin="1"/>
    <cellStyle name="Linked Cell" xfId="37" builtinId="24" customBuiltin="1"/>
    <cellStyle name="Neutral" xfId="38" builtinId="28" customBuiltin="1"/>
    <cellStyle name="Normal" xfId="0" builtinId="0"/>
    <cellStyle name="Normal 2" xfId="46"/>
    <cellStyle name="Normal_Tax Rates for 2006-2012_Sep42008" xfId="39"/>
    <cellStyle name="Note" xfId="40" builtinId="10" customBuiltin="1"/>
    <cellStyle name="Output" xfId="41" builtinId="21" customBuiltin="1"/>
    <cellStyle name="Percent" xfId="42" builtinId="5"/>
    <cellStyle name="Title" xfId="43" builtinId="15" customBuiltin="1"/>
    <cellStyle name="Total" xfId="44" builtinId="25" customBuiltin="1"/>
    <cellStyle name="Warning Text" xfId="45" builtinId="11" customBuiltin="1"/>
  </cellStyles>
  <dxfs count="14">
    <dxf>
      <font>
        <b/>
        <i val="0"/>
        <condense val="0"/>
        <extend val="0"/>
        <color indexed="10"/>
      </font>
    </dxf>
    <dxf>
      <font>
        <b/>
        <i val="0"/>
        <condense val="0"/>
        <extend val="0"/>
        <color indexed="10"/>
      </font>
    </dxf>
    <dxf>
      <fill>
        <patternFill>
          <bgColor indexed="42"/>
        </patternFill>
      </fill>
      <border>
        <left style="thin">
          <color indexed="64"/>
        </left>
        <right style="hair">
          <color indexed="55"/>
        </right>
        <top style="thin">
          <color indexed="64"/>
        </top>
        <bottom style="hair">
          <color indexed="55"/>
        </bottom>
      </border>
    </dxf>
    <dxf>
      <fill>
        <patternFill>
          <bgColor indexed="13"/>
        </patternFill>
      </fill>
      <border>
        <left style="thin">
          <color indexed="8"/>
        </left>
        <right style="hair">
          <color indexed="23"/>
        </right>
        <top style="thin">
          <color indexed="8"/>
        </top>
        <bottom style="hair">
          <color indexed="23"/>
        </bottom>
      </border>
    </dxf>
    <dxf>
      <font>
        <condense val="0"/>
        <extend val="0"/>
        <color indexed="9"/>
      </font>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
      <fill>
        <patternFill>
          <bgColor indexed="13"/>
        </patternFill>
      </fill>
    </dxf>
  </dxfs>
  <tableStyles count="0" defaultTableStyle="TableStyleMedium2" defaultPivotStyle="PivotStyleLight16"/>
  <colors>
    <mruColors>
      <color rgb="FFCCFFCC"/>
      <color rgb="FFCC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microsoft.com/office/2006/relationships/vbaProject" Target="vbaProject.bin"/><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9</xdr:col>
      <xdr:colOff>447675</xdr:colOff>
      <xdr:row>11</xdr:row>
      <xdr:rowOff>123825</xdr:rowOff>
    </xdr:from>
    <xdr:to>
      <xdr:col>11</xdr:col>
      <xdr:colOff>276225</xdr:colOff>
      <xdr:row>13</xdr:row>
      <xdr:rowOff>9525</xdr:rowOff>
    </xdr:to>
    <xdr:sp macro="" textlink="$AC$2">
      <xdr:nvSpPr>
        <xdr:cNvPr id="2" name="Text Box 13"/>
        <xdr:cNvSpPr txBox="1">
          <a:spLocks noChangeArrowheads="1" noTextEdit="1"/>
        </xdr:cNvSpPr>
      </xdr:nvSpPr>
      <xdr:spPr bwMode="auto">
        <a:xfrm>
          <a:off x="10287000" y="2257425"/>
          <a:ext cx="104775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D53C0AAD-5608-4FD2-8267-5C09276FD61F}"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142875</xdr:colOff>
      <xdr:row>11</xdr:row>
      <xdr:rowOff>142875</xdr:rowOff>
    </xdr:from>
    <xdr:to>
      <xdr:col>16</xdr:col>
      <xdr:colOff>581025</xdr:colOff>
      <xdr:row>13</xdr:row>
      <xdr:rowOff>28575</xdr:rowOff>
    </xdr:to>
    <xdr:sp macro="" textlink="$AF$2">
      <xdr:nvSpPr>
        <xdr:cNvPr id="3" name="Text Box 15"/>
        <xdr:cNvSpPr txBox="1">
          <a:spLocks noChangeArrowheads="1" noTextEdit="1"/>
        </xdr:cNvSpPr>
      </xdr:nvSpPr>
      <xdr:spPr bwMode="auto">
        <a:xfrm>
          <a:off x="13639800" y="2257425"/>
          <a:ext cx="104775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96F1C653-4D3F-4F04-8B04-6236CB6801DC}"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15</xdr:col>
      <xdr:colOff>161925</xdr:colOff>
      <xdr:row>13</xdr:row>
      <xdr:rowOff>28575</xdr:rowOff>
    </xdr:from>
    <xdr:to>
      <xdr:col>16</xdr:col>
      <xdr:colOff>600075</xdr:colOff>
      <xdr:row>14</xdr:row>
      <xdr:rowOff>76200</xdr:rowOff>
    </xdr:to>
    <xdr:sp macro="" textlink="$AE$2">
      <xdr:nvSpPr>
        <xdr:cNvPr id="4" name="Text Box 16"/>
        <xdr:cNvSpPr txBox="1">
          <a:spLocks noChangeArrowheads="1" noTextEdit="1"/>
        </xdr:cNvSpPr>
      </xdr:nvSpPr>
      <xdr:spPr bwMode="auto">
        <a:xfrm>
          <a:off x="13658850" y="2486025"/>
          <a:ext cx="1047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32004" rIns="0" bIns="0" anchor="t" upright="1"/>
        <a:lstStyle/>
        <a:p>
          <a:pPr algn="l" rtl="0">
            <a:defRPr sz="1000"/>
          </a:pPr>
          <a:fld id="{E99C592E-8602-4355-A1BD-C000791BFB10}" type="TxLink">
            <a:rPr lang="en-CA" sz="1200" b="1" i="0" u="none" strike="noStrike" baseline="0">
              <a:solidFill>
                <a:srgbClr val="FFFFFF"/>
              </a:solidFill>
              <a:latin typeface="Book Antiqua"/>
            </a:rPr>
            <a:pPr algn="l" rtl="0">
              <a:defRPr sz="1000"/>
            </a:pPr>
            <a:t> </a:t>
          </a:fld>
          <a:endParaRPr lang="en-CA" sz="1200" b="1" i="0" u="none" strike="noStrike" baseline="0">
            <a:solidFill>
              <a:srgbClr val="FFFFFF"/>
            </a:solidFill>
            <a:latin typeface="Book Antiqua"/>
          </a:endParaRPr>
        </a:p>
      </xdr:txBody>
    </xdr:sp>
    <xdr:clientData/>
  </xdr:twoCellAnchor>
  <xdr:twoCellAnchor>
    <xdr:from>
      <xdr:col>9</xdr:col>
      <xdr:colOff>447675</xdr:colOff>
      <xdr:row>13</xdr:row>
      <xdr:rowOff>38100</xdr:rowOff>
    </xdr:from>
    <xdr:to>
      <xdr:col>11</xdr:col>
      <xdr:colOff>276225</xdr:colOff>
      <xdr:row>14</xdr:row>
      <xdr:rowOff>85725</xdr:rowOff>
    </xdr:to>
    <xdr:sp macro="" textlink="$AD$2">
      <xdr:nvSpPr>
        <xdr:cNvPr id="5" name="Text Box 17"/>
        <xdr:cNvSpPr txBox="1">
          <a:spLocks noChangeArrowheads="1" noTextEdit="1"/>
        </xdr:cNvSpPr>
      </xdr:nvSpPr>
      <xdr:spPr bwMode="auto">
        <a:xfrm>
          <a:off x="10287000" y="2495550"/>
          <a:ext cx="104775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a:lstStyle/>
        <a:p>
          <a:fld id="{6308C6C9-DB12-451F-B33E-E00FCB7BFAEA}" type="TxLink">
            <a:rPr lang="en-CA"/>
            <a:pPr/>
            <a:t> </a:t>
          </a:fld>
          <a:endParaRPr lang="en-CA"/>
        </a:p>
      </xdr:txBody>
    </xdr:sp>
    <xdr:clientData/>
  </xdr:twoCellAnchor>
  <xdr:twoCellAnchor>
    <xdr:from>
      <xdr:col>0</xdr:col>
      <xdr:colOff>0</xdr:colOff>
      <xdr:row>0</xdr:row>
      <xdr:rowOff>0</xdr:rowOff>
    </xdr:from>
    <xdr:to>
      <xdr:col>9</xdr:col>
      <xdr:colOff>313495</xdr:colOff>
      <xdr:row>9</xdr:row>
      <xdr:rowOff>9524</xdr:rowOff>
    </xdr:to>
    <xdr:grpSp>
      <xdr:nvGrpSpPr>
        <xdr:cNvPr id="6" name="Group 5"/>
        <xdr:cNvGrpSpPr/>
      </xdr:nvGrpSpPr>
      <xdr:grpSpPr>
        <a:xfrm>
          <a:off x="0" y="0"/>
          <a:ext cx="10152820" cy="1924049"/>
          <a:chOff x="9524" y="19051"/>
          <a:chExt cx="8537711" cy="1924049"/>
        </a:xfrm>
      </xdr:grpSpPr>
      <xdr:pic>
        <xdr:nvPicPr>
          <xdr:cNvPr id="7" name="Picture 6"/>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8"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9" name="Rectangle 8"/>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twoCellAnchor>
    <xdr:from>
      <xdr:col>0</xdr:col>
      <xdr:colOff>0</xdr:colOff>
      <xdr:row>31</xdr:row>
      <xdr:rowOff>57149</xdr:rowOff>
    </xdr:from>
    <xdr:to>
      <xdr:col>9</xdr:col>
      <xdr:colOff>333375</xdr:colOff>
      <xdr:row>42</xdr:row>
      <xdr:rowOff>38100</xdr:rowOff>
    </xdr:to>
    <xdr:sp macro="" textlink="">
      <xdr:nvSpPr>
        <xdr:cNvPr id="10" name="Text Box 50"/>
        <xdr:cNvSpPr txBox="1">
          <a:spLocks noChangeArrowheads="1"/>
        </xdr:cNvSpPr>
      </xdr:nvSpPr>
      <xdr:spPr bwMode="auto">
        <a:xfrm>
          <a:off x="0" y="6248399"/>
          <a:ext cx="10172700" cy="2200276"/>
        </a:xfrm>
        <a:prstGeom prst="rect">
          <a:avLst/>
        </a:prstGeom>
        <a:noFill/>
        <a:ln>
          <a:noFill/>
        </a:ln>
        <a:effectLst>
          <a:softEdge rad="31750"/>
        </a:effectLst>
        <a:extLst/>
      </xdr:spPr>
      <xdr:txBody>
        <a:bodyPr vertOverflow="clip" wrap="square" lIns="27432" tIns="22860" rIns="0" bIns="0" anchor="t" upright="1"/>
        <a:lstStyle/>
        <a:p>
          <a:pPr rtl="0"/>
          <a:r>
            <a:rPr lang="en-CA" sz="1100" b="1" i="0" baseline="0">
              <a:effectLst/>
              <a:latin typeface="+mn-lt"/>
              <a:ea typeface="+mn-ea"/>
              <a:cs typeface="+mn-cs"/>
            </a:rPr>
            <a:t>This Workbook Model is protected by copyright and is being made available to you solely for the purpose of filing your application.   You may use and copy this model for that purpose, and provide a copy of this model to any person that is advising or assisting you in that regard.  Except as indicated above, any copying, reproduction, publication, sale, adaptation, translation, modification, reverse engineering or other use or dissemination of this model without the express written consent of the Ontario Energy Board is prohibited.  If you provide a copy of this model to a person that is advising or assisting you in preparing the application or reviewing your draft rate order, you must ensure that the person understands and agrees to the restrictions noted above.</a:t>
          </a:r>
        </a:p>
        <a:p>
          <a:pPr rtl="0"/>
          <a:endParaRPr lang="en-CA" sz="1000" i="0">
            <a:effectLst/>
          </a:endParaRPr>
        </a:p>
        <a:p>
          <a:pPr rtl="0"/>
          <a:r>
            <a:rPr lang="en-CA" sz="1100" b="1" i="0" baseline="0">
              <a:effectLst/>
              <a:latin typeface="+mn-lt"/>
              <a:ea typeface="+mn-ea"/>
              <a:cs typeface="+mn-cs"/>
            </a:rPr>
            <a:t>While this model has been provided in Excel format and is required to be filed with the applications, the onus remains on the applicant to ensure the accuracy of the data and the results.  The use of any models and spreadsheets does not automatically imply Board approval.  The onus is on the distributor to prepare, document and support its application.  Board-issued Excel models and spreadsheets are offered to assist parties in providing the necessary information so as to facilitate an expeditious review of an application. The onus remains on the applicant to ensure the accuracy of the data and the results.</a:t>
          </a:r>
          <a:endParaRPr lang="en-CA" sz="1000" i="0">
            <a:effectLst/>
          </a:endParaRPr>
        </a:p>
      </xdr:txBody>
    </xdr:sp>
    <xdr:clientData/>
  </xdr:twoCellAnchor>
  <xdr:twoCellAnchor>
    <xdr:from>
      <xdr:col>1</xdr:col>
      <xdr:colOff>0</xdr:colOff>
      <xdr:row>56</xdr:row>
      <xdr:rowOff>76200</xdr:rowOff>
    </xdr:from>
    <xdr:to>
      <xdr:col>5</xdr:col>
      <xdr:colOff>304800</xdr:colOff>
      <xdr:row>61</xdr:row>
      <xdr:rowOff>85725</xdr:rowOff>
    </xdr:to>
    <xdr:sp macro="" textlink="">
      <xdr:nvSpPr>
        <xdr:cNvPr id="13" name="Text Box 36"/>
        <xdr:cNvSpPr txBox="1">
          <a:spLocks noChangeArrowheads="1"/>
        </xdr:cNvSpPr>
      </xdr:nvSpPr>
      <xdr:spPr bwMode="auto">
        <a:xfrm>
          <a:off x="981075" y="11210925"/>
          <a:ext cx="6429375" cy="10096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endParaRPr lang="en-CA" sz="900" b="1" i="1"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71438</xdr:rowOff>
    </xdr:from>
    <xdr:to>
      <xdr:col>10</xdr:col>
      <xdr:colOff>342070</xdr:colOff>
      <xdr:row>11</xdr:row>
      <xdr:rowOff>161924</xdr:rowOff>
    </xdr:to>
    <xdr:grpSp>
      <xdr:nvGrpSpPr>
        <xdr:cNvPr id="12" name="Group 11"/>
        <xdr:cNvGrpSpPr/>
      </xdr:nvGrpSpPr>
      <xdr:grpSpPr>
        <a:xfrm>
          <a:off x="0" y="71438"/>
          <a:ext cx="10143295" cy="1871661"/>
          <a:chOff x="9524" y="19051"/>
          <a:chExt cx="8537711" cy="1924049"/>
        </a:xfrm>
      </xdr:grpSpPr>
      <xdr:pic>
        <xdr:nvPicPr>
          <xdr:cNvPr id="1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4"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5" name="Rectangle 14"/>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20</xdr:col>
      <xdr:colOff>437320</xdr:colOff>
      <xdr:row>11</xdr:row>
      <xdr:rowOff>90486</xdr:rowOff>
    </xdr:to>
    <xdr:grpSp>
      <xdr:nvGrpSpPr>
        <xdr:cNvPr id="10" name="Group 9"/>
        <xdr:cNvGrpSpPr/>
      </xdr:nvGrpSpPr>
      <xdr:grpSpPr>
        <a:xfrm>
          <a:off x="0" y="0"/>
          <a:ext cx="10152820" cy="1924049"/>
          <a:chOff x="9524" y="19051"/>
          <a:chExt cx="8537711" cy="1924049"/>
        </a:xfrm>
      </xdr:grpSpPr>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2"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3" name="Rectangle 12"/>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449226</xdr:colOff>
      <xdr:row>11</xdr:row>
      <xdr:rowOff>90486</xdr:rowOff>
    </xdr:to>
    <xdr:grpSp>
      <xdr:nvGrpSpPr>
        <xdr:cNvPr id="10" name="Group 9"/>
        <xdr:cNvGrpSpPr/>
      </xdr:nvGrpSpPr>
      <xdr:grpSpPr>
        <a:xfrm>
          <a:off x="0" y="0"/>
          <a:ext cx="10152820" cy="1924049"/>
          <a:chOff x="9524" y="19051"/>
          <a:chExt cx="8537711" cy="1924049"/>
        </a:xfrm>
      </xdr:grpSpPr>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2"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3" name="Rectangle 12"/>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80132</xdr:colOff>
      <xdr:row>11</xdr:row>
      <xdr:rowOff>90486</xdr:rowOff>
    </xdr:to>
    <xdr:grpSp>
      <xdr:nvGrpSpPr>
        <xdr:cNvPr id="10" name="Group 9"/>
        <xdr:cNvGrpSpPr/>
      </xdr:nvGrpSpPr>
      <xdr:grpSpPr>
        <a:xfrm>
          <a:off x="0" y="0"/>
          <a:ext cx="10152820" cy="1924049"/>
          <a:chOff x="9524" y="19051"/>
          <a:chExt cx="8537711" cy="1924049"/>
        </a:xfrm>
      </xdr:grpSpPr>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2"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3" name="Rectangle 12"/>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282539</xdr:colOff>
      <xdr:row>11</xdr:row>
      <xdr:rowOff>90486</xdr:rowOff>
    </xdr:to>
    <xdr:grpSp>
      <xdr:nvGrpSpPr>
        <xdr:cNvPr id="10" name="Group 9"/>
        <xdr:cNvGrpSpPr/>
      </xdr:nvGrpSpPr>
      <xdr:grpSpPr>
        <a:xfrm>
          <a:off x="0" y="0"/>
          <a:ext cx="10152820" cy="1924049"/>
          <a:chOff x="9524" y="19051"/>
          <a:chExt cx="8537711" cy="1924049"/>
        </a:xfrm>
      </xdr:grpSpPr>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2"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3" name="Rectangle 12"/>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449226</xdr:colOff>
      <xdr:row>11</xdr:row>
      <xdr:rowOff>90486</xdr:rowOff>
    </xdr:to>
    <xdr:grpSp>
      <xdr:nvGrpSpPr>
        <xdr:cNvPr id="10" name="Group 9"/>
        <xdr:cNvGrpSpPr/>
      </xdr:nvGrpSpPr>
      <xdr:grpSpPr>
        <a:xfrm>
          <a:off x="0" y="0"/>
          <a:ext cx="10152820" cy="1924049"/>
          <a:chOff x="9524" y="19051"/>
          <a:chExt cx="8537711" cy="1924049"/>
        </a:xfrm>
      </xdr:grpSpPr>
      <xdr:pic>
        <xdr:nvPicPr>
          <xdr:cNvPr id="11" name="Picture 10"/>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2"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3" name="Rectangle 12"/>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580195</xdr:colOff>
      <xdr:row>11</xdr:row>
      <xdr:rowOff>90486</xdr:rowOff>
    </xdr:to>
    <xdr:grpSp>
      <xdr:nvGrpSpPr>
        <xdr:cNvPr id="12" name="Group 11"/>
        <xdr:cNvGrpSpPr/>
      </xdr:nvGrpSpPr>
      <xdr:grpSpPr>
        <a:xfrm>
          <a:off x="0" y="0"/>
          <a:ext cx="10152820" cy="1924049"/>
          <a:chOff x="9524" y="19051"/>
          <a:chExt cx="8537711" cy="1924049"/>
        </a:xfrm>
      </xdr:grpSpPr>
      <xdr:pic>
        <xdr:nvPicPr>
          <xdr:cNvPr id="13" name="Picture 1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4"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5" name="Rectangle 14"/>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187289</xdr:colOff>
      <xdr:row>11</xdr:row>
      <xdr:rowOff>90486</xdr:rowOff>
    </xdr:to>
    <xdr:grpSp>
      <xdr:nvGrpSpPr>
        <xdr:cNvPr id="13" name="Group 12"/>
        <xdr:cNvGrpSpPr/>
      </xdr:nvGrpSpPr>
      <xdr:grpSpPr>
        <a:xfrm>
          <a:off x="0" y="0"/>
          <a:ext cx="10445714" cy="1976436"/>
          <a:chOff x="9524" y="19051"/>
          <a:chExt cx="8537711" cy="1924049"/>
        </a:xfrm>
      </xdr:grpSpPr>
      <xdr:pic>
        <xdr:nvPicPr>
          <xdr:cNvPr id="14" name="Picture 1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5"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6" name="Rectangle 15"/>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556382</xdr:colOff>
      <xdr:row>11</xdr:row>
      <xdr:rowOff>90486</xdr:rowOff>
    </xdr:to>
    <xdr:grpSp>
      <xdr:nvGrpSpPr>
        <xdr:cNvPr id="11" name="Group 10"/>
        <xdr:cNvGrpSpPr/>
      </xdr:nvGrpSpPr>
      <xdr:grpSpPr>
        <a:xfrm>
          <a:off x="0" y="0"/>
          <a:ext cx="10152820" cy="1924049"/>
          <a:chOff x="9524" y="19051"/>
          <a:chExt cx="8537711" cy="1924049"/>
        </a:xfrm>
      </xdr:grpSpPr>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3"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4" name="Rectangle 13"/>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5</xdr:col>
      <xdr:colOff>2428875</xdr:colOff>
      <xdr:row>45</xdr:row>
      <xdr:rowOff>95250</xdr:rowOff>
    </xdr:from>
    <xdr:to>
      <xdr:col>18</xdr:col>
      <xdr:colOff>1143000</xdr:colOff>
      <xdr:row>45</xdr:row>
      <xdr:rowOff>95250</xdr:rowOff>
    </xdr:to>
    <xdr:sp macro="" textlink="">
      <xdr:nvSpPr>
        <xdr:cNvPr id="1049" name="Line 25"/>
        <xdr:cNvSpPr>
          <a:spLocks noChangeShapeType="1"/>
        </xdr:cNvSpPr>
      </xdr:nvSpPr>
      <xdr:spPr bwMode="auto">
        <a:xfrm>
          <a:off x="3971925" y="9658350"/>
          <a:ext cx="10372725" cy="0"/>
        </a:xfrm>
        <a:prstGeom prst="line">
          <a:avLst/>
        </a:prstGeom>
        <a:noFill/>
        <a:ln w="9525">
          <a:solidFill>
            <a:srgbClr xmlns:mc="http://schemas.openxmlformats.org/markup-compatibility/2006" xmlns:a14="http://schemas.microsoft.com/office/drawing/2010/main" val="FF0000" mc:Ignorable="a14" a14:legacySpreadsheetColorIndex="1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19050</xdr:colOff>
      <xdr:row>64</xdr:row>
      <xdr:rowOff>47625</xdr:rowOff>
    </xdr:from>
    <xdr:to>
      <xdr:col>8</xdr:col>
      <xdr:colOff>200025</xdr:colOff>
      <xdr:row>68</xdr:row>
      <xdr:rowOff>85725</xdr:rowOff>
    </xdr:to>
    <xdr:sp macro="" textlink="">
      <xdr:nvSpPr>
        <xdr:cNvPr id="1050" name="AutoShape 26"/>
        <xdr:cNvSpPr>
          <a:spLocks/>
        </xdr:cNvSpPr>
      </xdr:nvSpPr>
      <xdr:spPr bwMode="auto">
        <a:xfrm>
          <a:off x="6372225" y="13030200"/>
          <a:ext cx="361950" cy="733425"/>
        </a:xfrm>
        <a:prstGeom prst="rightBrace">
          <a:avLst>
            <a:gd name="adj1" fmla="val 16886"/>
            <a:gd name="adj2" fmla="val 5584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66675</xdr:colOff>
      <xdr:row>72</xdr:row>
      <xdr:rowOff>57150</xdr:rowOff>
    </xdr:from>
    <xdr:to>
      <xdr:col>8</xdr:col>
      <xdr:colOff>247650</xdr:colOff>
      <xdr:row>76</xdr:row>
      <xdr:rowOff>142875</xdr:rowOff>
    </xdr:to>
    <xdr:sp macro="" textlink="">
      <xdr:nvSpPr>
        <xdr:cNvPr id="1051" name="AutoShape 27"/>
        <xdr:cNvSpPr>
          <a:spLocks/>
        </xdr:cNvSpPr>
      </xdr:nvSpPr>
      <xdr:spPr bwMode="auto">
        <a:xfrm>
          <a:off x="6419850" y="14382750"/>
          <a:ext cx="361950" cy="771525"/>
        </a:xfrm>
        <a:prstGeom prst="rightBrace">
          <a:avLst>
            <a:gd name="adj1" fmla="val 17763"/>
            <a:gd name="adj2" fmla="val 55843"/>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mc:AlternateContent xmlns:mc="http://schemas.openxmlformats.org/markup-compatibility/2006">
    <mc:Choice xmlns:a14="http://schemas.microsoft.com/office/drawing/2010/main" Requires="a14">
      <xdr:twoCellAnchor>
        <xdr:from>
          <xdr:col>2</xdr:col>
          <xdr:colOff>0</xdr:colOff>
          <xdr:row>27</xdr:row>
          <xdr:rowOff>95250</xdr:rowOff>
        </xdr:from>
        <xdr:to>
          <xdr:col>5</xdr:col>
          <xdr:colOff>581025</xdr:colOff>
          <xdr:row>27</xdr:row>
          <xdr:rowOff>361950</xdr:rowOff>
        </xdr:to>
        <xdr:sp macro="" textlink="">
          <xdr:nvSpPr>
            <xdr:cNvPr id="1055" name="Button 31" hidden="1">
              <a:extLst>
                <a:ext uri="{63B3BB69-23CF-44E3-9099-C40C66FF867C}">
                  <a14:compatExt spid="_x0000_s1055"/>
                </a:ext>
              </a:extLst>
            </xdr:cNvPr>
            <xdr:cNvSpPr/>
          </xdr:nvSpPr>
          <xdr:spPr>
            <a:xfrm>
              <a:off x="0" y="0"/>
              <a:ext cx="0" cy="0"/>
            </a:xfrm>
            <a:prstGeom prst="rect">
              <a:avLst/>
            </a:prstGeom>
          </xdr:spPr>
          <xdr:txBody>
            <a:bodyPr vertOverflow="clip" wrap="square" lIns="27432" tIns="22860" rIns="27432" bIns="22860" anchor="ctr" upright="1"/>
            <a:lstStyle/>
            <a:p>
              <a:pPr algn="ctr" rtl="0">
                <a:defRPr sz="1000"/>
              </a:pPr>
              <a:r>
                <a:rPr lang="en-CA" sz="1000" b="1" i="0" u="none" strike="noStrike" baseline="0">
                  <a:solidFill>
                    <a:srgbClr val="000080"/>
                  </a:solidFill>
                  <a:latin typeface="Arial"/>
                  <a:cs typeface="Arial"/>
                </a:rPr>
                <a:t>UPDATE WORKSHEET</a:t>
              </a:r>
              <a:endParaRPr lang="en-CA"/>
            </a:p>
          </xdr:txBody>
        </xdr:sp>
        <xdr:clientData fPrintsWithSheet="0"/>
      </xdr:twoCellAnchor>
    </mc:Choice>
    <mc:Fallback/>
  </mc:AlternateContent>
  <xdr:twoCellAnchor>
    <xdr:from>
      <xdr:col>0</xdr:col>
      <xdr:colOff>0</xdr:colOff>
      <xdr:row>0</xdr:row>
      <xdr:rowOff>0</xdr:rowOff>
    </xdr:from>
    <xdr:to>
      <xdr:col>12</xdr:col>
      <xdr:colOff>961195</xdr:colOff>
      <xdr:row>11</xdr:row>
      <xdr:rowOff>90486</xdr:rowOff>
    </xdr:to>
    <xdr:grpSp>
      <xdr:nvGrpSpPr>
        <xdr:cNvPr id="17" name="Group 16"/>
        <xdr:cNvGrpSpPr/>
      </xdr:nvGrpSpPr>
      <xdr:grpSpPr>
        <a:xfrm>
          <a:off x="0" y="0"/>
          <a:ext cx="10152820" cy="1924049"/>
          <a:chOff x="9524" y="19051"/>
          <a:chExt cx="8537711" cy="1924049"/>
        </a:xfrm>
      </xdr:grpSpPr>
      <xdr:pic>
        <xdr:nvPicPr>
          <xdr:cNvPr id="18" name="Picture 1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9"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20" name="Rectangle 19"/>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865945</xdr:colOff>
      <xdr:row>11</xdr:row>
      <xdr:rowOff>90486</xdr:rowOff>
    </xdr:to>
    <xdr:grpSp>
      <xdr:nvGrpSpPr>
        <xdr:cNvPr id="11" name="Group 10"/>
        <xdr:cNvGrpSpPr/>
      </xdr:nvGrpSpPr>
      <xdr:grpSpPr>
        <a:xfrm>
          <a:off x="0" y="0"/>
          <a:ext cx="10200445" cy="1816192"/>
          <a:chOff x="9524" y="19051"/>
          <a:chExt cx="8537711" cy="1924049"/>
        </a:xfrm>
      </xdr:grpSpPr>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3"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4" name="Rectangle 13"/>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17</xdr:col>
      <xdr:colOff>1592226</xdr:colOff>
      <xdr:row>11</xdr:row>
      <xdr:rowOff>90486</xdr:rowOff>
    </xdr:to>
    <xdr:grpSp>
      <xdr:nvGrpSpPr>
        <xdr:cNvPr id="11" name="Group 10"/>
        <xdr:cNvGrpSpPr/>
      </xdr:nvGrpSpPr>
      <xdr:grpSpPr>
        <a:xfrm>
          <a:off x="0" y="0"/>
          <a:ext cx="10153520" cy="1816192"/>
          <a:chOff x="9524" y="19051"/>
          <a:chExt cx="8537711" cy="1924049"/>
        </a:xfrm>
      </xdr:grpSpPr>
      <xdr:pic>
        <xdr:nvPicPr>
          <xdr:cNvPr id="12" name="Picture 1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524" y="19051"/>
            <a:ext cx="8537711" cy="1924049"/>
          </a:xfrm>
          <a:prstGeom prst="rect">
            <a:avLst/>
          </a:prstGeom>
          <a:ln>
            <a:noFill/>
          </a:ln>
          <a:effectLst>
            <a:softEdge rad="112500"/>
          </a:effectLst>
        </xdr:spPr>
      </xdr:pic>
      <xdr:pic>
        <xdr:nvPicPr>
          <xdr:cNvPr id="13" name="Picture 3"/>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3661" t="6152" r="48056" b="74414"/>
          <a:stretch/>
        </xdr:blipFill>
        <xdr:spPr bwMode="auto">
          <a:xfrm>
            <a:off x="47624" y="276226"/>
            <a:ext cx="3238607" cy="1381124"/>
          </a:xfrm>
          <a:prstGeom prst="rect">
            <a:avLst/>
          </a:prstGeom>
          <a:ln>
            <a:noFill/>
          </a:ln>
          <a:effectLst>
            <a:softEdge rad="112500"/>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sp macro="" textlink="">
        <xdr:nvSpPr>
          <xdr:cNvPr id="14" name="Rectangle 13"/>
          <xdr:cNvSpPr/>
        </xdr:nvSpPr>
        <xdr:spPr>
          <a:xfrm>
            <a:off x="3391129" y="440823"/>
            <a:ext cx="4819422" cy="906274"/>
          </a:xfrm>
          <a:prstGeom prst="rect">
            <a:avLst/>
          </a:prstGeom>
          <a:noFill/>
        </xdr:spPr>
        <xdr:txBody>
          <a:bodyPr wrap="none" lIns="91440" tIns="45720" rIns="91440" bIns="45720">
            <a:noAutofit/>
          </a:bodyPr>
          <a:lstStyle/>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Smart Meter Model for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Electricity Distributors </a:t>
            </a:r>
          </a:p>
          <a:p>
            <a:pPr algn="ctr" rtl="0"/>
            <a:r>
              <a:rPr lang="en-CA" sz="26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(2013 Filers)</a:t>
            </a:r>
            <a:endParaRPr lang="en-CA" sz="26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EBFS05\Home\AbramoMa\Rate%20Applications%20or%20Projects\Electricity\IRM%20model%20for%202013%20filers\oakville\Final%202013%20IRM%20RG%20oakville.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oebfs05\Home\Market%20Operations\Department%20Applications\Reports\Rates\Electricity%20Rates%20-%20Billing%20Determinants%20Database\2012%20IRM%20DEVELOPMENT\2012%20IRM%20MODEL%20(2ND%20AND%203R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rmation Sheet"/>
      <sheetName val="2. Table of Contents"/>
      <sheetName val="3. Rate Class Selection"/>
      <sheetName val="4. Current Tariff Schedule"/>
      <sheetName val="4. Hidden"/>
      <sheetName val="5. 2013 Continuity Schedule"/>
      <sheetName val="6. Billing Det. for Def-Var"/>
      <sheetName val="6. hidden"/>
      <sheetName val="7. Cost Allocation for Def-Var"/>
      <sheetName val="8. Calculation of Def-Var RR"/>
      <sheetName val="9. Rev2Cost_GDPIPI"/>
      <sheetName val="9. hidden"/>
      <sheetName val="10. Other Charges &amp; LF"/>
      <sheetName val="11. Proposed Rates"/>
      <sheetName val="12. Summary Sheet"/>
      <sheetName val="13. Final Tariff Schedule"/>
      <sheetName val="14. Bill Impacts"/>
      <sheetName val="lis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
          <cell r="AM1" t="str">
            <v>Algoma Power Inc.</v>
          </cell>
        </row>
        <row r="2">
          <cell r="AM2" t="str">
            <v>Atikokan Hydro Inc.</v>
          </cell>
        </row>
        <row r="3">
          <cell r="AM3" t="str">
            <v>Attawapiskat Power Corporation</v>
          </cell>
        </row>
        <row r="4">
          <cell r="AM4" t="str">
            <v>Bluewater Power Distribution Corp.</v>
          </cell>
        </row>
        <row r="5">
          <cell r="AM5" t="str">
            <v>Brant County Power</v>
          </cell>
        </row>
        <row r="6">
          <cell r="AM6" t="str">
            <v>Brantford Power Inc.</v>
          </cell>
        </row>
        <row r="7">
          <cell r="AM7" t="str">
            <v>Burlington Hydro Inc.</v>
          </cell>
        </row>
        <row r="8">
          <cell r="AM8" t="str">
            <v>Cambridge and North Dumfries Hydro</v>
          </cell>
        </row>
        <row r="9">
          <cell r="AM9" t="str">
            <v>Canadian Niagara Power Inc. – Eastern Ontario Power/Fort Erie/Port Colborne</v>
          </cell>
        </row>
        <row r="10">
          <cell r="AM10" t="str">
            <v>Centre Wellington Hydro Ltd.</v>
          </cell>
        </row>
        <row r="11">
          <cell r="AM11" t="str">
            <v>Chapleau Public Utilities Corporation</v>
          </cell>
        </row>
        <row r="12">
          <cell r="AM12" t="str">
            <v>COLLUS Power Corp.</v>
          </cell>
        </row>
        <row r="13">
          <cell r="AM13" t="str">
            <v>Cooperative Hydro Embrun Inc.</v>
          </cell>
        </row>
        <row r="14">
          <cell r="AM14" t="str">
            <v>E.L.K. Energy Inc.</v>
          </cell>
        </row>
        <row r="15">
          <cell r="AM15" t="str">
            <v>Enersource Hydro Mississauga Inc.</v>
          </cell>
        </row>
        <row r="16">
          <cell r="AM16" t="str">
            <v>Entegrus Powerlines Inc.</v>
          </cell>
        </row>
        <row r="17">
          <cell r="AM17" t="str">
            <v>ENWIN Utilities Ltd.</v>
          </cell>
        </row>
        <row r="18">
          <cell r="AM18" t="str">
            <v>Erie Thames Powerlines Corp.</v>
          </cell>
        </row>
        <row r="19">
          <cell r="AM19" t="str">
            <v>Espanola Regional Hydro Distribution Corporation</v>
          </cell>
        </row>
        <row r="20">
          <cell r="AM20" t="str">
            <v>Essex Powerlines Corporation</v>
          </cell>
        </row>
        <row r="21">
          <cell r="AM21" t="str">
            <v>Festival Hydro Inc.</v>
          </cell>
        </row>
        <row r="22">
          <cell r="AM22" t="str">
            <v>Fort Albany Power Corporation</v>
          </cell>
        </row>
        <row r="23">
          <cell r="AM23" t="str">
            <v>Fort Frances Power Corporation</v>
          </cell>
        </row>
        <row r="24">
          <cell r="AM24" t="str">
            <v>Greater Sudbury Hydro Inc.</v>
          </cell>
        </row>
        <row r="25">
          <cell r="AM25" t="str">
            <v>Grimsby Power Inc.</v>
          </cell>
        </row>
        <row r="26">
          <cell r="AM26" t="str">
            <v>Guelph Hydro Electric Systems Inc.</v>
          </cell>
        </row>
        <row r="27">
          <cell r="AM27" t="str">
            <v>Haldimand County Hydro Inc.</v>
          </cell>
        </row>
        <row r="28">
          <cell r="AM28" t="str">
            <v>Halton Hills Hydro Inc.</v>
          </cell>
        </row>
        <row r="29">
          <cell r="AM29" t="str">
            <v>Hearst Power Distribution Co. Ltd.</v>
          </cell>
        </row>
        <row r="30">
          <cell r="AM30" t="str">
            <v>Horizon Utilities Corporation</v>
          </cell>
        </row>
        <row r="31">
          <cell r="AM31" t="str">
            <v>Hydro 2000 Inc.</v>
          </cell>
        </row>
        <row r="32">
          <cell r="AM32" t="str">
            <v>Hydro Hawkesbury Inc.</v>
          </cell>
        </row>
        <row r="33">
          <cell r="AM33" t="str">
            <v>Hydro One Brampton Networks Inc.</v>
          </cell>
        </row>
        <row r="34">
          <cell r="AM34" t="str">
            <v>Hydro One Networks Inc.</v>
          </cell>
        </row>
        <row r="35">
          <cell r="AM35" t="str">
            <v>Hydro One Remote Communities Inc.</v>
          </cell>
        </row>
        <row r="36">
          <cell r="AM36" t="str">
            <v>Hydro Ottawa Limited</v>
          </cell>
        </row>
        <row r="37">
          <cell r="AM37" t="str">
            <v>Innisfil Hydro Dist. Systems Limited</v>
          </cell>
        </row>
        <row r="38">
          <cell r="AM38" t="str">
            <v>Kashechewan Power Corporation</v>
          </cell>
        </row>
        <row r="39">
          <cell r="AM39" t="str">
            <v>Kenora Hydro Electric Corporation Ltd.</v>
          </cell>
        </row>
        <row r="40">
          <cell r="AM40" t="str">
            <v>Kingston Hydro Corporation</v>
          </cell>
        </row>
        <row r="41">
          <cell r="AM41" t="str">
            <v>Kitchener-Wilmot Hydro Inc.</v>
          </cell>
        </row>
        <row r="42">
          <cell r="AM42" t="str">
            <v>Lakefront Utilities Inc.</v>
          </cell>
        </row>
        <row r="43">
          <cell r="AM43" t="str">
            <v>Lakeland Power Distribution Ltd.</v>
          </cell>
        </row>
        <row r="44">
          <cell r="AM44" t="str">
            <v>London Hydro Inc.</v>
          </cell>
        </row>
        <row r="45">
          <cell r="AM45" t="str">
            <v>Midland Power Utility Corporation</v>
          </cell>
        </row>
        <row r="46">
          <cell r="AM46" t="str">
            <v>Milton Hydro Distribution Inc.</v>
          </cell>
        </row>
        <row r="47">
          <cell r="AM47" t="str">
            <v>Newmarket – Tay Power Distribution Ltd.</v>
          </cell>
        </row>
        <row r="48">
          <cell r="AM48" t="str">
            <v>Niagara Peninsula Energy Inc.</v>
          </cell>
        </row>
        <row r="49">
          <cell r="AM49" t="str">
            <v>Niagara-on-the-Lake Hydro Inc.</v>
          </cell>
        </row>
        <row r="50">
          <cell r="AM50" t="str">
            <v>Norfolk Power Distribution Ltd.</v>
          </cell>
        </row>
        <row r="51">
          <cell r="AM51" t="str">
            <v>North Bay Hydro Distribution Limited</v>
          </cell>
        </row>
        <row r="52">
          <cell r="AM52" t="str">
            <v>Northern Ontario Wires Inc.</v>
          </cell>
        </row>
        <row r="53">
          <cell r="AM53" t="str">
            <v>Oakville Hydro Distribution Inc.</v>
          </cell>
        </row>
        <row r="54">
          <cell r="AM54" t="str">
            <v>Orangeville Hydro Limited</v>
          </cell>
        </row>
        <row r="55">
          <cell r="AM55" t="str">
            <v>Orillia Power Distribution Corp.</v>
          </cell>
        </row>
        <row r="56">
          <cell r="AM56" t="str">
            <v>Oshawa PUC Networks Inc.</v>
          </cell>
        </row>
        <row r="57">
          <cell r="AM57" t="str">
            <v>Ottawa River Power Corporation</v>
          </cell>
        </row>
        <row r="58">
          <cell r="AM58" t="str">
            <v>Parry Sound Power Corporation</v>
          </cell>
        </row>
        <row r="59">
          <cell r="AM59" t="str">
            <v>Peterborough Distribution Inc.</v>
          </cell>
        </row>
        <row r="60">
          <cell r="AM60" t="str">
            <v>PowerStream Inc.</v>
          </cell>
        </row>
        <row r="61">
          <cell r="AM61" t="str">
            <v>PUC Distribution Inc.</v>
          </cell>
        </row>
        <row r="62">
          <cell r="AM62" t="str">
            <v>Renfrew Hydro Inc.</v>
          </cell>
        </row>
        <row r="63">
          <cell r="AM63" t="str">
            <v>Rideau St. Lawrence Distribution Inc.</v>
          </cell>
        </row>
        <row r="64">
          <cell r="AM64" t="str">
            <v>St. Thomas Energy Inc.</v>
          </cell>
        </row>
        <row r="65">
          <cell r="AM65" t="str">
            <v>Sioux Lookout Hydro Inc.</v>
          </cell>
        </row>
        <row r="66">
          <cell r="AM66" t="str">
            <v>Thunder Bay Hydro Electricity Distribution</v>
          </cell>
        </row>
        <row r="67">
          <cell r="AM67" t="str">
            <v>Tillsonburg Hydro Inc.</v>
          </cell>
        </row>
        <row r="68">
          <cell r="AM68" t="str">
            <v>Toronto Hydro-Electric System Limited</v>
          </cell>
        </row>
        <row r="69">
          <cell r="AM69" t="str">
            <v>Veridian Connections Inc.</v>
          </cell>
        </row>
        <row r="70">
          <cell r="AM70" t="str">
            <v>Wasaga Distribution Inc.</v>
          </cell>
        </row>
        <row r="71">
          <cell r="AM71" t="str">
            <v>Waterloo North Hydro Inc.</v>
          </cell>
        </row>
        <row r="72">
          <cell r="AM72" t="str">
            <v>Welland Hydro Electric System Corp.</v>
          </cell>
        </row>
        <row r="73">
          <cell r="AM73" t="str">
            <v>Wellington North Power Inc.</v>
          </cell>
        </row>
        <row r="74">
          <cell r="AM74" t="str">
            <v>West Coast Huron Energy Inc.</v>
          </cell>
        </row>
        <row r="75">
          <cell r="AM75" t="str">
            <v>Westario Power Inc.</v>
          </cell>
        </row>
        <row r="76">
          <cell r="AM76" t="str">
            <v>Whitby Hydro Electric Corporation</v>
          </cell>
        </row>
        <row r="77">
          <cell r="AM77" t="str">
            <v>Woodstock Hydro Services Inc.</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Info"/>
      <sheetName val="2. Applicable Worksheets"/>
      <sheetName val="3. Rate Classes"/>
      <sheetName val="hidden1"/>
      <sheetName val="4. Most Recent Tariff"/>
    </sheetNames>
    <sheetDataSet>
      <sheetData sheetId="0"/>
      <sheetData sheetId="1" refreshError="1"/>
      <sheetData sheetId="2"/>
      <sheetData sheetId="3">
        <row r="1">
          <cell r="D1" t="str">
            <v>Applicable only for Non-RPP Customers</v>
          </cell>
        </row>
        <row r="2">
          <cell r="D2" t="str">
            <v>Deferral / Variance Account Rate Rider</v>
          </cell>
        </row>
        <row r="3">
          <cell r="D3" t="str">
            <v>Deferral / Variance Account Rate Rider (excl GA)</v>
          </cell>
          <cell r="J3" t="str">
            <v>$</v>
          </cell>
        </row>
        <row r="4">
          <cell r="D4" t="str">
            <v>Deferral / Variance Account Rate Rider (GA) – if applicable</v>
          </cell>
          <cell r="J4" t="str">
            <v>$/kWh</v>
          </cell>
        </row>
        <row r="5">
          <cell r="D5" t="str">
            <v>Distribution Volumetric Rate</v>
          </cell>
          <cell r="J5" t="str">
            <v>$/kW</v>
          </cell>
        </row>
        <row r="6">
          <cell r="D6" t="str">
            <v>Distribution Wheeling Service Rate</v>
          </cell>
          <cell r="J6" t="str">
            <v>$/kVA</v>
          </cell>
        </row>
        <row r="7">
          <cell r="D7" t="str">
            <v>General Service 1,500 to 4,999 kW customer</v>
          </cell>
        </row>
        <row r="8">
          <cell r="D8" t="str">
            <v>General Service 50 to 1,499 kW customer</v>
          </cell>
        </row>
        <row r="9">
          <cell r="D9" t="str">
            <v>General Service Large Use customer</v>
          </cell>
        </row>
        <row r="10">
          <cell r="D10" t="str">
            <v>Green Energy Act Initiatives Funding Adder</v>
          </cell>
        </row>
        <row r="11">
          <cell r="D11" t="str">
            <v>Lost Revenue Adjustment Mechanism (LRAM) Recovery/Shared Savings Mechanism (SSM) Recovery Rate Rider – effective until April 30, 2012</v>
          </cell>
        </row>
        <row r="12">
          <cell r="D12" t="str">
            <v>Lost Revenue Adjustment Mechanism (LRAM) Recovery/Shared Savings Mechanism (SSM) Recovery Rate Rider (2011) – effective until April 30, 2014</v>
          </cell>
        </row>
        <row r="13">
          <cell r="D13" t="str">
            <v>Low Voltage Service Rate</v>
          </cell>
        </row>
        <row r="14">
          <cell r="D14" t="str">
            <v>Low Voltage Volumetric Rate</v>
          </cell>
        </row>
        <row r="15">
          <cell r="D15" t="str">
            <v>LRAM &amp; SSM Rate Rider</v>
          </cell>
        </row>
        <row r="16">
          <cell r="D16" t="str">
            <v>Minimum Distribution Charge – per KW of maximum billing demand in the previous 11 months</v>
          </cell>
        </row>
        <row r="17">
          <cell r="D17" t="str">
            <v>Monthly Distribution Wheeling Service Rate – Dedicated LV Line</v>
          </cell>
        </row>
        <row r="18">
          <cell r="D18" t="str">
            <v>Monthly Distribution Wheeling Service Rate – Hydro One Networks</v>
          </cell>
        </row>
        <row r="19">
          <cell r="D19" t="str">
            <v>Monthly Distribution Wheeling Service Rate – Shared LV Line</v>
          </cell>
        </row>
        <row r="20">
          <cell r="D20" t="str">
            <v>Monthly Distribution Wheeling Service Rate – Waterloo North Hydro</v>
          </cell>
        </row>
        <row r="21">
          <cell r="D21" t="str">
            <v>Rate Rider for Deferral/Variance Account Disposition – effective until April 30, 2014</v>
          </cell>
        </row>
        <row r="22">
          <cell r="D22" t="str">
            <v>Rate Rider for Deferral/Variance Account Disposition (2009) – effective until April 30, 2013</v>
          </cell>
        </row>
        <row r="23">
          <cell r="D23" t="str">
            <v>Rate Rider for Deferral/Variance Account Disposition (2010) – effective until April 30, 2012</v>
          </cell>
        </row>
        <row r="24">
          <cell r="D24" t="str">
            <v>Rate Rider for Deferral/Variance Account Disposition (2010) – effective until April 30, 2012 Applicable only for Wholesale Market Participants</v>
          </cell>
        </row>
        <row r="25">
          <cell r="D25" t="str">
            <v>Rate Rider for Deferral/Variance Account Disposition (2010) – effective until April 30, 2013</v>
          </cell>
        </row>
        <row r="26">
          <cell r="D26" t="str">
            <v>Rate Rider for Deferral/Variance Account Disposition (2010) – effective until April 30, 2014</v>
          </cell>
        </row>
        <row r="27">
          <cell r="D27" t="str">
            <v>Rate Rider for Deferral/Variance Account Disposition (2010) – effective until January 31, 2012</v>
          </cell>
        </row>
        <row r="28">
          <cell r="D28" t="str">
            <v>Rate Rider for Deferral/Variance Account Disposition (2011) – effective until April 30, 2012</v>
          </cell>
        </row>
        <row r="29">
          <cell r="D29" t="str">
            <v>Rate Rider for Deferral/Variance Account Disposition (2011) – effective until April 30, 2012 (per connection)</v>
          </cell>
        </row>
        <row r="30">
          <cell r="D30" t="str">
            <v>Rate Rider for Deferral/Variance Account Disposition (2011) – effective until April 30, 2013</v>
          </cell>
        </row>
        <row r="31">
          <cell r="D31" t="str">
            <v>Rate Rider for Deferral/Variance Account Disposition (2011) – effective until April 30, 2013 Applicable only for Wholesale Market Participants</v>
          </cell>
        </row>
        <row r="32">
          <cell r="D32" t="str">
            <v>Rate Rider for Deferral/Variance Account Disposition (2011) – effective until April 30, 2014</v>
          </cell>
        </row>
        <row r="33">
          <cell r="D33" t="str">
            <v>Rate Rider for Deferral/Variance Account Disposition (2011) – effective until April 30, 2015</v>
          </cell>
        </row>
        <row r="34">
          <cell r="D34" t="str">
            <v>Rate Rider for Deferral/Variance Account Disposition (2011) – effective until December 31, 2011</v>
          </cell>
        </row>
        <row r="35">
          <cell r="D35" t="str">
            <v>Rate Rider for Global Adjustment Sub-Account (2010) – effective until April 30, 2012 Applicable only for Non-RPP Customers</v>
          </cell>
        </row>
        <row r="36">
          <cell r="D36" t="str">
            <v>Rate Rider for Global Adjustment Sub-Account (2011) – effective until April 30, 2012 Applicable only for Non-RPP Customers</v>
          </cell>
        </row>
        <row r="37">
          <cell r="D37" t="str">
            <v>Rate Rider for Global Adjustment Sub-Account Disposition – effective until April 30, 2012 Applicable only for Non-RPP Customers</v>
          </cell>
        </row>
        <row r="38">
          <cell r="D38" t="str">
            <v>Rate Rider for Global Adjustment Sub-Account Disposition – effective until April 30, 2014 Applicable only for Non-RPP Customers</v>
          </cell>
        </row>
        <row r="39">
          <cell r="D39" t="str">
            <v>Rate Rider for Global Adjustment Sub-Account Disposition (2010 credit) – effective until April 30, 2012 Applicable only for Non-RPP Customers</v>
          </cell>
        </row>
        <row r="40">
          <cell r="D40" t="str">
            <v>Rate Rider for Global Adjustment Sub-Account Disposition (2010 recalculated) – effective until April 30, 2013 Applicable only for Non-RPP Customers</v>
          </cell>
        </row>
        <row r="41">
          <cell r="D41" t="str">
            <v>Rate Rider for Global Adjustment Sub-Account Disposition (2010) – effective until April 30, 2012 Applicable only for Non-RPP Customers</v>
          </cell>
        </row>
        <row r="42">
          <cell r="D42" t="str">
            <v>Rate Rider for Global Adjustment Sub-Account Disposition (2010) – effective until April 30, 2013 Applicable only for Non-RPP Customers</v>
          </cell>
        </row>
        <row r="43">
          <cell r="D43" t="str">
            <v>Rate Rider for Global Adjustment Sub-Account Disposition (2010) – effective until April 30, 2014 Applicable only for Non-RPP Customers</v>
          </cell>
        </row>
        <row r="44">
          <cell r="D44" t="str">
            <v>Rate Rider for Global Adjustment Sub-Account Disposition (2011) – effective until April 30, 2012 Applicable only for Non-RPP Customers</v>
          </cell>
        </row>
        <row r="45">
          <cell r="D45" t="str">
            <v>Rate Rider for Global Adjustment Sub-Account Disposition (2011) – effective until April 30, 2012 Applicable only for Non-RPP Customers (per connection)</v>
          </cell>
        </row>
        <row r="46">
          <cell r="D46" t="str">
            <v>Rate Rider for Global Adjustment Sub-Account Disposition (2011) – effective until April 30, 2013 Applicable only for Non-RPP Customers</v>
          </cell>
        </row>
        <row r="47">
          <cell r="D47" t="str">
            <v>Rate Rider for Global Adjustment Sub-Account Disposition (2011) – effective until April 30, 2013 Applicable only for Non-RPP Customers and excluding Wholesale Market Participants</v>
          </cell>
        </row>
        <row r="48">
          <cell r="D48" t="str">
            <v>Rate Rider for Global Adjustment Sub-Account Disposition (2011) – effective until April 30, 2015 Applicable only for Non-RPP Customers</v>
          </cell>
        </row>
        <row r="49">
          <cell r="D49" t="str">
            <v>Rate Rider for Lost Revenue Adjustment Mechanism (LRAM) Recovery – effective until April 30, 2012</v>
          </cell>
        </row>
        <row r="50">
          <cell r="D50" t="str">
            <v>Rate Rider for Lost Revenue Adjustment Mechanism (LRAM) Recovery/Shared Savings Mechanism (SSM) Recovery – effective until April 30, 2012</v>
          </cell>
        </row>
        <row r="51">
          <cell r="D51" t="str">
            <v>Rate Rider for Lost Revenue Adjustment Mechanism (LRAM) Recovery/Shared Savings Mechanism (SSM) Recovery – effective until April 30, 2012</v>
          </cell>
        </row>
        <row r="52">
          <cell r="D52" t="str">
            <v>Rate Rider for Lost Revenue Adjustment Mechanism (LRAM) Recovery/Shared Savings Mechanism (SSM) Recovery – effective until April 30, 2013</v>
          </cell>
        </row>
        <row r="53">
          <cell r="D53" t="str">
            <v>Rate Rider for Lost Revenue Adjustment Mechanism (LRAM) Recovery/Shared Savings Mechanism (SSM) Recovery – effective until April 30, 2014</v>
          </cell>
        </row>
        <row r="54">
          <cell r="D54" t="str">
            <v>Rate Rider for Lost Revenue Adjustment Mechanism (LRAM) Recovery/Shared Savings Mechanism (SSM) Recovery – effective until December 31, 2012</v>
          </cell>
        </row>
        <row r="55">
          <cell r="D55" t="str">
            <v>Rate Rider for Lost Revenue Adjustment Mechanism (LRAM) Recovery/Shared Savings Mechanism (SSM) Recovery (2009) – effective until April 30, 2012</v>
          </cell>
        </row>
        <row r="56">
          <cell r="D56" t="str">
            <v>Rate Rider for Lost Revenue Adjustment Mechanism (LRAM) Recovery/Shared Savings Mechanism (SSM) Recovery (2011) – effective until April 30, 2012</v>
          </cell>
        </row>
        <row r="57">
          <cell r="D57" t="str">
            <v>Rate Rider for Lost Revenue Adjustment Mechanism (LRAM) Recovery/Shared Savings Mechanism (SSM) Recovery (2011) – effective until April 30, 2013</v>
          </cell>
        </row>
        <row r="58">
          <cell r="D58" t="str">
            <v>Rate Rider for Recalculated Deferral/Variance Account Disposition (2010) – effective until April 30, 2013</v>
          </cell>
        </row>
        <row r="59">
          <cell r="D59" t="str">
            <v>Rate Rider for Recovery of Foregone Revenue – effective until December 31, 2011</v>
          </cell>
        </row>
        <row r="60">
          <cell r="D60" t="str">
            <v>Rate Rider for Recovery of Incremental Capital Costs – effective until April 30, 2012</v>
          </cell>
        </row>
        <row r="61">
          <cell r="D61" t="str">
            <v>Rate Rider for Recovery of Incremental Capital Costs – effective until April 30, 2013</v>
          </cell>
        </row>
        <row r="62">
          <cell r="D62" t="str">
            <v>Rate Rider for Recovery of Late Payment Penalty Litigation Costs – effective until April 30, 2012</v>
          </cell>
        </row>
        <row r="63">
          <cell r="D63" t="str">
            <v>Rate Rider for Recovery of Late Payment Penalty Litigation Costs – effective until April 30, 2012 (per connection)</v>
          </cell>
        </row>
        <row r="64">
          <cell r="D64" t="str">
            <v>Rate Rider for Recovery of Late Payment Penalty Litigation Costs (per customer) – effective until April 30, 2012</v>
          </cell>
        </row>
        <row r="65">
          <cell r="D65" t="str">
            <v>Rate Rider for Recovery of Stranded Meter Assets – effective until December 31, 2012</v>
          </cell>
        </row>
        <row r="66">
          <cell r="D66" t="str">
            <v>Rate Rider for Regulatory Asset Recovery – effective until April 30, 2012</v>
          </cell>
        </row>
        <row r="67">
          <cell r="D67" t="str">
            <v>Rate Rider for Regulatory Asset Recovery – effective until April 30, 2013</v>
          </cell>
        </row>
        <row r="68">
          <cell r="D68" t="str">
            <v>Rate Rider for Return of Revenue Sufficiency – effective until December 31, 2011</v>
          </cell>
        </row>
        <row r="69">
          <cell r="D69" t="str">
            <v>Rate Rider for Return of Transformer Ownership Allowance Sufficiency – effective until December 31, 2011</v>
          </cell>
        </row>
        <row r="70">
          <cell r="D70" t="str">
            <v>Rate Rider for Smart Meter Incremental Revenue Requirement – in effect until the effective date of the next cost of service application</v>
          </cell>
        </row>
        <row r="71">
          <cell r="D71" t="str">
            <v>Rate Rider for Smart Meter Variance Account Disposition – effective until April 30, 2012</v>
          </cell>
        </row>
        <row r="72">
          <cell r="D72" t="str">
            <v>Rate Rider for Smart Meter Variance Account Disposition – effective until December 31, 2011</v>
          </cell>
        </row>
        <row r="73">
          <cell r="D73" t="str">
            <v>Rate Rider for Tax Change – effective until April 20, 2012</v>
          </cell>
        </row>
        <row r="74">
          <cell r="D74" t="str">
            <v>Rate Rider for Tax Change – effective until April 30, 2012</v>
          </cell>
        </row>
        <row r="75">
          <cell r="D75" t="str">
            <v>Rate Rider for Tax Change – effective until April 30, 2012 (per connection)</v>
          </cell>
        </row>
        <row r="76">
          <cell r="D76" t="str">
            <v>Rate Rider for Tax Change – Hydro One Networks - effective until April 30, 2012</v>
          </cell>
        </row>
        <row r="77">
          <cell r="D77" t="str">
            <v>Rate Rider for Tax Change – Waterloo North Hydro – effective until April 30, 2012</v>
          </cell>
        </row>
        <row r="78">
          <cell r="D78" t="str">
            <v>Rate Rider for Tax Change Dedicated LV Line – effective until April 30, 2012</v>
          </cell>
        </row>
        <row r="79">
          <cell r="D79" t="str">
            <v>Rate Rider for Tax Change Shared LV Line – effective until April 30, 2012</v>
          </cell>
        </row>
        <row r="80">
          <cell r="D80" t="str">
            <v>Rate Rider for Z-Factor Recovery – Effective until April 30, 2012</v>
          </cell>
        </row>
        <row r="81">
          <cell r="D81" t="str">
            <v>Retail Transmission Rate – Line and Transformation Connection Service Rate</v>
          </cell>
        </row>
        <row r="82">
          <cell r="D82" t="str">
            <v>Retail Transmission Rate – Line and Transformation Connection Service Rate – Interval Metered</v>
          </cell>
        </row>
        <row r="83">
          <cell r="D83" t="str">
            <v>Retail Transmission Rate – Line and Transformation Connection Service Rate – Interval Metered &lt; 1,000 kW</v>
          </cell>
        </row>
        <row r="84">
          <cell r="D84" t="str">
            <v>Retail Transmission Rate – Line and Transformation Connection Service Rate – Interval Metered &gt; 1,000 kW</v>
          </cell>
        </row>
        <row r="85">
          <cell r="D85" t="str">
            <v>Retail Transmission Rate – Line and Transformation Connection Service Rate – Interval Metered ≥ 1,000kW</v>
          </cell>
        </row>
        <row r="86">
          <cell r="D86" t="str">
            <v>Retail Transmission Rate – Line Connection Service Rate</v>
          </cell>
        </row>
        <row r="87">
          <cell r="D87" t="str">
            <v>Retail Transmission Rate – Network Service Rate</v>
          </cell>
        </row>
        <row r="88">
          <cell r="D88" t="str">
            <v>Retail Transmission Rate – Network Service Rate – Interval Metered</v>
          </cell>
        </row>
        <row r="89">
          <cell r="D89" t="str">
            <v>Retail Transmission Rate – Network Service Rate – Interval Metered &lt; 1,000 kW Rate</v>
          </cell>
        </row>
        <row r="90">
          <cell r="D90" t="str">
            <v>Retail Transmission Rate – Network Service Rate – Interval Metered &gt; 1,000 kW</v>
          </cell>
        </row>
        <row r="91">
          <cell r="D91" t="str">
            <v>Retail Transmission Rate – Network Service Rate – Interval Metered ≥ 1,000 kW</v>
          </cell>
        </row>
        <row r="92">
          <cell r="D92" t="str">
            <v>Retail Transmission Rate – Transformation Connection Service Rate</v>
          </cell>
        </row>
        <row r="93">
          <cell r="D93" t="str">
            <v>Service Charge</v>
          </cell>
        </row>
        <row r="94">
          <cell r="D94" t="str">
            <v>Service Charge (Based on 30 day month)</v>
          </cell>
        </row>
        <row r="95">
          <cell r="D95" t="str">
            <v>Service Charge (per account)</v>
          </cell>
        </row>
        <row r="96">
          <cell r="D96" t="str">
            <v>Service Charge (per connection)</v>
          </cell>
        </row>
        <row r="97">
          <cell r="D97" t="str">
            <v>Service Charge (per customer)</v>
          </cell>
        </row>
        <row r="98">
          <cell r="D98" t="str">
            <v>Service Charge for metered account</v>
          </cell>
        </row>
        <row r="99">
          <cell r="D99" t="str">
            <v>Service Charge for Unmetered Scattered Load account (per connection)</v>
          </cell>
        </row>
        <row r="100">
          <cell r="D100" t="str">
            <v>Smart Grid Rate Adder</v>
          </cell>
        </row>
        <row r="101">
          <cell r="D101" t="str">
            <v>Smart Meter Disposition Rider 2 – effective until next cost of service application</v>
          </cell>
        </row>
        <row r="102">
          <cell r="D102" t="str">
            <v>Smart Meter Disposition Rider 3 – effective until next cost of service application</v>
          </cell>
        </row>
        <row r="103">
          <cell r="D103" t="str">
            <v>Smart Meter Funding Adder</v>
          </cell>
        </row>
        <row r="104">
          <cell r="D104" t="str">
            <v>Smart Meter Funding Adder – effective until April 30, 2012</v>
          </cell>
        </row>
        <row r="105">
          <cell r="D105" t="str">
            <v>Smart Meter Funding Adder – effective until December 31, 2011</v>
          </cell>
        </row>
        <row r="106">
          <cell r="D106" t="str">
            <v>Smart Meter Funding Adder for metered account – effective until April 30, 2012</v>
          </cell>
        </row>
        <row r="107">
          <cell r="D107" t="str">
            <v>Standby Charge – for a month where standby power is not provided. The charge is applied to the contracted amount (e.g. nameplate rating of the generation facility).</v>
          </cell>
        </row>
        <row r="108">
          <cell r="D108" t="str">
            <v>Total Loss Factor – Primary Metered Customer &lt; 5,000 kW</v>
          </cell>
        </row>
        <row r="109">
          <cell r="D109" t="str">
            <v>Total Loss Factor – Primary Metered Customer &gt; 5,000 kW</v>
          </cell>
        </row>
        <row r="110">
          <cell r="D110" t="str">
            <v>Total Loss Factor – Secondary Metered Customer &lt; 5,000 kW</v>
          </cell>
        </row>
        <row r="111">
          <cell r="D111" t="str">
            <v>Total Loss Factor – Secondary Metered Customer &gt; 5,000 kW</v>
          </cell>
        </row>
        <row r="112">
          <cell r="D112" t="str">
            <v>Transmission Rate – Network Service Rate – Interval Metered</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1.xml"/><Relationship Id="rId1" Type="http://schemas.openxmlformats.org/officeDocument/2006/relationships/printerSettings" Target="../printerSettings/printerSettings11.bin"/><Relationship Id="rId5" Type="http://schemas.openxmlformats.org/officeDocument/2006/relationships/comments" Target="../comments4.xml"/><Relationship Id="rId4" Type="http://schemas.openxmlformats.org/officeDocument/2006/relationships/ctrlProp" Target="../ctrlProps/ctrlProp1.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H110"/>
  <sheetViews>
    <sheetView showGridLines="0" topLeftCell="A7" workbookViewId="0">
      <selection activeCell="D27" sqref="D27"/>
    </sheetView>
  </sheetViews>
  <sheetFormatPr defaultColWidth="9.140625" defaultRowHeight="15.75" customHeight="1" zeroHeight="1" x14ac:dyDescent="0.25"/>
  <cols>
    <col min="1" max="1" width="14.7109375" style="283" customWidth="1"/>
    <col min="2" max="2" width="11.42578125" style="283" hidden="1" customWidth="1"/>
    <col min="3" max="3" width="26.7109375" style="283" customWidth="1"/>
    <col min="4" max="4" width="34.42578125" style="283" customWidth="1"/>
    <col min="5" max="5" width="30.7109375" style="284" customWidth="1"/>
    <col min="6" max="6" width="13.5703125" style="283" customWidth="1"/>
    <col min="7" max="25" width="9.140625" style="283"/>
    <col min="26" max="26" width="8.5703125" style="283" customWidth="1"/>
    <col min="27" max="27" width="3.85546875" style="285" customWidth="1"/>
    <col min="28" max="28" width="67.7109375" style="285" customWidth="1"/>
    <col min="29" max="29" width="17" style="285" customWidth="1"/>
    <col min="30" max="30" width="16.28515625" style="285" customWidth="1"/>
    <col min="31" max="31" width="16.140625" style="285" customWidth="1"/>
    <col min="32" max="32" width="13.7109375" style="288" customWidth="1"/>
    <col min="33" max="33" width="24.42578125" style="288" customWidth="1"/>
    <col min="34" max="34" width="6.28515625" style="283" customWidth="1"/>
    <col min="35" max="35" width="9.140625" style="283" customWidth="1"/>
    <col min="36" max="36" width="45.140625" style="283" customWidth="1"/>
    <col min="37" max="16384" width="9.140625" style="283"/>
  </cols>
  <sheetData>
    <row r="1" spans="3:34" x14ac:dyDescent="0.25">
      <c r="AB1" s="286" t="s">
        <v>191</v>
      </c>
      <c r="AC1" s="287"/>
      <c r="AD1" s="287"/>
      <c r="AE1" s="287"/>
    </row>
    <row r="2" spans="3:34" ht="18" x14ac:dyDescent="0.25">
      <c r="C2" s="366"/>
      <c r="D2" s="366"/>
      <c r="E2" s="366"/>
      <c r="F2" s="366"/>
      <c r="G2" s="366"/>
      <c r="H2" s="366"/>
      <c r="I2" s="366"/>
      <c r="J2" s="366"/>
      <c r="AB2" s="286" t="s">
        <v>319</v>
      </c>
      <c r="AC2" s="287"/>
      <c r="AD2" s="287"/>
      <c r="AE2" s="287"/>
      <c r="AF2" s="285"/>
      <c r="AG2" s="285"/>
      <c r="AH2" s="285"/>
    </row>
    <row r="3" spans="3:34" ht="18" x14ac:dyDescent="0.25">
      <c r="C3" s="366"/>
      <c r="D3" s="366"/>
      <c r="E3" s="366"/>
      <c r="F3" s="366"/>
      <c r="G3" s="366"/>
      <c r="H3" s="366"/>
      <c r="I3" s="366"/>
      <c r="J3" s="366"/>
      <c r="AB3" s="286" t="s">
        <v>422</v>
      </c>
    </row>
    <row r="4" spans="3:34" ht="18" x14ac:dyDescent="0.25">
      <c r="C4" s="366"/>
      <c r="D4" s="366"/>
      <c r="E4" s="366"/>
      <c r="F4" s="366"/>
      <c r="G4" s="366"/>
      <c r="H4" s="366"/>
      <c r="I4" s="366"/>
      <c r="J4" s="366"/>
      <c r="AB4" s="286" t="s">
        <v>423</v>
      </c>
    </row>
    <row r="5" spans="3:34" ht="18" x14ac:dyDescent="0.25">
      <c r="C5" s="366"/>
      <c r="D5" s="366"/>
      <c r="E5" s="366"/>
      <c r="F5" s="366"/>
      <c r="G5" s="366"/>
      <c r="H5" s="366"/>
      <c r="I5" s="366"/>
      <c r="J5" s="366"/>
      <c r="AB5" s="286" t="s">
        <v>424</v>
      </c>
    </row>
    <row r="6" spans="3:34" x14ac:dyDescent="0.25">
      <c r="AB6" s="286" t="s">
        <v>192</v>
      </c>
    </row>
    <row r="7" spans="3:34" x14ac:dyDescent="0.25">
      <c r="AB7" s="286" t="s">
        <v>193</v>
      </c>
    </row>
    <row r="8" spans="3:34" x14ac:dyDescent="0.25">
      <c r="AB8" s="286" t="s">
        <v>425</v>
      </c>
    </row>
    <row r="9" spans="3:34" x14ac:dyDescent="0.25">
      <c r="AB9" s="286" t="s">
        <v>426</v>
      </c>
    </row>
    <row r="10" spans="3:34" ht="9" customHeight="1" x14ac:dyDescent="0.4">
      <c r="C10" s="289"/>
      <c r="AB10" s="286" t="s">
        <v>194</v>
      </c>
    </row>
    <row r="11" spans="3:34" ht="9" customHeight="1" x14ac:dyDescent="0.25">
      <c r="AB11" s="286" t="s">
        <v>320</v>
      </c>
    </row>
    <row r="12" spans="3:34" ht="9" customHeight="1" x14ac:dyDescent="0.25">
      <c r="AB12" s="286" t="s">
        <v>427</v>
      </c>
    </row>
    <row r="13" spans="3:34" x14ac:dyDescent="0.25">
      <c r="H13" s="321" t="s">
        <v>449</v>
      </c>
      <c r="I13" s="322">
        <v>3</v>
      </c>
      <c r="AB13" s="286" t="s">
        <v>195</v>
      </c>
    </row>
    <row r="14" spans="3:34" ht="16.5" thickBot="1" x14ac:dyDescent="0.3">
      <c r="F14" s="284"/>
      <c r="G14" s="284"/>
      <c r="H14" s="284"/>
      <c r="AB14" s="286" t="s">
        <v>230</v>
      </c>
    </row>
    <row r="15" spans="3:34" ht="17.25" thickTop="1" thickBot="1" x14ac:dyDescent="0.3">
      <c r="C15" s="290" t="s">
        <v>428</v>
      </c>
      <c r="D15" s="367" t="s">
        <v>225</v>
      </c>
      <c r="E15" s="368"/>
      <c r="F15" s="284"/>
      <c r="G15" s="284"/>
      <c r="H15" s="284"/>
      <c r="AB15" s="286" t="s">
        <v>429</v>
      </c>
    </row>
    <row r="16" spans="3:34" ht="16.5" thickBot="1" x14ac:dyDescent="0.3">
      <c r="AB16" s="286" t="s">
        <v>430</v>
      </c>
    </row>
    <row r="17" spans="1:33" ht="16.5" thickTop="1" x14ac:dyDescent="0.25">
      <c r="C17" s="291" t="s">
        <v>431</v>
      </c>
      <c r="D17" s="362" t="s">
        <v>457</v>
      </c>
      <c r="AB17" s="286" t="s">
        <v>196</v>
      </c>
    </row>
    <row r="18" spans="1:33" ht="16.5" thickBot="1" x14ac:dyDescent="0.3">
      <c r="AB18" s="286" t="s">
        <v>432</v>
      </c>
    </row>
    <row r="19" spans="1:33" ht="16.5" thickTop="1" x14ac:dyDescent="0.2">
      <c r="C19" s="291" t="s">
        <v>433</v>
      </c>
      <c r="D19" s="364"/>
      <c r="E19" s="365"/>
      <c r="G19" s="293"/>
      <c r="H19" s="293"/>
      <c r="AB19" s="286" t="s">
        <v>321</v>
      </c>
    </row>
    <row r="20" spans="1:33" ht="16.5" thickBot="1" x14ac:dyDescent="0.3">
      <c r="AA20" s="294"/>
      <c r="AB20" s="286" t="s">
        <v>197</v>
      </c>
      <c r="AC20" s="294"/>
      <c r="AD20" s="294"/>
      <c r="AE20" s="294"/>
      <c r="AF20" s="295"/>
      <c r="AG20" s="295"/>
    </row>
    <row r="21" spans="1:33" ht="16.5" thickTop="1" x14ac:dyDescent="0.25">
      <c r="C21" s="291" t="s">
        <v>434</v>
      </c>
      <c r="D21" s="292"/>
      <c r="AB21" s="286" t="s">
        <v>198</v>
      </c>
      <c r="AC21" s="283"/>
      <c r="AE21" s="283"/>
      <c r="AF21" s="296"/>
      <c r="AG21" s="297"/>
    </row>
    <row r="22" spans="1:33" ht="16.5" thickBot="1" x14ac:dyDescent="0.25">
      <c r="E22" s="293"/>
      <c r="AB22" s="286" t="s">
        <v>322</v>
      </c>
      <c r="AC22" s="283"/>
      <c r="AE22" s="283"/>
      <c r="AF22" s="296"/>
      <c r="AG22" s="297"/>
    </row>
    <row r="23" spans="1:33" ht="16.5" thickTop="1" x14ac:dyDescent="0.25">
      <c r="C23" s="291" t="s">
        <v>435</v>
      </c>
      <c r="D23" s="292"/>
      <c r="AB23" s="286" t="s">
        <v>199</v>
      </c>
      <c r="AC23" s="283"/>
      <c r="AE23" s="283"/>
      <c r="AF23" s="296"/>
      <c r="AG23" s="297"/>
    </row>
    <row r="24" spans="1:33" ht="16.5" thickBot="1" x14ac:dyDescent="0.3">
      <c r="AB24" s="286" t="s">
        <v>200</v>
      </c>
      <c r="AC24" s="283"/>
      <c r="AE24" s="283"/>
      <c r="AF24" s="296"/>
      <c r="AG24" s="297"/>
    </row>
    <row r="25" spans="1:33" ht="16.5" thickTop="1" x14ac:dyDescent="0.25">
      <c r="C25" s="291" t="s">
        <v>143</v>
      </c>
      <c r="D25" s="292"/>
      <c r="G25" s="298"/>
      <c r="H25" s="298"/>
      <c r="AB25" s="286" t="s">
        <v>323</v>
      </c>
      <c r="AC25" s="283"/>
      <c r="AE25" s="283"/>
      <c r="AF25" s="296"/>
      <c r="AG25" s="297"/>
    </row>
    <row r="26" spans="1:33" ht="16.5" thickBot="1" x14ac:dyDescent="0.3">
      <c r="C26" s="299"/>
      <c r="D26" s="300"/>
      <c r="I26" s="301"/>
      <c r="AB26" s="286" t="s">
        <v>324</v>
      </c>
      <c r="AC26" s="283"/>
      <c r="AE26" s="283"/>
      <c r="AF26" s="296"/>
      <c r="AG26" s="297"/>
    </row>
    <row r="27" spans="1:33" ht="15.75" customHeight="1" thickTop="1" x14ac:dyDescent="0.3">
      <c r="C27" s="302" t="s">
        <v>190</v>
      </c>
      <c r="D27" s="303">
        <v>2009</v>
      </c>
      <c r="AB27" s="286" t="s">
        <v>201</v>
      </c>
      <c r="AC27" s="283"/>
      <c r="AE27" s="283"/>
      <c r="AF27" s="296"/>
      <c r="AG27" s="297"/>
    </row>
    <row r="28" spans="1:33" ht="15.75" customHeight="1" x14ac:dyDescent="0.25">
      <c r="AB28" s="286" t="s">
        <v>325</v>
      </c>
      <c r="AC28" s="283"/>
      <c r="AE28" s="283"/>
      <c r="AF28" s="296"/>
      <c r="AG28" s="297"/>
    </row>
    <row r="29" spans="1:33" ht="15.75" customHeight="1" x14ac:dyDescent="0.3">
      <c r="C29" s="302"/>
      <c r="AB29" s="286" t="s">
        <v>436</v>
      </c>
      <c r="AC29" s="283"/>
      <c r="AE29" s="283"/>
      <c r="AF29" s="296"/>
      <c r="AG29" s="297"/>
    </row>
    <row r="30" spans="1:33" ht="15.75" customHeight="1" x14ac:dyDescent="0.3">
      <c r="A30" s="304" t="s">
        <v>437</v>
      </c>
      <c r="C30" s="302"/>
      <c r="AB30" s="286"/>
      <c r="AC30" s="283"/>
      <c r="AE30" s="283"/>
      <c r="AF30" s="296"/>
      <c r="AG30" s="297"/>
    </row>
    <row r="31" spans="1:33" ht="15.75" customHeight="1" x14ac:dyDescent="0.3">
      <c r="C31" s="302"/>
      <c r="AB31" s="286"/>
      <c r="AC31" s="283"/>
      <c r="AE31" s="283"/>
      <c r="AF31" s="296"/>
      <c r="AG31" s="297"/>
    </row>
    <row r="32" spans="1:33" ht="15.75" customHeight="1" x14ac:dyDescent="0.25">
      <c r="AB32" s="286" t="s">
        <v>202</v>
      </c>
      <c r="AC32" s="283"/>
      <c r="AE32" s="283"/>
      <c r="AF32" s="296"/>
      <c r="AG32" s="297"/>
    </row>
    <row r="33" spans="3:33" x14ac:dyDescent="0.25">
      <c r="C33" s="305"/>
      <c r="AB33" s="286" t="s">
        <v>326</v>
      </c>
      <c r="AC33" s="283"/>
      <c r="AE33" s="283"/>
      <c r="AF33" s="296"/>
      <c r="AG33" s="297"/>
    </row>
    <row r="34" spans="3:33" x14ac:dyDescent="0.25">
      <c r="F34" s="306"/>
      <c r="G34" s="306"/>
      <c r="H34" s="306"/>
      <c r="I34" s="306"/>
      <c r="J34" s="306"/>
      <c r="K34" s="306"/>
      <c r="AB34" s="286" t="s">
        <v>203</v>
      </c>
      <c r="AC34" s="283"/>
      <c r="AE34" s="283"/>
      <c r="AF34" s="296"/>
      <c r="AG34" s="297"/>
    </row>
    <row r="35" spans="3:33" x14ac:dyDescent="0.25">
      <c r="F35" s="306"/>
      <c r="G35" s="306"/>
      <c r="H35" s="306"/>
      <c r="I35" s="306"/>
      <c r="J35" s="306"/>
      <c r="K35" s="306"/>
      <c r="AB35" s="286" t="s">
        <v>205</v>
      </c>
      <c r="AC35" s="283"/>
      <c r="AE35" s="283"/>
      <c r="AF35" s="296"/>
      <c r="AG35" s="297"/>
    </row>
    <row r="36" spans="3:33" x14ac:dyDescent="0.25">
      <c r="F36" s="306"/>
      <c r="G36" s="306"/>
      <c r="H36" s="306"/>
      <c r="I36" s="306"/>
      <c r="J36" s="306"/>
      <c r="K36" s="306"/>
      <c r="AB36" s="286" t="s">
        <v>204</v>
      </c>
      <c r="AC36" s="283"/>
      <c r="AE36" s="283"/>
      <c r="AF36" s="296"/>
      <c r="AG36" s="297"/>
    </row>
    <row r="37" spans="3:33" ht="16.5" x14ac:dyDescent="0.3">
      <c r="D37" s="307"/>
      <c r="E37" s="283"/>
      <c r="F37" s="308"/>
      <c r="G37" s="308"/>
      <c r="H37" s="308"/>
      <c r="I37" s="308"/>
      <c r="J37" s="308"/>
      <c r="K37" s="308"/>
      <c r="AB37" s="286" t="s">
        <v>438</v>
      </c>
      <c r="AC37" s="283"/>
      <c r="AE37" s="283"/>
      <c r="AF37" s="296"/>
      <c r="AG37" s="297"/>
    </row>
    <row r="38" spans="3:33" ht="15.75" customHeight="1" x14ac:dyDescent="0.3">
      <c r="D38" s="309"/>
      <c r="E38" s="283"/>
      <c r="F38" s="310"/>
      <c r="G38" s="306"/>
      <c r="H38" s="306"/>
      <c r="I38" s="306"/>
      <c r="J38" s="306"/>
      <c r="K38" s="306"/>
      <c r="AB38" s="286" t="s">
        <v>327</v>
      </c>
      <c r="AC38" s="283"/>
      <c r="AE38" s="283"/>
      <c r="AF38" s="296"/>
      <c r="AG38" s="297"/>
    </row>
    <row r="39" spans="3:33" ht="15.75" customHeight="1" x14ac:dyDescent="0.3">
      <c r="D39" s="307"/>
      <c r="E39" s="283"/>
      <c r="F39" s="308"/>
      <c r="G39" s="308"/>
      <c r="H39" s="308"/>
      <c r="I39" s="308"/>
      <c r="J39" s="308"/>
      <c r="K39" s="308"/>
      <c r="AB39" s="286" t="s">
        <v>439</v>
      </c>
      <c r="AC39" s="283"/>
      <c r="AE39" s="283"/>
      <c r="AF39" s="296"/>
      <c r="AG39" s="297"/>
    </row>
    <row r="40" spans="3:33" ht="15.75" customHeight="1" x14ac:dyDescent="0.3">
      <c r="D40" s="309"/>
      <c r="E40" s="283"/>
      <c r="F40" s="310"/>
      <c r="G40" s="306"/>
      <c r="H40" s="306"/>
      <c r="I40" s="306"/>
      <c r="J40" s="306"/>
      <c r="K40" s="306"/>
      <c r="AB40" s="286" t="s">
        <v>328</v>
      </c>
      <c r="AC40" s="283"/>
      <c r="AE40" s="283"/>
      <c r="AF40" s="296"/>
      <c r="AG40" s="297"/>
    </row>
    <row r="41" spans="3:33" ht="15.75" customHeight="1" x14ac:dyDescent="0.3">
      <c r="D41" s="307"/>
      <c r="E41" s="311"/>
      <c r="F41" s="308"/>
      <c r="G41" s="308"/>
      <c r="H41" s="308"/>
      <c r="I41" s="308"/>
      <c r="J41" s="308"/>
      <c r="K41" s="308"/>
      <c r="AB41" s="286" t="s">
        <v>206</v>
      </c>
      <c r="AC41" s="283"/>
      <c r="AE41" s="283"/>
      <c r="AF41" s="296"/>
      <c r="AG41" s="297"/>
    </row>
    <row r="42" spans="3:33" ht="16.5" x14ac:dyDescent="0.3">
      <c r="D42" s="309"/>
      <c r="E42" s="283"/>
      <c r="F42" s="312"/>
      <c r="G42" s="306"/>
      <c r="H42" s="306"/>
      <c r="I42" s="306"/>
      <c r="J42" s="306"/>
      <c r="K42" s="306"/>
      <c r="AB42" s="286" t="s">
        <v>207</v>
      </c>
      <c r="AC42" s="283"/>
      <c r="AE42" s="283"/>
      <c r="AF42" s="296"/>
      <c r="AG42" s="297"/>
    </row>
    <row r="43" spans="3:33" ht="16.5" x14ac:dyDescent="0.3">
      <c r="D43" s="313"/>
      <c r="E43" s="314"/>
      <c r="F43" s="308"/>
      <c r="G43" s="308"/>
      <c r="H43" s="308"/>
      <c r="I43" s="308"/>
      <c r="J43" s="308"/>
      <c r="K43" s="308"/>
      <c r="AB43" s="286" t="s">
        <v>208</v>
      </c>
      <c r="AC43" s="283"/>
      <c r="AE43" s="283"/>
      <c r="AF43" s="296"/>
      <c r="AG43" s="297"/>
    </row>
    <row r="44" spans="3:33" ht="12.75" x14ac:dyDescent="0.2">
      <c r="E44" s="283"/>
      <c r="F44" s="306"/>
      <c r="G44" s="306"/>
      <c r="H44" s="306"/>
      <c r="I44" s="306"/>
      <c r="J44" s="306"/>
      <c r="K44" s="306"/>
      <c r="AB44" s="286" t="s">
        <v>329</v>
      </c>
      <c r="AC44" s="283"/>
      <c r="AE44" s="283"/>
      <c r="AF44" s="296"/>
      <c r="AG44" s="297"/>
    </row>
    <row r="45" spans="3:33" ht="16.5" x14ac:dyDescent="0.3">
      <c r="D45" s="313"/>
      <c r="E45" s="313"/>
      <c r="F45" s="315"/>
      <c r="G45" s="315"/>
      <c r="H45" s="316"/>
      <c r="I45" s="316"/>
      <c r="J45" s="316"/>
      <c r="K45" s="316"/>
      <c r="AB45" s="286" t="s">
        <v>209</v>
      </c>
      <c r="AC45" s="283"/>
      <c r="AE45" s="283"/>
      <c r="AF45" s="296"/>
      <c r="AG45" s="297"/>
    </row>
    <row r="46" spans="3:33" ht="12.75" x14ac:dyDescent="0.2">
      <c r="E46" s="283"/>
      <c r="F46" s="306"/>
      <c r="G46" s="306"/>
      <c r="H46" s="306"/>
      <c r="I46" s="306"/>
      <c r="J46" s="306"/>
      <c r="K46" s="306"/>
      <c r="AB46" s="286" t="s">
        <v>210</v>
      </c>
      <c r="AC46" s="283"/>
      <c r="AE46" s="283"/>
      <c r="AF46" s="296"/>
      <c r="AG46" s="297"/>
    </row>
    <row r="47" spans="3:33" ht="15" customHeight="1" x14ac:dyDescent="0.2">
      <c r="D47" s="317"/>
      <c r="E47" s="317"/>
      <c r="F47" s="318"/>
      <c r="G47" s="318"/>
      <c r="H47" s="318"/>
      <c r="I47" s="319"/>
      <c r="J47" s="319"/>
      <c r="K47" s="319"/>
      <c r="AB47" s="286" t="s">
        <v>211</v>
      </c>
      <c r="AC47" s="283"/>
      <c r="AE47" s="283"/>
      <c r="AF47" s="296"/>
      <c r="AG47" s="297"/>
    </row>
    <row r="48" spans="3:33" ht="15" customHeight="1" x14ac:dyDescent="0.2">
      <c r="C48" s="317"/>
      <c r="D48" s="317"/>
      <c r="E48" s="317"/>
      <c r="F48" s="318"/>
      <c r="G48" s="318"/>
      <c r="H48" s="318"/>
      <c r="I48" s="319"/>
      <c r="J48" s="319"/>
      <c r="K48" s="319"/>
      <c r="AB48" s="286" t="s">
        <v>440</v>
      </c>
      <c r="AC48" s="283"/>
      <c r="AE48" s="283"/>
      <c r="AF48" s="296"/>
      <c r="AG48" s="297"/>
    </row>
    <row r="49" spans="6:33" x14ac:dyDescent="0.25">
      <c r="F49" s="306"/>
      <c r="G49" s="306"/>
      <c r="H49" s="306"/>
      <c r="I49" s="306"/>
      <c r="J49" s="306"/>
      <c r="K49" s="306"/>
      <c r="AB49" s="286" t="s">
        <v>441</v>
      </c>
      <c r="AC49" s="283"/>
      <c r="AE49" s="283"/>
      <c r="AF49" s="296"/>
      <c r="AG49" s="297"/>
    </row>
    <row r="50" spans="6:33" x14ac:dyDescent="0.25">
      <c r="F50" s="306"/>
      <c r="G50" s="306"/>
      <c r="H50" s="306"/>
      <c r="I50" s="306"/>
      <c r="J50" s="306"/>
      <c r="K50" s="306"/>
      <c r="AB50" s="286" t="s">
        <v>212</v>
      </c>
      <c r="AC50" s="283"/>
      <c r="AE50" s="283"/>
      <c r="AF50" s="296"/>
      <c r="AG50" s="297"/>
    </row>
    <row r="51" spans="6:33" x14ac:dyDescent="0.25">
      <c r="AB51" s="286" t="s">
        <v>213</v>
      </c>
      <c r="AC51" s="283"/>
      <c r="AE51" s="283"/>
      <c r="AF51" s="296"/>
      <c r="AG51" s="297"/>
    </row>
    <row r="52" spans="6:33" x14ac:dyDescent="0.25">
      <c r="AB52" s="286" t="s">
        <v>442</v>
      </c>
      <c r="AC52" s="283"/>
      <c r="AE52" s="283"/>
      <c r="AF52" s="296"/>
      <c r="AG52" s="297"/>
    </row>
    <row r="53" spans="6:33" x14ac:dyDescent="0.25">
      <c r="AB53" s="286" t="s">
        <v>214</v>
      </c>
      <c r="AC53" s="283"/>
      <c r="AE53" s="283"/>
      <c r="AF53" s="296"/>
      <c r="AG53" s="297"/>
    </row>
    <row r="54" spans="6:33" x14ac:dyDescent="0.25">
      <c r="AB54" s="286" t="s">
        <v>215</v>
      </c>
      <c r="AC54" s="283"/>
      <c r="AE54" s="283"/>
      <c r="AF54" s="296"/>
      <c r="AG54" s="297"/>
    </row>
    <row r="55" spans="6:33" x14ac:dyDescent="0.25">
      <c r="AB55" s="286" t="s">
        <v>443</v>
      </c>
      <c r="AC55" s="283"/>
      <c r="AE55" s="283"/>
      <c r="AF55" s="296"/>
      <c r="AG55" s="297"/>
    </row>
    <row r="56" spans="6:33" x14ac:dyDescent="0.25">
      <c r="AB56" s="286" t="s">
        <v>216</v>
      </c>
      <c r="AC56" s="283"/>
      <c r="AE56" s="283"/>
      <c r="AF56" s="296"/>
      <c r="AG56" s="297"/>
    </row>
    <row r="57" spans="6:33" x14ac:dyDescent="0.25">
      <c r="AB57" s="286" t="s">
        <v>444</v>
      </c>
      <c r="AC57" s="283"/>
      <c r="AE57" s="283"/>
      <c r="AF57" s="296"/>
      <c r="AG57" s="297"/>
    </row>
    <row r="58" spans="6:33" x14ac:dyDescent="0.25">
      <c r="AB58" s="286" t="s">
        <v>330</v>
      </c>
      <c r="AC58" s="283"/>
      <c r="AE58" s="283"/>
      <c r="AF58" s="296"/>
      <c r="AG58" s="297"/>
    </row>
    <row r="59" spans="6:33" x14ac:dyDescent="0.25">
      <c r="AB59" s="286" t="s">
        <v>217</v>
      </c>
      <c r="AC59" s="283"/>
      <c r="AE59" s="283"/>
      <c r="AF59" s="296"/>
      <c r="AG59" s="297"/>
    </row>
    <row r="60" spans="6:33" x14ac:dyDescent="0.25">
      <c r="AB60" s="286" t="s">
        <v>218</v>
      </c>
      <c r="AC60" s="283"/>
      <c r="AE60" s="283"/>
      <c r="AF60" s="296"/>
      <c r="AG60" s="297"/>
    </row>
    <row r="61" spans="6:33" x14ac:dyDescent="0.25">
      <c r="AB61" s="286" t="s">
        <v>445</v>
      </c>
      <c r="AC61" s="283"/>
      <c r="AE61" s="283"/>
      <c r="AF61" s="296"/>
      <c r="AG61" s="297"/>
    </row>
    <row r="62" spans="6:33" x14ac:dyDescent="0.25">
      <c r="AB62" s="286" t="s">
        <v>446</v>
      </c>
      <c r="AC62" s="283"/>
      <c r="AE62" s="283"/>
      <c r="AF62" s="296"/>
      <c r="AG62" s="297"/>
    </row>
    <row r="63" spans="6:33" x14ac:dyDescent="0.25">
      <c r="AB63" s="286" t="s">
        <v>219</v>
      </c>
      <c r="AC63" s="283"/>
      <c r="AE63" s="283"/>
      <c r="AF63" s="296"/>
      <c r="AG63" s="297"/>
    </row>
    <row r="64" spans="6:33" x14ac:dyDescent="0.25">
      <c r="AB64" s="286" t="s">
        <v>220</v>
      </c>
      <c r="AC64" s="283"/>
      <c r="AE64" s="283"/>
      <c r="AF64" s="296"/>
      <c r="AG64" s="297"/>
    </row>
    <row r="65" spans="28:33" x14ac:dyDescent="0.25">
      <c r="AB65" s="286" t="s">
        <v>331</v>
      </c>
      <c r="AC65" s="283"/>
      <c r="AE65" s="283"/>
      <c r="AF65" s="296"/>
      <c r="AG65" s="297"/>
    </row>
    <row r="66" spans="28:33" x14ac:dyDescent="0.25">
      <c r="AB66" s="286" t="s">
        <v>222</v>
      </c>
      <c r="AC66" s="283"/>
      <c r="AE66" s="283"/>
      <c r="AF66" s="296"/>
      <c r="AG66" s="297"/>
    </row>
    <row r="67" spans="28:33" x14ac:dyDescent="0.25">
      <c r="AB67" s="286" t="s">
        <v>221</v>
      </c>
      <c r="AC67" s="283"/>
      <c r="AE67" s="283"/>
      <c r="AF67" s="296"/>
      <c r="AG67" s="297"/>
    </row>
    <row r="68" spans="28:33" x14ac:dyDescent="0.25">
      <c r="AB68" s="286" t="s">
        <v>447</v>
      </c>
      <c r="AC68" s="283"/>
      <c r="AE68" s="283"/>
      <c r="AF68" s="296"/>
      <c r="AG68" s="297"/>
    </row>
    <row r="69" spans="28:33" x14ac:dyDescent="0.25">
      <c r="AB69" s="286" t="s">
        <v>223</v>
      </c>
      <c r="AC69" s="283"/>
      <c r="AE69" s="283"/>
      <c r="AF69" s="296"/>
      <c r="AG69" s="297"/>
    </row>
    <row r="70" spans="28:33" x14ac:dyDescent="0.25">
      <c r="AB70" s="286" t="s">
        <v>231</v>
      </c>
      <c r="AC70" s="283"/>
      <c r="AE70" s="283"/>
      <c r="AF70" s="296"/>
      <c r="AG70" s="297"/>
    </row>
    <row r="71" spans="28:33" x14ac:dyDescent="0.25">
      <c r="AB71" s="286" t="s">
        <v>229</v>
      </c>
      <c r="AC71" s="283"/>
      <c r="AE71" s="283"/>
      <c r="AF71" s="296"/>
      <c r="AG71" s="297"/>
    </row>
    <row r="72" spans="28:33" x14ac:dyDescent="0.25">
      <c r="AB72" s="286" t="s">
        <v>232</v>
      </c>
      <c r="AC72" s="283"/>
      <c r="AE72" s="283"/>
      <c r="AF72" s="296"/>
      <c r="AG72" s="297"/>
    </row>
    <row r="73" spans="28:33" x14ac:dyDescent="0.25">
      <c r="AB73" s="286" t="s">
        <v>224</v>
      </c>
      <c r="AC73" s="283"/>
      <c r="AE73" s="283"/>
      <c r="AF73" s="296"/>
      <c r="AG73" s="297"/>
    </row>
    <row r="74" spans="28:33" x14ac:dyDescent="0.25">
      <c r="AB74" s="286" t="s">
        <v>448</v>
      </c>
      <c r="AC74" s="283"/>
      <c r="AE74" s="283"/>
      <c r="AF74" s="296"/>
      <c r="AG74" s="297"/>
    </row>
    <row r="75" spans="28:33" x14ac:dyDescent="0.25">
      <c r="AB75" s="286" t="s">
        <v>332</v>
      </c>
      <c r="AC75" s="283"/>
      <c r="AE75" s="283"/>
      <c r="AF75" s="296"/>
      <c r="AG75" s="297"/>
    </row>
    <row r="76" spans="28:33" x14ac:dyDescent="0.25">
      <c r="AB76" s="286" t="s">
        <v>225</v>
      </c>
      <c r="AC76" s="283"/>
      <c r="AE76" s="283"/>
      <c r="AF76" s="296"/>
      <c r="AG76" s="297"/>
    </row>
    <row r="77" spans="28:33" x14ac:dyDescent="0.25">
      <c r="AB77" s="286" t="s">
        <v>226</v>
      </c>
      <c r="AC77" s="283"/>
      <c r="AE77" s="283"/>
      <c r="AF77" s="296"/>
      <c r="AG77" s="297"/>
    </row>
    <row r="78" spans="28:33" x14ac:dyDescent="0.25">
      <c r="AB78" s="286" t="s">
        <v>227</v>
      </c>
      <c r="AC78" s="283"/>
      <c r="AE78" s="283"/>
      <c r="AF78" s="296"/>
      <c r="AG78" s="297"/>
    </row>
    <row r="79" spans="28:33" x14ac:dyDescent="0.25">
      <c r="AB79" s="286" t="s">
        <v>228</v>
      </c>
      <c r="AC79" s="283"/>
      <c r="AE79" s="283"/>
      <c r="AF79" s="296"/>
      <c r="AG79" s="297"/>
    </row>
    <row r="80" spans="28:33" x14ac:dyDescent="0.25">
      <c r="AC80" s="283"/>
      <c r="AE80" s="283"/>
      <c r="AF80" s="296"/>
      <c r="AG80" s="297"/>
    </row>
    <row r="81" spans="29:33" x14ac:dyDescent="0.25">
      <c r="AC81" s="283"/>
      <c r="AE81" s="283"/>
      <c r="AF81" s="296"/>
      <c r="AG81" s="297"/>
    </row>
    <row r="82" spans="29:33" x14ac:dyDescent="0.25">
      <c r="AC82" s="283"/>
      <c r="AE82" s="283"/>
      <c r="AF82" s="296"/>
      <c r="AG82" s="297"/>
    </row>
    <row r="83" spans="29:33" x14ac:dyDescent="0.25">
      <c r="AC83" s="283"/>
      <c r="AE83" s="283"/>
      <c r="AF83" s="296"/>
      <c r="AG83" s="297"/>
    </row>
    <row r="84" spans="29:33" x14ac:dyDescent="0.25">
      <c r="AC84" s="283"/>
      <c r="AE84" s="283"/>
      <c r="AF84" s="296"/>
      <c r="AG84" s="297"/>
    </row>
    <row r="85" spans="29:33" x14ac:dyDescent="0.25">
      <c r="AC85" s="283"/>
      <c r="AE85" s="283"/>
      <c r="AF85" s="296"/>
      <c r="AG85" s="297"/>
    </row>
    <row r="86" spans="29:33" x14ac:dyDescent="0.25">
      <c r="AC86" s="283"/>
      <c r="AE86" s="283"/>
      <c r="AF86" s="296"/>
      <c r="AG86" s="297"/>
    </row>
    <row r="87" spans="29:33" x14ac:dyDescent="0.25">
      <c r="AC87" s="283"/>
      <c r="AE87" s="283"/>
      <c r="AF87" s="296"/>
      <c r="AG87" s="297"/>
    </row>
    <row r="88" spans="29:33" x14ac:dyDescent="0.25">
      <c r="AC88" s="283"/>
      <c r="AE88" s="283"/>
      <c r="AF88" s="297"/>
      <c r="AG88" s="297"/>
    </row>
    <row r="89" spans="29:33" x14ac:dyDescent="0.25">
      <c r="AC89" s="283"/>
      <c r="AE89" s="283"/>
      <c r="AF89" s="297"/>
      <c r="AG89" s="297"/>
    </row>
    <row r="90" spans="29:33" x14ac:dyDescent="0.25">
      <c r="AC90" s="283"/>
      <c r="AE90" s="283"/>
      <c r="AF90" s="297"/>
      <c r="AG90" s="297"/>
    </row>
    <row r="91" spans="29:33" x14ac:dyDescent="0.25">
      <c r="AC91" s="320"/>
      <c r="AF91" s="297"/>
      <c r="AG91" s="297"/>
    </row>
    <row r="92" spans="29:33" x14ac:dyDescent="0.25">
      <c r="AC92" s="320"/>
      <c r="AF92" s="297"/>
      <c r="AG92" s="297"/>
    </row>
    <row r="93" spans="29:33" x14ac:dyDescent="0.25">
      <c r="AC93" s="320"/>
      <c r="AF93" s="297"/>
      <c r="AG93" s="297"/>
    </row>
    <row r="94" spans="29:33" x14ac:dyDescent="0.25">
      <c r="AC94" s="320"/>
      <c r="AF94" s="297"/>
      <c r="AG94" s="297"/>
    </row>
    <row r="95" spans="29:33" x14ac:dyDescent="0.25">
      <c r="AC95" s="320"/>
      <c r="AF95" s="297"/>
      <c r="AG95" s="297"/>
    </row>
    <row r="96" spans="29:33" x14ac:dyDescent="0.25">
      <c r="AC96" s="320"/>
      <c r="AF96" s="297"/>
      <c r="AG96" s="297"/>
    </row>
    <row r="97" spans="29:33" x14ac:dyDescent="0.25">
      <c r="AC97" s="320"/>
      <c r="AF97" s="297"/>
      <c r="AG97" s="297"/>
    </row>
    <row r="98" spans="29:33" x14ac:dyDescent="0.25">
      <c r="AC98" s="320"/>
      <c r="AF98" s="297"/>
      <c r="AG98" s="297"/>
    </row>
    <row r="99" spans="29:33" x14ac:dyDescent="0.25">
      <c r="AC99" s="320"/>
      <c r="AF99" s="297"/>
      <c r="AG99" s="297"/>
    </row>
    <row r="100" spans="29:33" x14ac:dyDescent="0.25">
      <c r="AC100" s="320"/>
      <c r="AF100" s="297"/>
      <c r="AG100" s="297"/>
    </row>
    <row r="101" spans="29:33" x14ac:dyDescent="0.25">
      <c r="AC101" s="320"/>
      <c r="AF101" s="297"/>
      <c r="AG101" s="297"/>
    </row>
    <row r="102" spans="29:33" x14ac:dyDescent="0.25">
      <c r="AC102" s="320"/>
      <c r="AF102" s="297"/>
      <c r="AG102" s="297"/>
    </row>
    <row r="103" spans="29:33" x14ac:dyDescent="0.25">
      <c r="AC103" s="320"/>
      <c r="AF103" s="297"/>
      <c r="AG103" s="297"/>
    </row>
    <row r="104" spans="29:33" x14ac:dyDescent="0.25">
      <c r="AC104" s="320"/>
      <c r="AF104" s="297"/>
      <c r="AG104" s="297"/>
    </row>
    <row r="105" spans="29:33" x14ac:dyDescent="0.25">
      <c r="AC105" s="320"/>
      <c r="AF105" s="297"/>
      <c r="AG105" s="297"/>
    </row>
    <row r="106" spans="29:33" x14ac:dyDescent="0.25">
      <c r="AC106" s="320"/>
      <c r="AF106" s="297"/>
      <c r="AG106" s="297"/>
    </row>
    <row r="107" spans="29:33" x14ac:dyDescent="0.25">
      <c r="AC107" s="320"/>
      <c r="AF107" s="297"/>
      <c r="AG107" s="297"/>
    </row>
    <row r="108" spans="29:33" hidden="1" x14ac:dyDescent="0.25">
      <c r="AC108" s="320"/>
      <c r="AF108" s="297"/>
      <c r="AG108" s="297"/>
    </row>
    <row r="109" spans="29:33" hidden="1" x14ac:dyDescent="0.25">
      <c r="AC109" s="320"/>
      <c r="AF109" s="297"/>
      <c r="AG109" s="297"/>
    </row>
    <row r="110" spans="29:33" x14ac:dyDescent="0.25"/>
  </sheetData>
  <sheetProtection password="C2FC" sheet="1" objects="1" scenarios="1"/>
  <mergeCells count="6">
    <mergeCell ref="D19:E19"/>
    <mergeCell ref="C2:J2"/>
    <mergeCell ref="C3:J3"/>
    <mergeCell ref="C4:J4"/>
    <mergeCell ref="C5:J5"/>
    <mergeCell ref="D15:E15"/>
  </mergeCells>
  <dataValidations count="4">
    <dataValidation type="list" allowBlank="1" showInputMessage="1" showErrorMessage="1" sqref="I47:K48">
      <formula1>"Excel 2000, Excel 2003, Excel 2007, Excel 2010"</formula1>
    </dataValidation>
    <dataValidation allowBlank="1" showInputMessage="1" showErrorMessage="1" promptTitle="Inputting Date" prompt="Please Use the following format:_x000a__x000a_E.g:  May 1, 2012" sqref="H45:K45"/>
    <dataValidation type="list" allowBlank="1" showInputMessage="1" showErrorMessage="1" sqref="D27">
      <formula1>"2008,2009,2010,2011,2012"</formula1>
    </dataValidation>
    <dataValidation type="list" allowBlank="1" showInputMessage="1" showErrorMessage="1" sqref="D15:E15">
      <formula1>$AB$1:$AB$79</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3:W200"/>
  <sheetViews>
    <sheetView showGridLines="0" tabSelected="1" topLeftCell="E18" zoomScaleNormal="100" workbookViewId="0">
      <selection activeCell="S41" sqref="S41"/>
    </sheetView>
  </sheetViews>
  <sheetFormatPr defaultColWidth="9.140625" defaultRowHeight="12.75" x14ac:dyDescent="0.2"/>
  <cols>
    <col min="1" max="1" width="1.7109375" style="31" customWidth="1"/>
    <col min="2" max="2" width="3.7109375" style="31" customWidth="1"/>
    <col min="3" max="3" width="26.42578125" style="31" customWidth="1"/>
    <col min="4" max="4" width="56.7109375" style="31" customWidth="1"/>
    <col min="5" max="5" width="18.7109375" style="31" customWidth="1"/>
    <col min="6" max="6" width="2.5703125" style="31" customWidth="1"/>
    <col min="7" max="7" width="15.7109375" style="31" customWidth="1"/>
    <col min="8" max="8" width="2.85546875" style="31" customWidth="1"/>
    <col min="9" max="9" width="15.7109375" style="31" customWidth="1"/>
    <col min="10" max="10" width="2.85546875" style="31" customWidth="1"/>
    <col min="11" max="11" width="15.7109375" style="31" customWidth="1"/>
    <col min="12" max="12" width="2.7109375" style="31" customWidth="1"/>
    <col min="13" max="13" width="15.7109375" style="31" customWidth="1"/>
    <col min="14" max="14" width="2.85546875" style="31" customWidth="1"/>
    <col min="15" max="15" width="15.7109375" style="31" customWidth="1"/>
    <col min="16" max="16" width="2.85546875" style="31" customWidth="1"/>
    <col min="17" max="17" width="15.7109375" style="31" customWidth="1"/>
    <col min="18" max="18" width="2.85546875" style="31" customWidth="1"/>
    <col min="19" max="19" width="15.7109375" style="31" customWidth="1"/>
    <col min="20" max="20" width="2.7109375" style="31" customWidth="1"/>
    <col min="21" max="21" width="15.7109375" style="31" customWidth="1"/>
    <col min="22" max="22" width="2.7109375" style="31" customWidth="1"/>
    <col min="23" max="23" width="15.5703125" style="31" customWidth="1"/>
    <col min="24" max="24" width="1.85546875" style="31" customWidth="1"/>
    <col min="25" max="16384" width="9.140625" style="31"/>
  </cols>
  <sheetData>
    <row r="13" spans="2:23" ht="79.5" customHeight="1" x14ac:dyDescent="0.25">
      <c r="B13" s="369" t="s">
        <v>450</v>
      </c>
      <c r="C13" s="369"/>
      <c r="D13" s="369"/>
      <c r="E13" s="369"/>
      <c r="F13" s="369"/>
      <c r="G13" s="369"/>
      <c r="H13" s="369"/>
      <c r="I13" s="369"/>
      <c r="J13" s="369"/>
      <c r="K13" s="30"/>
      <c r="L13" s="30"/>
      <c r="M13" s="30"/>
      <c r="N13" s="30"/>
      <c r="O13" s="30"/>
      <c r="P13" s="30"/>
      <c r="Q13" s="30"/>
      <c r="R13" s="30"/>
      <c r="S13" s="30"/>
      <c r="T13" s="30"/>
      <c r="U13" s="30"/>
      <c r="V13" s="30"/>
      <c r="W13" s="30"/>
    </row>
    <row r="16" spans="2:23" ht="18" x14ac:dyDescent="0.25">
      <c r="B16" s="32"/>
      <c r="C16" s="32"/>
      <c r="D16" s="32"/>
      <c r="E16" s="32"/>
      <c r="F16" s="32"/>
      <c r="G16" s="32"/>
      <c r="H16" s="32"/>
      <c r="I16" s="32"/>
      <c r="J16" s="32"/>
      <c r="K16" s="32"/>
      <c r="L16" s="32"/>
      <c r="M16" s="32"/>
      <c r="N16" s="32"/>
      <c r="O16" s="32"/>
      <c r="P16" s="32"/>
      <c r="Q16" s="32"/>
      <c r="R16" s="32"/>
      <c r="S16" s="32"/>
      <c r="T16" s="32"/>
      <c r="U16" s="32"/>
      <c r="V16" s="32"/>
      <c r="W16" s="32"/>
    </row>
    <row r="17" spans="2:23" ht="18" x14ac:dyDescent="0.25">
      <c r="C17" s="33"/>
      <c r="D17" s="33"/>
      <c r="F17" s="33"/>
      <c r="G17" s="33"/>
      <c r="H17" s="33"/>
      <c r="I17" s="33"/>
      <c r="J17" s="33"/>
      <c r="K17" s="33"/>
      <c r="L17" s="33"/>
      <c r="M17" s="33"/>
      <c r="N17" s="33"/>
    </row>
    <row r="18" spans="2:23" ht="18.75" thickBot="1" x14ac:dyDescent="0.3">
      <c r="B18" s="34"/>
      <c r="C18" s="33"/>
      <c r="D18" s="35"/>
      <c r="E18" s="10"/>
      <c r="F18" s="33"/>
      <c r="G18" s="36">
        <v>2006</v>
      </c>
      <c r="H18" s="36"/>
      <c r="I18" s="37">
        <v>2007</v>
      </c>
      <c r="J18" s="37"/>
      <c r="K18" s="37">
        <v>2008</v>
      </c>
      <c r="L18" s="37"/>
      <c r="M18" s="37">
        <v>2009</v>
      </c>
      <c r="N18" s="37"/>
      <c r="O18" s="37">
        <v>2010</v>
      </c>
      <c r="P18" s="37"/>
      <c r="Q18" s="37">
        <v>2011</v>
      </c>
      <c r="R18" s="37"/>
      <c r="S18" s="38">
        <v>2012</v>
      </c>
      <c r="T18" s="37"/>
      <c r="U18" s="38">
        <v>2013</v>
      </c>
      <c r="V18" s="37"/>
      <c r="W18" s="37" t="s">
        <v>7</v>
      </c>
    </row>
    <row r="19" spans="2:23" ht="18" x14ac:dyDescent="0.25">
      <c r="B19" s="34" t="s">
        <v>233</v>
      </c>
      <c r="C19" s="33"/>
      <c r="D19" s="33"/>
      <c r="F19" s="33"/>
      <c r="G19" s="325" t="s">
        <v>8</v>
      </c>
      <c r="I19" s="325" t="s">
        <v>8</v>
      </c>
      <c r="K19" s="325" t="s">
        <v>8</v>
      </c>
      <c r="M19" s="325" t="s">
        <v>8</v>
      </c>
      <c r="O19" s="325" t="s">
        <v>8</v>
      </c>
      <c r="Q19" s="325" t="s">
        <v>8</v>
      </c>
      <c r="S19" s="325" t="s">
        <v>334</v>
      </c>
      <c r="U19" s="325" t="s">
        <v>334</v>
      </c>
    </row>
    <row r="21" spans="2:23" ht="15.75" x14ac:dyDescent="0.25">
      <c r="B21" s="34"/>
      <c r="C21" s="34" t="s">
        <v>0</v>
      </c>
    </row>
    <row r="23" spans="2:23" x14ac:dyDescent="0.2">
      <c r="C23" s="39" t="s">
        <v>1</v>
      </c>
    </row>
    <row r="24" spans="2:23" ht="13.5" thickBot="1" x14ac:dyDescent="0.25">
      <c r="G24" s="40"/>
      <c r="H24" s="10"/>
      <c r="I24" s="40"/>
      <c r="J24" s="10"/>
      <c r="K24" s="40"/>
      <c r="L24" s="10"/>
      <c r="M24" s="40"/>
      <c r="N24" s="10"/>
      <c r="O24" s="40"/>
      <c r="P24" s="10"/>
      <c r="Q24" s="40"/>
      <c r="R24" s="10"/>
      <c r="S24" s="40"/>
      <c r="U24" s="40"/>
    </row>
    <row r="25" spans="2:23" x14ac:dyDescent="0.2">
      <c r="C25" s="28" t="s">
        <v>2</v>
      </c>
      <c r="D25" s="29"/>
      <c r="E25" s="29"/>
      <c r="F25" s="29"/>
      <c r="G25" s="323"/>
      <c r="H25" s="41"/>
      <c r="I25" s="323"/>
      <c r="J25" s="42"/>
      <c r="K25" s="323"/>
      <c r="L25" s="42"/>
      <c r="M25" s="323">
        <v>1544</v>
      </c>
      <c r="N25" s="42"/>
      <c r="O25" s="323">
        <v>1690</v>
      </c>
      <c r="P25" s="42"/>
      <c r="Q25" s="323">
        <v>92</v>
      </c>
      <c r="R25" s="42"/>
      <c r="S25" s="323"/>
      <c r="T25" s="43"/>
      <c r="U25" s="323"/>
      <c r="V25" s="43"/>
      <c r="W25" s="44">
        <f>SUM(G25,I25,K25,M25,O25,Q25,S25,U25)</f>
        <v>3326</v>
      </c>
    </row>
    <row r="26" spans="2:23" ht="13.5" thickBot="1" x14ac:dyDescent="0.25">
      <c r="C26" s="28"/>
      <c r="G26" s="41"/>
      <c r="H26" s="42"/>
      <c r="I26" s="42"/>
      <c r="J26" s="42"/>
      <c r="K26" s="42"/>
      <c r="L26" s="42"/>
      <c r="M26" s="42"/>
      <c r="N26" s="42"/>
      <c r="O26" s="42"/>
      <c r="P26" s="42"/>
      <c r="Q26" s="42"/>
      <c r="R26" s="42"/>
      <c r="S26" s="42"/>
      <c r="T26" s="43"/>
      <c r="U26" s="42"/>
      <c r="V26" s="43"/>
      <c r="W26" s="43"/>
    </row>
    <row r="27" spans="2:23" x14ac:dyDescent="0.2">
      <c r="C27" s="28" t="s">
        <v>3</v>
      </c>
      <c r="G27" s="323"/>
      <c r="H27" s="41"/>
      <c r="I27" s="323"/>
      <c r="J27" s="42"/>
      <c r="K27" s="323"/>
      <c r="L27" s="42"/>
      <c r="M27" s="323">
        <v>191</v>
      </c>
      <c r="N27" s="42"/>
      <c r="O27" s="323">
        <v>291</v>
      </c>
      <c r="P27" s="42"/>
      <c r="Q27" s="323">
        <v>13</v>
      </c>
      <c r="R27" s="42"/>
      <c r="S27" s="323"/>
      <c r="T27" s="43"/>
      <c r="U27" s="323"/>
      <c r="V27" s="43"/>
      <c r="W27" s="44">
        <f>SUM(G27,I27,K27,M27,O27,Q27,S27,U27)</f>
        <v>495</v>
      </c>
    </row>
    <row r="28" spans="2:23" ht="13.5" thickBot="1" x14ac:dyDescent="0.25">
      <c r="G28" s="43"/>
      <c r="H28" s="43"/>
      <c r="I28" s="45"/>
      <c r="J28" s="43"/>
      <c r="K28" s="43"/>
      <c r="L28" s="43"/>
      <c r="M28" s="45"/>
      <c r="N28" s="43"/>
      <c r="O28" s="46"/>
      <c r="P28" s="43"/>
      <c r="Q28" s="46"/>
      <c r="R28" s="43"/>
      <c r="S28" s="46"/>
      <c r="T28" s="43"/>
      <c r="U28" s="46"/>
      <c r="V28" s="43"/>
      <c r="W28" s="47"/>
    </row>
    <row r="29" spans="2:23" ht="13.5" thickBot="1" x14ac:dyDescent="0.25">
      <c r="C29" s="48" t="s">
        <v>4</v>
      </c>
      <c r="G29" s="49">
        <f>G25+G27</f>
        <v>0</v>
      </c>
      <c r="H29" s="43"/>
      <c r="I29" s="50">
        <f>I25+I27</f>
        <v>0</v>
      </c>
      <c r="J29" s="43"/>
      <c r="K29" s="50">
        <f>K25+K27</f>
        <v>0</v>
      </c>
      <c r="L29" s="43"/>
      <c r="M29" s="51">
        <f>M25+M27</f>
        <v>1735</v>
      </c>
      <c r="N29" s="43"/>
      <c r="O29" s="51">
        <f>O25+O27</f>
        <v>1981</v>
      </c>
      <c r="P29" s="43"/>
      <c r="Q29" s="47">
        <f>Q25+Q27</f>
        <v>105</v>
      </c>
      <c r="R29" s="43"/>
      <c r="S29" s="43">
        <f>S25+S27</f>
        <v>0</v>
      </c>
      <c r="T29" s="43"/>
      <c r="U29" s="43">
        <f>U25+U27</f>
        <v>0</v>
      </c>
      <c r="V29" s="43"/>
      <c r="W29" s="51">
        <f>SUM(G29,I29,K29,M29,O29,Q29,S29,U29)</f>
        <v>3821</v>
      </c>
    </row>
    <row r="30" spans="2:23" ht="13.5" thickTop="1" x14ac:dyDescent="0.2">
      <c r="G30" s="52"/>
      <c r="I30" s="52"/>
      <c r="K30" s="52"/>
      <c r="M30" s="29"/>
      <c r="O30" s="29"/>
      <c r="Q30" s="52"/>
      <c r="S30" s="52"/>
      <c r="U30" s="52"/>
    </row>
    <row r="31" spans="2:23" x14ac:dyDescent="0.2">
      <c r="C31" s="48" t="s">
        <v>10</v>
      </c>
      <c r="E31" s="10"/>
      <c r="G31" s="53">
        <f>IF($W29=0,0,G29/$W29)</f>
        <v>0</v>
      </c>
      <c r="I31" s="53">
        <f>IF(G31=100%, 0, IF(ISERROR(SUM(G29:I29)/$W29),0,SUM(G29:I29)/$W29))</f>
        <v>0</v>
      </c>
      <c r="K31" s="53">
        <f>IF(I31=100%, 0, IF(ISERROR(SUM(G29:K29)/$W29), 0, SUM(G29:K29)/$W29))</f>
        <v>0</v>
      </c>
      <c r="M31" s="53">
        <f>IF(K31=100%,0,IF(ISERROR(SUM(G29:M29)/$W29),0,SUM(G29:M29)/$W29))</f>
        <v>0.45406961528395706</v>
      </c>
      <c r="O31" s="53">
        <f>IF(M31=100%,0,IF(ISERROR(SUM(G29:O29)/$W29),0,SUM(G29:O29)/$W29))</f>
        <v>0.97252028264852131</v>
      </c>
      <c r="Q31" s="53">
        <f>IF(O31=100%,0,IF(ISERROR(SUM(G29:Q29)/$W29),0,SUM(G29:Q29)/$W29))</f>
        <v>1</v>
      </c>
      <c r="S31" s="53">
        <f>IF(Q31=100%,0,IF(ISERROR(SUM(G29:S29)/$W29),0,SUM(G29:S29)/$W29))</f>
        <v>0</v>
      </c>
      <c r="U31" s="53">
        <f>IF(S31=100%,0,IF(ISERROR(SUM(I29:U29)/$W29),0,SUM(I29:U29)/$W29))</f>
        <v>1</v>
      </c>
      <c r="W31" s="53">
        <f>IF($W29=0,"",W29/$W29)</f>
        <v>1</v>
      </c>
    </row>
    <row r="32" spans="2:23" ht="13.5" thickBot="1" x14ac:dyDescent="0.25">
      <c r="E32" s="10"/>
    </row>
    <row r="33" spans="2:23" x14ac:dyDescent="0.2">
      <c r="C33" s="48" t="s">
        <v>5</v>
      </c>
      <c r="G33" s="323"/>
      <c r="H33" s="41"/>
      <c r="I33" s="323"/>
      <c r="J33" s="42"/>
      <c r="K33" s="323"/>
      <c r="L33" s="42"/>
      <c r="M33" s="323"/>
      <c r="N33" s="42"/>
      <c r="O33" s="323"/>
      <c r="P33" s="42"/>
      <c r="Q33" s="323"/>
      <c r="R33" s="42"/>
      <c r="S33" s="323"/>
      <c r="T33" s="44"/>
      <c r="U33" s="323"/>
      <c r="V33" s="44"/>
      <c r="W33" s="44">
        <f>SUM(G33,I33,K33,M33,O33,Q33,S33,U33)</f>
        <v>0</v>
      </c>
    </row>
    <row r="34" spans="2:23" ht="13.5" thickBot="1" x14ac:dyDescent="0.25">
      <c r="C34" s="48"/>
      <c r="E34" s="29"/>
      <c r="G34" s="42"/>
      <c r="H34" s="42"/>
      <c r="I34" s="42"/>
      <c r="J34" s="42"/>
      <c r="K34" s="42"/>
      <c r="L34" s="42"/>
      <c r="M34" s="42"/>
      <c r="N34" s="42"/>
      <c r="O34" s="42"/>
      <c r="P34" s="42"/>
      <c r="Q34" s="42"/>
      <c r="R34" s="42"/>
      <c r="S34" s="42"/>
      <c r="T34" s="44"/>
      <c r="U34" s="42"/>
      <c r="V34" s="44"/>
      <c r="W34" s="44"/>
    </row>
    <row r="35" spans="2:23" x14ac:dyDescent="0.2">
      <c r="C35" s="48" t="s">
        <v>9</v>
      </c>
      <c r="D35" s="324"/>
      <c r="E35" s="54"/>
      <c r="F35" s="29"/>
      <c r="G35" s="323"/>
      <c r="H35" s="41"/>
      <c r="I35" s="323"/>
      <c r="J35" s="42"/>
      <c r="K35" s="323"/>
      <c r="L35" s="42"/>
      <c r="M35" s="323"/>
      <c r="N35" s="42"/>
      <c r="O35" s="323"/>
      <c r="P35" s="42"/>
      <c r="Q35" s="323"/>
      <c r="R35" s="42"/>
      <c r="S35" s="323"/>
      <c r="T35" s="44"/>
      <c r="U35" s="323"/>
      <c r="V35" s="44"/>
      <c r="W35" s="44">
        <f>SUM(G35,I35,K35,M35,O35,Q35,S35,U35)</f>
        <v>0</v>
      </c>
    </row>
    <row r="36" spans="2:23" ht="13.5" thickBot="1" x14ac:dyDescent="0.25">
      <c r="D36" s="29"/>
      <c r="E36" s="29"/>
      <c r="G36" s="45"/>
      <c r="H36" s="43"/>
      <c r="I36" s="43"/>
      <c r="J36" s="43"/>
      <c r="K36" s="46"/>
      <c r="L36" s="43"/>
      <c r="M36" s="45"/>
      <c r="N36" s="43"/>
      <c r="O36" s="45"/>
      <c r="P36" s="43"/>
      <c r="Q36" s="45"/>
      <c r="R36" s="43"/>
      <c r="S36" s="43"/>
      <c r="T36" s="43"/>
      <c r="U36" s="43"/>
      <c r="V36" s="43"/>
      <c r="W36" s="47"/>
    </row>
    <row r="37" spans="2:23" ht="13.5" thickBot="1" x14ac:dyDescent="0.25">
      <c r="C37" s="31" t="s">
        <v>6</v>
      </c>
      <c r="G37" s="51">
        <f>SUM(G29,G33,G35)</f>
        <v>0</v>
      </c>
      <c r="H37" s="43"/>
      <c r="I37" s="51">
        <f>SUM(I29,I33,I35)</f>
        <v>0</v>
      </c>
      <c r="J37" s="43"/>
      <c r="K37" s="43">
        <f>SUM(K29,K33,K35)</f>
        <v>0</v>
      </c>
      <c r="L37" s="43"/>
      <c r="M37" s="50">
        <f>SUM(M29,M33,M35)</f>
        <v>1735</v>
      </c>
      <c r="N37" s="43"/>
      <c r="O37" s="51">
        <f>SUM(O29,O33,O35)</f>
        <v>1981</v>
      </c>
      <c r="P37" s="43"/>
      <c r="Q37" s="50">
        <f>SUM(Q29,Q33,Q35)</f>
        <v>105</v>
      </c>
      <c r="R37" s="43"/>
      <c r="S37" s="50">
        <f>SUM(S29,S33,S35)</f>
        <v>0</v>
      </c>
      <c r="T37" s="43"/>
      <c r="U37" s="50">
        <f>SUM(U29,U33,U35)</f>
        <v>0</v>
      </c>
      <c r="V37" s="43"/>
      <c r="W37" s="50">
        <f>SUM(G37,I37,K37,M37,O37,Q37,S37,U37)</f>
        <v>3821</v>
      </c>
    </row>
    <row r="38" spans="2:23" ht="13.5" thickTop="1" x14ac:dyDescent="0.2">
      <c r="K38" s="52"/>
      <c r="M38" s="52"/>
      <c r="Q38" s="52"/>
      <c r="S38" s="52"/>
      <c r="U38" s="52"/>
      <c r="W38" s="52"/>
    </row>
    <row r="39" spans="2:23" ht="15.75" x14ac:dyDescent="0.25">
      <c r="B39" s="34">
        <v>1</v>
      </c>
      <c r="C39" s="34" t="s">
        <v>11</v>
      </c>
    </row>
    <row r="40" spans="2:23" x14ac:dyDescent="0.2">
      <c r="E40" s="37" t="s">
        <v>13</v>
      </c>
      <c r="G40" s="37"/>
      <c r="I40" s="37"/>
      <c r="K40" s="37"/>
      <c r="M40" s="37"/>
      <c r="O40" s="37"/>
      <c r="Q40" s="37"/>
      <c r="S40" s="38"/>
      <c r="U40" s="38"/>
      <c r="W40" s="37"/>
    </row>
    <row r="41" spans="2:23" ht="34.5" thickBot="1" x14ac:dyDescent="0.25">
      <c r="C41" s="55" t="s">
        <v>12</v>
      </c>
      <c r="E41" s="56" t="s">
        <v>318</v>
      </c>
      <c r="G41" s="57" t="str">
        <f>IF(ISBLANK(G19),"",G19)</f>
        <v>Audited Actual</v>
      </c>
      <c r="H41" s="58"/>
      <c r="I41" s="57" t="str">
        <f>IF(ISBLANK(I19),"",I19)</f>
        <v>Audited Actual</v>
      </c>
      <c r="J41" s="58"/>
      <c r="K41" s="57" t="str">
        <f>IF(ISBLANK(K19),"",K19)</f>
        <v>Audited Actual</v>
      </c>
      <c r="L41" s="58"/>
      <c r="M41" s="57" t="str">
        <f>IF(ISBLANK(M19),"",M19)</f>
        <v>Audited Actual</v>
      </c>
      <c r="N41" s="58"/>
      <c r="O41" s="57" t="str">
        <f>IF(ISBLANK(O19),"",O19)</f>
        <v>Audited Actual</v>
      </c>
      <c r="P41" s="58"/>
      <c r="Q41" s="57" t="str">
        <f>IF(ISBLANK(Q19),"",Q19)</f>
        <v>Audited Actual</v>
      </c>
      <c r="R41" s="58"/>
      <c r="S41" s="57" t="str">
        <f>IF(ISBLANK(S19),"",S19)</f>
        <v>Forecast</v>
      </c>
      <c r="T41" s="58"/>
      <c r="U41" s="57" t="str">
        <f>IF(ISBLANK(U19),"",U19)</f>
        <v>Forecast</v>
      </c>
      <c r="V41" s="58"/>
      <c r="W41" s="58"/>
    </row>
    <row r="42" spans="2:23" x14ac:dyDescent="0.2">
      <c r="C42" s="48" t="s">
        <v>27</v>
      </c>
      <c r="D42" s="29"/>
      <c r="E42" s="326" t="s">
        <v>14</v>
      </c>
      <c r="G42" s="323"/>
      <c r="H42" s="41"/>
      <c r="I42" s="323"/>
      <c r="J42" s="42"/>
      <c r="K42" s="323"/>
      <c r="L42" s="42"/>
      <c r="M42" s="323">
        <v>338453</v>
      </c>
      <c r="N42" s="42"/>
      <c r="O42" s="323">
        <v>110441</v>
      </c>
      <c r="P42" s="42"/>
      <c r="Q42" s="323">
        <v>4842</v>
      </c>
      <c r="R42" s="42"/>
      <c r="S42" s="323"/>
      <c r="T42" s="59"/>
      <c r="U42" s="323"/>
      <c r="V42" s="59"/>
      <c r="W42" s="60">
        <f>SUM(G42,I42,K42,M42,O42,Q42,S42,U42)</f>
        <v>453736</v>
      </c>
    </row>
    <row r="43" spans="2:23" ht="13.5" thickBot="1" x14ac:dyDescent="0.25">
      <c r="C43" s="48"/>
      <c r="E43" s="29"/>
      <c r="G43" s="42"/>
      <c r="H43" s="42"/>
      <c r="I43" s="42"/>
      <c r="J43" s="42"/>
      <c r="K43" s="42"/>
      <c r="L43" s="42"/>
      <c r="M43" s="42"/>
      <c r="N43" s="42"/>
      <c r="O43" s="42"/>
      <c r="P43" s="42"/>
      <c r="Q43" s="42"/>
      <c r="R43" s="42"/>
      <c r="S43" s="42"/>
      <c r="T43" s="59"/>
      <c r="U43" s="42"/>
      <c r="V43" s="59"/>
      <c r="W43" s="60"/>
    </row>
    <row r="44" spans="2:23" x14ac:dyDescent="0.2">
      <c r="C44" s="48" t="s">
        <v>26</v>
      </c>
      <c r="E44" s="326" t="s">
        <v>14</v>
      </c>
      <c r="G44" s="323"/>
      <c r="H44" s="41"/>
      <c r="I44" s="323"/>
      <c r="J44" s="42"/>
      <c r="K44" s="323"/>
      <c r="L44" s="42"/>
      <c r="M44" s="323"/>
      <c r="N44" s="42"/>
      <c r="O44" s="323">
        <v>27822</v>
      </c>
      <c r="P44" s="42"/>
      <c r="Q44" s="323"/>
      <c r="R44" s="42"/>
      <c r="S44" s="323"/>
      <c r="T44" s="59"/>
      <c r="U44" s="323"/>
      <c r="V44" s="59"/>
      <c r="W44" s="60">
        <f>SUM(G44,I44,K44,M44,O44,Q44,S44,U44)</f>
        <v>27822</v>
      </c>
    </row>
    <row r="45" spans="2:23" ht="13.5" thickBot="1" x14ac:dyDescent="0.25">
      <c r="C45" s="48"/>
      <c r="G45" s="42"/>
      <c r="H45" s="42"/>
      <c r="I45" s="42"/>
      <c r="J45" s="42"/>
      <c r="K45" s="42"/>
      <c r="L45" s="42"/>
      <c r="M45" s="42"/>
      <c r="N45" s="42"/>
      <c r="O45" s="42"/>
      <c r="P45" s="42"/>
      <c r="Q45" s="42"/>
      <c r="R45" s="42"/>
      <c r="S45" s="42"/>
      <c r="T45" s="59"/>
      <c r="U45" s="42"/>
      <c r="V45" s="59"/>
      <c r="W45" s="60"/>
    </row>
    <row r="46" spans="2:23" x14ac:dyDescent="0.2">
      <c r="C46" s="48" t="s">
        <v>22</v>
      </c>
      <c r="E46" s="326"/>
      <c r="G46" s="323"/>
      <c r="H46" s="41"/>
      <c r="I46" s="323"/>
      <c r="J46" s="42"/>
      <c r="K46" s="323"/>
      <c r="L46" s="42"/>
      <c r="M46" s="323"/>
      <c r="N46" s="42"/>
      <c r="O46" s="323"/>
      <c r="P46" s="42"/>
      <c r="Q46" s="323"/>
      <c r="R46" s="42"/>
      <c r="S46" s="323"/>
      <c r="T46" s="59"/>
      <c r="U46" s="323"/>
      <c r="V46" s="59"/>
      <c r="W46" s="60">
        <f>SUM(G46,I46,K46,M46,O46,Q46,S46,U46)</f>
        <v>0</v>
      </c>
    </row>
    <row r="47" spans="2:23" ht="13.5" thickBot="1" x14ac:dyDescent="0.25">
      <c r="C47" s="48"/>
      <c r="G47" s="42"/>
      <c r="H47" s="42"/>
      <c r="I47" s="42"/>
      <c r="J47" s="42"/>
      <c r="K47" s="42"/>
      <c r="L47" s="42"/>
      <c r="M47" s="42"/>
      <c r="N47" s="42"/>
      <c r="O47" s="42"/>
      <c r="P47" s="42"/>
      <c r="Q47" s="42"/>
      <c r="R47" s="42"/>
      <c r="S47" s="42"/>
      <c r="T47" s="59"/>
      <c r="U47" s="42"/>
      <c r="V47" s="59"/>
      <c r="W47" s="60"/>
    </row>
    <row r="48" spans="2:23" x14ac:dyDescent="0.2">
      <c r="C48" s="48" t="s">
        <v>23</v>
      </c>
      <c r="E48" s="326"/>
      <c r="G48" s="323"/>
      <c r="H48" s="41"/>
      <c r="I48" s="323"/>
      <c r="J48" s="42"/>
      <c r="K48" s="323"/>
      <c r="L48" s="42"/>
      <c r="M48" s="323"/>
      <c r="N48" s="42"/>
      <c r="O48" s="323"/>
      <c r="P48" s="42"/>
      <c r="Q48" s="323"/>
      <c r="R48" s="42"/>
      <c r="S48" s="323"/>
      <c r="T48" s="59"/>
      <c r="U48" s="323"/>
      <c r="V48" s="59"/>
      <c r="W48" s="60">
        <f>SUM(G48,I48,K48,M48,O48,Q48,S48,U48)</f>
        <v>0</v>
      </c>
    </row>
    <row r="49" spans="3:23" ht="13.5" thickBot="1" x14ac:dyDescent="0.25">
      <c r="G49" s="59"/>
      <c r="H49" s="59"/>
      <c r="I49" s="59"/>
      <c r="J49" s="59"/>
      <c r="K49" s="59"/>
      <c r="L49" s="59"/>
      <c r="M49" s="59"/>
      <c r="N49" s="59"/>
      <c r="O49" s="59"/>
      <c r="P49" s="59"/>
      <c r="Q49" s="59"/>
      <c r="R49" s="59"/>
      <c r="S49" s="59"/>
      <c r="T49" s="59"/>
      <c r="U49" s="59"/>
      <c r="V49" s="59"/>
      <c r="W49" s="61"/>
    </row>
    <row r="50" spans="3:23" ht="13.5" thickBot="1" x14ac:dyDescent="0.25">
      <c r="C50" s="39" t="s">
        <v>19</v>
      </c>
      <c r="G50" s="62">
        <f>SUM(G42,G44,G46,G48)</f>
        <v>0</v>
      </c>
      <c r="H50" s="60"/>
      <c r="I50" s="62">
        <f>SUM(I42,I44,I46,I48)</f>
        <v>0</v>
      </c>
      <c r="J50" s="60"/>
      <c r="K50" s="62">
        <f>SUM(K42,K44,K46,K48)</f>
        <v>0</v>
      </c>
      <c r="L50" s="60"/>
      <c r="M50" s="62">
        <f>SUM(M42,M44,M46,M48)</f>
        <v>338453</v>
      </c>
      <c r="N50" s="60"/>
      <c r="O50" s="62">
        <f>SUM(O42,O44,O46,O48)</f>
        <v>138263</v>
      </c>
      <c r="P50" s="60"/>
      <c r="Q50" s="62">
        <f>SUM(Q42,Q44,Q46,Q48)</f>
        <v>4842</v>
      </c>
      <c r="R50" s="60"/>
      <c r="S50" s="62">
        <f>SUM(S42,S44,S46,S48)</f>
        <v>0</v>
      </c>
      <c r="T50" s="59"/>
      <c r="U50" s="62">
        <f>SUM(U42,U44,U46,U48)</f>
        <v>0</v>
      </c>
      <c r="V50" s="59"/>
      <c r="W50" s="60">
        <f>W42+W44+W46+W48</f>
        <v>481558</v>
      </c>
    </row>
    <row r="51" spans="3:23" ht="13.5" thickTop="1" x14ac:dyDescent="0.2">
      <c r="C51" s="39"/>
      <c r="G51" s="63"/>
      <c r="H51" s="59"/>
      <c r="I51" s="59"/>
      <c r="J51" s="59"/>
      <c r="K51" s="63"/>
      <c r="L51" s="59"/>
      <c r="M51" s="63"/>
      <c r="N51" s="59"/>
      <c r="O51" s="63"/>
      <c r="P51" s="59"/>
      <c r="Q51" s="63"/>
      <c r="R51" s="59"/>
      <c r="S51" s="63"/>
      <c r="T51" s="59"/>
      <c r="U51" s="63"/>
      <c r="V51" s="59"/>
      <c r="W51" s="64"/>
    </row>
    <row r="52" spans="3:23" x14ac:dyDescent="0.2">
      <c r="C52" s="39"/>
      <c r="E52" s="37" t="str">
        <f>E40</f>
        <v>Asset Type</v>
      </c>
      <c r="G52" s="37"/>
      <c r="H52" s="37"/>
      <c r="I52" s="37"/>
      <c r="J52" s="37"/>
      <c r="K52" s="37"/>
      <c r="L52" s="37"/>
      <c r="M52" s="37"/>
      <c r="N52" s="37"/>
      <c r="O52" s="37"/>
      <c r="P52" s="37"/>
      <c r="Q52" s="37"/>
      <c r="R52" s="37"/>
      <c r="S52" s="38"/>
      <c r="T52" s="65"/>
      <c r="U52" s="38"/>
      <c r="V52" s="65"/>
      <c r="W52" s="66"/>
    </row>
    <row r="53" spans="3:23" ht="26.25" customHeight="1" thickBot="1" x14ac:dyDescent="0.25">
      <c r="C53" s="67" t="s">
        <v>20</v>
      </c>
      <c r="G53" s="57" t="str">
        <f>G41</f>
        <v>Audited Actual</v>
      </c>
      <c r="H53" s="57"/>
      <c r="I53" s="57" t="str">
        <f>I41</f>
        <v>Audited Actual</v>
      </c>
      <c r="J53" s="57"/>
      <c r="K53" s="57" t="str">
        <f>K41</f>
        <v>Audited Actual</v>
      </c>
      <c r="L53" s="57"/>
      <c r="M53" s="57" t="str">
        <f>M41</f>
        <v>Audited Actual</v>
      </c>
      <c r="N53" s="57"/>
      <c r="O53" s="57" t="str">
        <f>O41</f>
        <v>Audited Actual</v>
      </c>
      <c r="P53" s="57"/>
      <c r="Q53" s="57" t="str">
        <f>Q41</f>
        <v>Audited Actual</v>
      </c>
      <c r="R53" s="57"/>
      <c r="S53" s="57" t="str">
        <f>S41</f>
        <v>Forecast</v>
      </c>
      <c r="T53" s="57"/>
      <c r="U53" s="57" t="str">
        <f>U41</f>
        <v>Forecast</v>
      </c>
      <c r="V53" s="57"/>
      <c r="W53" s="68"/>
    </row>
    <row r="54" spans="3:23" x14ac:dyDescent="0.2">
      <c r="C54" s="48" t="s">
        <v>21</v>
      </c>
      <c r="E54" s="326" t="s">
        <v>14</v>
      </c>
      <c r="G54" s="323"/>
      <c r="H54" s="41"/>
      <c r="I54" s="323"/>
      <c r="J54" s="42"/>
      <c r="K54" s="323"/>
      <c r="L54" s="42"/>
      <c r="M54" s="323"/>
      <c r="N54" s="42"/>
      <c r="O54" s="323">
        <v>15588</v>
      </c>
      <c r="P54" s="42"/>
      <c r="Q54" s="323"/>
      <c r="R54" s="42"/>
      <c r="S54" s="323"/>
      <c r="T54" s="59"/>
      <c r="U54" s="323"/>
      <c r="V54" s="59"/>
      <c r="W54" s="60">
        <f>SUM(G54,I54,K54,M54,O54,Q54,S54,U54)</f>
        <v>15588</v>
      </c>
    </row>
    <row r="55" spans="3:23" ht="13.5" thickBot="1" x14ac:dyDescent="0.25">
      <c r="C55" s="48"/>
      <c r="G55" s="42"/>
      <c r="H55" s="42"/>
      <c r="I55" s="42"/>
      <c r="J55" s="42"/>
      <c r="K55" s="42"/>
      <c r="L55" s="42"/>
      <c r="M55" s="42"/>
      <c r="N55" s="42"/>
      <c r="O55" s="42"/>
      <c r="P55" s="42"/>
      <c r="Q55" s="42"/>
      <c r="R55" s="42"/>
      <c r="S55" s="42"/>
      <c r="U55" s="42"/>
      <c r="W55" s="69"/>
    </row>
    <row r="56" spans="3:23" x14ac:dyDescent="0.2">
      <c r="C56" s="48" t="s">
        <v>24</v>
      </c>
      <c r="E56" s="326"/>
      <c r="G56" s="323"/>
      <c r="H56" s="41"/>
      <c r="I56" s="323"/>
      <c r="J56" s="42"/>
      <c r="K56" s="323"/>
      <c r="L56" s="42"/>
      <c r="M56" s="323"/>
      <c r="N56" s="42"/>
      <c r="O56" s="323"/>
      <c r="P56" s="42"/>
      <c r="Q56" s="323"/>
      <c r="R56" s="42"/>
      <c r="S56" s="323"/>
      <c r="T56" s="59"/>
      <c r="U56" s="323"/>
      <c r="V56" s="59"/>
      <c r="W56" s="60">
        <f>SUM(G56,I56,K56,M56,O56,Q56,S56,U56)</f>
        <v>0</v>
      </c>
    </row>
    <row r="57" spans="3:23" ht="13.5" thickBot="1" x14ac:dyDescent="0.25">
      <c r="C57" s="48"/>
      <c r="G57" s="42"/>
      <c r="H57" s="42"/>
      <c r="I57" s="42"/>
      <c r="J57" s="42"/>
      <c r="K57" s="42"/>
      <c r="L57" s="42"/>
      <c r="M57" s="42"/>
      <c r="N57" s="42"/>
      <c r="O57" s="42"/>
      <c r="P57" s="42"/>
      <c r="Q57" s="42"/>
      <c r="R57" s="42"/>
      <c r="S57" s="42"/>
      <c r="U57" s="42"/>
      <c r="W57" s="69"/>
    </row>
    <row r="58" spans="3:23" x14ac:dyDescent="0.2">
      <c r="C58" s="48" t="s">
        <v>25</v>
      </c>
      <c r="E58" s="326" t="s">
        <v>17</v>
      </c>
      <c r="G58" s="323"/>
      <c r="H58" s="41"/>
      <c r="I58" s="323"/>
      <c r="J58" s="42"/>
      <c r="K58" s="323"/>
      <c r="L58" s="42"/>
      <c r="M58" s="323">
        <v>1243</v>
      </c>
      <c r="N58" s="42"/>
      <c r="O58" s="323"/>
      <c r="P58" s="42"/>
      <c r="Q58" s="323"/>
      <c r="R58" s="42"/>
      <c r="S58" s="323"/>
      <c r="T58" s="59"/>
      <c r="U58" s="323"/>
      <c r="V58" s="59"/>
      <c r="W58" s="60">
        <f>SUM(G58,I58,K58,M58,O58,Q58,S58,U58)</f>
        <v>1243</v>
      </c>
    </row>
    <row r="59" spans="3:23" ht="13.5" thickBot="1" x14ac:dyDescent="0.25">
      <c r="G59" s="70"/>
      <c r="W59" s="69"/>
    </row>
    <row r="60" spans="3:23" ht="13.5" thickBot="1" x14ac:dyDescent="0.25">
      <c r="C60" s="39" t="s">
        <v>28</v>
      </c>
      <c r="G60" s="69">
        <f>G54+G56+G58</f>
        <v>0</v>
      </c>
      <c r="H60" s="69"/>
      <c r="I60" s="71">
        <f>I54+I56+I58</f>
        <v>0</v>
      </c>
      <c r="J60" s="69"/>
      <c r="K60" s="71">
        <f>K54+K56+K58</f>
        <v>0</v>
      </c>
      <c r="L60" s="69"/>
      <c r="M60" s="71">
        <f>M54+M56+M58</f>
        <v>1243</v>
      </c>
      <c r="N60" s="69"/>
      <c r="O60" s="71">
        <f>O54+O56+O58</f>
        <v>15588</v>
      </c>
      <c r="P60" s="69"/>
      <c r="Q60" s="71">
        <f>Q54+Q56+Q58</f>
        <v>0</v>
      </c>
      <c r="R60" s="69"/>
      <c r="S60" s="71">
        <f>S54+S56+S58</f>
        <v>0</v>
      </c>
      <c r="T60" s="69"/>
      <c r="U60" s="71">
        <f>U54+U56+U58</f>
        <v>0</v>
      </c>
      <c r="V60" s="69"/>
      <c r="W60" s="71">
        <f>W54+W56+W58</f>
        <v>16831</v>
      </c>
    </row>
    <row r="61" spans="3:23" ht="13.5" thickTop="1" x14ac:dyDescent="0.2">
      <c r="G61" s="52"/>
      <c r="M61" s="52"/>
      <c r="O61" s="52"/>
      <c r="Q61" s="52"/>
      <c r="W61" s="72"/>
    </row>
    <row r="62" spans="3:23" ht="26.25" customHeight="1" x14ac:dyDescent="0.2">
      <c r="E62" s="38" t="str">
        <f>E52</f>
        <v>Asset Type</v>
      </c>
      <c r="F62" s="38"/>
      <c r="G62" s="38"/>
      <c r="H62" s="38"/>
      <c r="I62" s="38"/>
      <c r="J62" s="38"/>
      <c r="K62" s="38"/>
      <c r="L62" s="38"/>
      <c r="M62" s="38"/>
      <c r="N62" s="38"/>
      <c r="O62" s="38"/>
      <c r="P62" s="38"/>
      <c r="Q62" s="38"/>
      <c r="R62" s="38"/>
      <c r="S62" s="38"/>
      <c r="T62" s="38"/>
      <c r="U62" s="38"/>
      <c r="V62" s="38"/>
      <c r="W62" s="73"/>
    </row>
    <row r="63" spans="3:23" ht="26.25" customHeight="1" thickBot="1" x14ac:dyDescent="0.25">
      <c r="C63" s="369" t="s">
        <v>29</v>
      </c>
      <c r="D63" s="369"/>
      <c r="E63" s="74"/>
      <c r="F63" s="74"/>
      <c r="G63" s="75" t="str">
        <f>G53</f>
        <v>Audited Actual</v>
      </c>
      <c r="H63" s="75"/>
      <c r="I63" s="75" t="str">
        <f>I53</f>
        <v>Audited Actual</v>
      </c>
      <c r="J63" s="75"/>
      <c r="K63" s="75" t="str">
        <f>K53</f>
        <v>Audited Actual</v>
      </c>
      <c r="L63" s="75"/>
      <c r="M63" s="75" t="str">
        <f>M53</f>
        <v>Audited Actual</v>
      </c>
      <c r="N63" s="75"/>
      <c r="O63" s="75" t="str">
        <f>O53</f>
        <v>Audited Actual</v>
      </c>
      <c r="P63" s="75"/>
      <c r="Q63" s="75" t="str">
        <f>Q53</f>
        <v>Audited Actual</v>
      </c>
      <c r="R63" s="75"/>
      <c r="S63" s="75" t="str">
        <f>S53</f>
        <v>Forecast</v>
      </c>
      <c r="T63" s="74"/>
      <c r="U63" s="75" t="str">
        <f>U53</f>
        <v>Forecast</v>
      </c>
      <c r="V63" s="74"/>
      <c r="W63" s="76"/>
    </row>
    <row r="64" spans="3:23" x14ac:dyDescent="0.2">
      <c r="C64" s="48" t="s">
        <v>30</v>
      </c>
      <c r="E64" s="326"/>
      <c r="G64" s="323"/>
      <c r="H64" s="41"/>
      <c r="I64" s="323"/>
      <c r="J64" s="42"/>
      <c r="K64" s="323"/>
      <c r="L64" s="42"/>
      <c r="M64" s="323"/>
      <c r="N64" s="42"/>
      <c r="O64" s="323"/>
      <c r="P64" s="42"/>
      <c r="Q64" s="323"/>
      <c r="R64" s="42"/>
      <c r="S64" s="323"/>
      <c r="T64" s="59"/>
      <c r="U64" s="323"/>
      <c r="V64" s="59"/>
      <c r="W64" s="60">
        <f>SUM(G64,I64,K64,M64,O64,Q64,S64,U64)</f>
        <v>0</v>
      </c>
    </row>
    <row r="65" spans="3:23" ht="13.5" thickBot="1" x14ac:dyDescent="0.25">
      <c r="C65" s="48"/>
      <c r="G65" s="42"/>
      <c r="H65" s="42"/>
      <c r="I65" s="42"/>
      <c r="J65" s="42"/>
      <c r="K65" s="42"/>
      <c r="L65" s="42"/>
      <c r="M65" s="42"/>
      <c r="N65" s="42"/>
      <c r="O65" s="42"/>
      <c r="P65" s="42"/>
      <c r="Q65" s="42"/>
      <c r="R65" s="42"/>
      <c r="S65" s="42"/>
      <c r="U65" s="42"/>
      <c r="W65" s="69"/>
    </row>
    <row r="66" spans="3:23" x14ac:dyDescent="0.2">
      <c r="C66" s="48" t="s">
        <v>31</v>
      </c>
      <c r="E66" s="326"/>
      <c r="G66" s="323"/>
      <c r="H66" s="41"/>
      <c r="I66" s="323"/>
      <c r="J66" s="42"/>
      <c r="K66" s="323"/>
      <c r="L66" s="42"/>
      <c r="M66" s="323"/>
      <c r="N66" s="42"/>
      <c r="O66" s="323"/>
      <c r="P66" s="42"/>
      <c r="Q66" s="323"/>
      <c r="R66" s="42"/>
      <c r="S66" s="323"/>
      <c r="T66" s="59"/>
      <c r="U66" s="323"/>
      <c r="V66" s="59"/>
      <c r="W66" s="60">
        <f>SUM(G66,I66,K66,M66,O66,Q66,S66,U66)</f>
        <v>0</v>
      </c>
    </row>
    <row r="67" spans="3:23" ht="13.5" thickBot="1" x14ac:dyDescent="0.25">
      <c r="C67" s="48"/>
      <c r="G67" s="42"/>
      <c r="H67" s="42"/>
      <c r="I67" s="42"/>
      <c r="J67" s="42"/>
      <c r="K67" s="42"/>
      <c r="L67" s="42"/>
      <c r="M67" s="42"/>
      <c r="N67" s="42"/>
      <c r="O67" s="42"/>
      <c r="P67" s="42"/>
      <c r="Q67" s="42"/>
      <c r="R67" s="42"/>
      <c r="S67" s="42"/>
      <c r="U67" s="42"/>
      <c r="W67" s="69"/>
    </row>
    <row r="68" spans="3:23" x14ac:dyDescent="0.2">
      <c r="C68" s="48" t="s">
        <v>32</v>
      </c>
      <c r="E68" s="326"/>
      <c r="G68" s="323"/>
      <c r="H68" s="41"/>
      <c r="I68" s="323"/>
      <c r="J68" s="42"/>
      <c r="K68" s="323"/>
      <c r="L68" s="42"/>
      <c r="M68" s="323"/>
      <c r="N68" s="42"/>
      <c r="O68" s="323"/>
      <c r="P68" s="42"/>
      <c r="Q68" s="323"/>
      <c r="R68" s="42"/>
      <c r="S68" s="323"/>
      <c r="T68" s="59"/>
      <c r="U68" s="323"/>
      <c r="V68" s="59"/>
      <c r="W68" s="60">
        <f>SUM(G68,I68,K68,M68,O68,Q68,S68,U68)</f>
        <v>0</v>
      </c>
    </row>
    <row r="69" spans="3:23" ht="13.5" thickBot="1" x14ac:dyDescent="0.25">
      <c r="C69" s="31" t="s">
        <v>33</v>
      </c>
      <c r="G69" s="70"/>
      <c r="K69" s="70"/>
      <c r="S69" s="70"/>
      <c r="U69" s="70"/>
      <c r="W69" s="77"/>
    </row>
    <row r="70" spans="3:23" ht="13.5" thickBot="1" x14ac:dyDescent="0.25">
      <c r="C70" s="39" t="s">
        <v>34</v>
      </c>
      <c r="G70" s="69">
        <f>G64+G66+G68</f>
        <v>0</v>
      </c>
      <c r="H70" s="69"/>
      <c r="I70" s="71">
        <f>I64+I66+I68</f>
        <v>0</v>
      </c>
      <c r="J70" s="69"/>
      <c r="K70" s="69">
        <f>K64+K66+K68</f>
        <v>0</v>
      </c>
      <c r="L70" s="69"/>
      <c r="M70" s="78">
        <f>M64+M66+M68</f>
        <v>0</v>
      </c>
      <c r="N70" s="69"/>
      <c r="O70" s="71">
        <f>O64+O66+O68</f>
        <v>0</v>
      </c>
      <c r="P70" s="69"/>
      <c r="Q70" s="71">
        <f>Q64+Q66+Q68</f>
        <v>0</v>
      </c>
      <c r="R70" s="69"/>
      <c r="S70" s="69">
        <f>S64+S66+S68</f>
        <v>0</v>
      </c>
      <c r="T70" s="69"/>
      <c r="U70" s="69">
        <f>U64+U66+U68</f>
        <v>0</v>
      </c>
      <c r="V70" s="69"/>
      <c r="W70" s="69">
        <f>W64+W66+W68</f>
        <v>0</v>
      </c>
    </row>
    <row r="71" spans="3:23" ht="13.5" thickTop="1" x14ac:dyDescent="0.2">
      <c r="G71" s="52"/>
      <c r="K71" s="52"/>
      <c r="M71" s="52"/>
      <c r="S71" s="52"/>
      <c r="U71" s="52"/>
      <c r="W71" s="72"/>
    </row>
    <row r="72" spans="3:23" ht="26.25" customHeight="1" x14ac:dyDescent="0.2">
      <c r="E72" s="37" t="str">
        <f>E62</f>
        <v>Asset Type</v>
      </c>
      <c r="F72" s="37"/>
      <c r="G72" s="37"/>
      <c r="H72" s="37"/>
      <c r="I72" s="37"/>
      <c r="J72" s="37"/>
      <c r="K72" s="37"/>
      <c r="L72" s="37"/>
      <c r="M72" s="37"/>
      <c r="N72" s="37"/>
      <c r="O72" s="37"/>
      <c r="P72" s="37"/>
      <c r="Q72" s="37"/>
      <c r="R72" s="37"/>
      <c r="S72" s="38"/>
      <c r="T72" s="37"/>
      <c r="U72" s="38"/>
      <c r="V72" s="37"/>
      <c r="W72" s="66"/>
    </row>
    <row r="73" spans="3:23" ht="26.25" customHeight="1" x14ac:dyDescent="0.2">
      <c r="C73" s="39" t="s">
        <v>35</v>
      </c>
      <c r="G73" s="57" t="str">
        <f>G63</f>
        <v>Audited Actual</v>
      </c>
      <c r="H73" s="57"/>
      <c r="I73" s="57" t="str">
        <f>I63</f>
        <v>Audited Actual</v>
      </c>
      <c r="J73" s="57"/>
      <c r="K73" s="57" t="str">
        <f>K63</f>
        <v>Audited Actual</v>
      </c>
      <c r="L73" s="57"/>
      <c r="M73" s="57" t="str">
        <f>M63</f>
        <v>Audited Actual</v>
      </c>
      <c r="N73" s="57"/>
      <c r="O73" s="57" t="str">
        <f>O63</f>
        <v>Audited Actual</v>
      </c>
      <c r="P73" s="57"/>
      <c r="Q73" s="57" t="str">
        <f>Q63</f>
        <v>Audited Actual</v>
      </c>
      <c r="R73" s="57"/>
      <c r="S73" s="57" t="str">
        <f>S63</f>
        <v>Forecast</v>
      </c>
      <c r="U73" s="57" t="str">
        <f>U63</f>
        <v>Forecast</v>
      </c>
      <c r="W73" s="69"/>
    </row>
    <row r="74" spans="3:23" ht="13.5" thickBot="1" x14ac:dyDescent="0.25">
      <c r="W74" s="69"/>
    </row>
    <row r="75" spans="3:23" x14ac:dyDescent="0.2">
      <c r="C75" s="48" t="s">
        <v>36</v>
      </c>
      <c r="E75" s="326"/>
      <c r="G75" s="323"/>
      <c r="H75" s="41"/>
      <c r="I75" s="323"/>
      <c r="J75" s="42"/>
      <c r="K75" s="323"/>
      <c r="L75" s="42"/>
      <c r="M75" s="323"/>
      <c r="N75" s="42"/>
      <c r="O75" s="323"/>
      <c r="P75" s="42"/>
      <c r="Q75" s="323"/>
      <c r="R75" s="42"/>
      <c r="S75" s="323"/>
      <c r="T75" s="59"/>
      <c r="U75" s="323"/>
      <c r="V75" s="59"/>
      <c r="W75" s="60">
        <f>SUM(G75,I75,K75,M75,O75,Q75,S75,U75)</f>
        <v>0</v>
      </c>
    </row>
    <row r="76" spans="3:23" ht="13.5" thickBot="1" x14ac:dyDescent="0.25">
      <c r="G76" s="70"/>
      <c r="K76" s="70"/>
      <c r="W76" s="77"/>
    </row>
    <row r="77" spans="3:23" ht="13.5" thickBot="1" x14ac:dyDescent="0.25">
      <c r="C77" s="39" t="s">
        <v>37</v>
      </c>
      <c r="G77" s="79">
        <f>G75</f>
        <v>0</v>
      </c>
      <c r="H77" s="69"/>
      <c r="I77" s="71">
        <f>I75</f>
        <v>0</v>
      </c>
      <c r="J77" s="69"/>
      <c r="K77" s="69">
        <f>K75</f>
        <v>0</v>
      </c>
      <c r="L77" s="69"/>
      <c r="M77" s="71">
        <f>M75</f>
        <v>0</v>
      </c>
      <c r="N77" s="69"/>
      <c r="O77" s="71">
        <f>O75</f>
        <v>0</v>
      </c>
      <c r="P77" s="69"/>
      <c r="Q77" s="71">
        <f>Q75</f>
        <v>0</v>
      </c>
      <c r="R77" s="69"/>
      <c r="S77" s="71">
        <f>S75</f>
        <v>0</v>
      </c>
      <c r="T77" s="69"/>
      <c r="U77" s="71">
        <f>U75</f>
        <v>0</v>
      </c>
      <c r="V77" s="69"/>
      <c r="W77" s="69">
        <f>W75</f>
        <v>0</v>
      </c>
    </row>
    <row r="78" spans="3:23" ht="13.5" thickTop="1" x14ac:dyDescent="0.2">
      <c r="I78" s="52"/>
      <c r="K78" s="52"/>
      <c r="M78" s="52"/>
      <c r="Q78" s="52"/>
      <c r="S78" s="52"/>
      <c r="U78" s="52"/>
      <c r="W78" s="72"/>
    </row>
    <row r="79" spans="3:23" ht="24.75" customHeight="1" x14ac:dyDescent="0.2">
      <c r="E79" s="37" t="str">
        <f>E72</f>
        <v>Asset Type</v>
      </c>
      <c r="F79" s="37"/>
      <c r="G79" s="37"/>
      <c r="H79" s="37"/>
      <c r="I79" s="37"/>
      <c r="J79" s="37"/>
      <c r="K79" s="37"/>
      <c r="L79" s="37"/>
      <c r="M79" s="37"/>
      <c r="N79" s="37"/>
      <c r="O79" s="37"/>
      <c r="P79" s="37"/>
      <c r="Q79" s="37"/>
      <c r="R79" s="37"/>
      <c r="S79" s="38"/>
      <c r="T79" s="37"/>
      <c r="U79" s="38"/>
      <c r="V79" s="37"/>
      <c r="W79" s="66"/>
    </row>
    <row r="80" spans="3:23" ht="26.25" customHeight="1" x14ac:dyDescent="0.2">
      <c r="C80" s="39" t="s">
        <v>38</v>
      </c>
      <c r="G80" s="57" t="str">
        <f>G73</f>
        <v>Audited Actual</v>
      </c>
      <c r="H80" s="57"/>
      <c r="I80" s="57" t="str">
        <f>I73</f>
        <v>Audited Actual</v>
      </c>
      <c r="J80" s="57"/>
      <c r="K80" s="57" t="str">
        <f>K73</f>
        <v>Audited Actual</v>
      </c>
      <c r="L80" s="57"/>
      <c r="M80" s="57" t="str">
        <f>M73</f>
        <v>Audited Actual</v>
      </c>
      <c r="N80" s="57"/>
      <c r="O80" s="57" t="str">
        <f>O73</f>
        <v>Audited Actual</v>
      </c>
      <c r="P80" s="57"/>
      <c r="Q80" s="57" t="str">
        <f>Q73</f>
        <v>Audited Actual</v>
      </c>
      <c r="R80" s="57"/>
      <c r="S80" s="57" t="str">
        <f>S73</f>
        <v>Forecast</v>
      </c>
      <c r="U80" s="57" t="str">
        <f>U73</f>
        <v>Forecast</v>
      </c>
      <c r="W80" s="69"/>
    </row>
    <row r="81" spans="3:23" ht="13.5" thickBot="1" x14ac:dyDescent="0.25">
      <c r="G81" s="80"/>
      <c r="H81" s="80"/>
      <c r="I81" s="80"/>
      <c r="J81" s="80"/>
      <c r="K81" s="80"/>
      <c r="L81" s="80"/>
      <c r="M81" s="80"/>
      <c r="N81" s="80"/>
      <c r="O81" s="80"/>
      <c r="P81" s="80"/>
      <c r="Q81" s="80"/>
      <c r="R81" s="80"/>
      <c r="S81" s="80"/>
      <c r="U81" s="80"/>
      <c r="W81" s="69"/>
    </row>
    <row r="82" spans="3:23" x14ac:dyDescent="0.2">
      <c r="C82" s="48" t="s">
        <v>45</v>
      </c>
      <c r="E82" s="326"/>
      <c r="G82" s="323"/>
      <c r="H82" s="41"/>
      <c r="I82" s="323"/>
      <c r="J82" s="42"/>
      <c r="K82" s="323"/>
      <c r="L82" s="42"/>
      <c r="M82" s="323"/>
      <c r="N82" s="42"/>
      <c r="O82" s="323"/>
      <c r="P82" s="42"/>
      <c r="Q82" s="323"/>
      <c r="R82" s="42"/>
      <c r="S82" s="323"/>
      <c r="T82" s="59"/>
      <c r="U82" s="323"/>
      <c r="V82" s="59"/>
      <c r="W82" s="60">
        <f>SUM(G82,I82,K82,M82,O82,Q82,S82,U82)</f>
        <v>0</v>
      </c>
    </row>
    <row r="83" spans="3:23" ht="13.5" thickBot="1" x14ac:dyDescent="0.25">
      <c r="C83" s="48"/>
      <c r="G83" s="42"/>
      <c r="H83" s="42"/>
      <c r="I83" s="42"/>
      <c r="J83" s="42"/>
      <c r="K83" s="42"/>
      <c r="L83" s="42"/>
      <c r="M83" s="42"/>
      <c r="N83" s="42"/>
      <c r="O83" s="42"/>
      <c r="P83" s="42"/>
      <c r="Q83" s="42"/>
      <c r="R83" s="42"/>
      <c r="S83" s="42"/>
      <c r="U83" s="42"/>
      <c r="W83" s="69"/>
    </row>
    <row r="84" spans="3:23" x14ac:dyDescent="0.2">
      <c r="C84" s="48" t="s">
        <v>39</v>
      </c>
      <c r="E84" s="326" t="s">
        <v>364</v>
      </c>
      <c r="G84" s="323"/>
      <c r="H84" s="41"/>
      <c r="I84" s="323"/>
      <c r="J84" s="42"/>
      <c r="K84" s="323"/>
      <c r="L84" s="42"/>
      <c r="M84" s="323"/>
      <c r="N84" s="42"/>
      <c r="O84" s="323">
        <v>22806</v>
      </c>
      <c r="P84" s="42"/>
      <c r="Q84" s="323">
        <v>13982</v>
      </c>
      <c r="R84" s="42"/>
      <c r="S84" s="323"/>
      <c r="T84" s="59"/>
      <c r="U84" s="323"/>
      <c r="V84" s="59"/>
      <c r="W84" s="60">
        <f>SUM(G84,I84,K84,M84,O84,Q84,S8,U84)</f>
        <v>36788</v>
      </c>
    </row>
    <row r="85" spans="3:23" ht="13.5" thickBot="1" x14ac:dyDescent="0.25">
      <c r="C85" s="48"/>
      <c r="G85" s="42"/>
      <c r="H85" s="42"/>
      <c r="I85" s="42"/>
      <c r="J85" s="42"/>
      <c r="K85" s="42"/>
      <c r="L85" s="42"/>
      <c r="M85" s="42"/>
      <c r="N85" s="42"/>
      <c r="O85" s="42"/>
      <c r="P85" s="42"/>
      <c r="Q85" s="42"/>
      <c r="R85" s="42"/>
      <c r="S85" s="42"/>
      <c r="U85" s="42"/>
      <c r="W85" s="69"/>
    </row>
    <row r="86" spans="3:23" x14ac:dyDescent="0.2">
      <c r="C86" s="48" t="s">
        <v>40</v>
      </c>
      <c r="E86" s="326" t="s">
        <v>14</v>
      </c>
      <c r="G86" s="323"/>
      <c r="H86" s="41"/>
      <c r="I86" s="323"/>
      <c r="J86" s="42"/>
      <c r="K86" s="323"/>
      <c r="L86" s="42"/>
      <c r="M86" s="323"/>
      <c r="N86" s="42"/>
      <c r="O86" s="323">
        <v>30600</v>
      </c>
      <c r="P86" s="42"/>
      <c r="Q86" s="323"/>
      <c r="R86" s="42"/>
      <c r="S86" s="323"/>
      <c r="T86" s="59"/>
      <c r="U86" s="323"/>
      <c r="V86" s="59"/>
      <c r="W86" s="60">
        <f>SUM(G86,I86,K86,M86,O86,Q86,S86,U86)</f>
        <v>30600</v>
      </c>
    </row>
    <row r="87" spans="3:23" ht="13.5" thickBot="1" x14ac:dyDescent="0.25">
      <c r="C87" s="48"/>
      <c r="G87" s="42"/>
      <c r="H87" s="42"/>
      <c r="I87" s="42"/>
      <c r="J87" s="42"/>
      <c r="K87" s="42"/>
      <c r="L87" s="42"/>
      <c r="M87" s="42"/>
      <c r="N87" s="42"/>
      <c r="O87" s="42"/>
      <c r="P87" s="42"/>
      <c r="Q87" s="42"/>
      <c r="R87" s="42"/>
      <c r="S87" s="42"/>
      <c r="U87" s="42"/>
      <c r="W87" s="69"/>
    </row>
    <row r="88" spans="3:23" x14ac:dyDescent="0.2">
      <c r="C88" s="48" t="s">
        <v>41</v>
      </c>
      <c r="E88" s="326"/>
      <c r="G88" s="323"/>
      <c r="H88" s="41"/>
      <c r="I88" s="323"/>
      <c r="J88" s="42"/>
      <c r="K88" s="323"/>
      <c r="L88" s="42"/>
      <c r="M88" s="323"/>
      <c r="N88" s="42"/>
      <c r="O88" s="323"/>
      <c r="P88" s="42"/>
      <c r="Q88" s="323"/>
      <c r="R88" s="42"/>
      <c r="S88" s="323"/>
      <c r="T88" s="59"/>
      <c r="U88" s="323"/>
      <c r="V88" s="59"/>
      <c r="W88" s="60">
        <f>SUM(G88,I88,K88,M88,O88,Q88,S88,U88)</f>
        <v>0</v>
      </c>
    </row>
    <row r="89" spans="3:23" ht="13.5" thickBot="1" x14ac:dyDescent="0.25">
      <c r="C89" s="48"/>
      <c r="G89" s="42"/>
      <c r="H89" s="42"/>
      <c r="I89" s="42"/>
      <c r="J89" s="42"/>
      <c r="K89" s="42"/>
      <c r="L89" s="42"/>
      <c r="M89" s="42"/>
      <c r="N89" s="42"/>
      <c r="O89" s="42"/>
      <c r="P89" s="42"/>
      <c r="Q89" s="42"/>
      <c r="R89" s="42"/>
      <c r="S89" s="42"/>
      <c r="U89" s="42"/>
      <c r="W89" s="69"/>
    </row>
    <row r="90" spans="3:23" x14ac:dyDescent="0.2">
      <c r="C90" s="48" t="s">
        <v>42</v>
      </c>
      <c r="E90" s="326"/>
      <c r="G90" s="323"/>
      <c r="H90" s="41"/>
      <c r="I90" s="323"/>
      <c r="J90" s="42"/>
      <c r="K90" s="323"/>
      <c r="L90" s="42"/>
      <c r="M90" s="323"/>
      <c r="N90" s="42"/>
      <c r="O90" s="323"/>
      <c r="P90" s="42"/>
      <c r="Q90" s="323"/>
      <c r="R90" s="42"/>
      <c r="S90" s="323"/>
      <c r="T90" s="59"/>
      <c r="U90" s="323"/>
      <c r="V90" s="59"/>
      <c r="W90" s="60">
        <f>SUM(G90,I90,K90,M90,O90,Q90,S90,U90)</f>
        <v>0</v>
      </c>
    </row>
    <row r="91" spans="3:23" ht="13.5" thickBot="1" x14ac:dyDescent="0.25">
      <c r="C91" s="48"/>
      <c r="G91" s="42"/>
      <c r="H91" s="42"/>
      <c r="I91" s="42"/>
      <c r="J91" s="42"/>
      <c r="K91" s="42"/>
      <c r="L91" s="42"/>
      <c r="M91" s="42"/>
      <c r="N91" s="42"/>
      <c r="O91" s="42"/>
      <c r="P91" s="42"/>
      <c r="Q91" s="42"/>
      <c r="R91" s="42"/>
      <c r="S91" s="42"/>
      <c r="U91" s="42"/>
      <c r="W91" s="69"/>
    </row>
    <row r="92" spans="3:23" x14ac:dyDescent="0.2">
      <c r="C92" s="48" t="s">
        <v>43</v>
      </c>
      <c r="E92" s="326"/>
      <c r="G92" s="323"/>
      <c r="H92" s="41"/>
      <c r="I92" s="323"/>
      <c r="J92" s="42"/>
      <c r="K92" s="323"/>
      <c r="L92" s="42"/>
      <c r="M92" s="323"/>
      <c r="N92" s="42"/>
      <c r="O92" s="323"/>
      <c r="P92" s="42"/>
      <c r="Q92" s="323"/>
      <c r="R92" s="42"/>
      <c r="S92" s="323"/>
      <c r="T92" s="59"/>
      <c r="U92" s="323"/>
      <c r="V92" s="59"/>
      <c r="W92" s="60">
        <f>SUM(G92,I92,K92,M92,O92,Q92,S92,U92)</f>
        <v>0</v>
      </c>
    </row>
    <row r="93" spans="3:23" ht="13.5" thickBot="1" x14ac:dyDescent="0.25">
      <c r="C93" s="39"/>
      <c r="G93" s="70"/>
      <c r="S93" s="70"/>
      <c r="U93" s="70"/>
      <c r="W93" s="77"/>
    </row>
    <row r="94" spans="3:23" ht="13.5" thickBot="1" x14ac:dyDescent="0.25">
      <c r="C94" s="39" t="s">
        <v>44</v>
      </c>
      <c r="G94" s="69">
        <f>SUM(G82,G84,G86,G88,G90,G92)</f>
        <v>0</v>
      </c>
      <c r="H94" s="69"/>
      <c r="I94" s="78">
        <f>SUM(I82,I84,I86,I88,I90,I92)</f>
        <v>0</v>
      </c>
      <c r="J94" s="69"/>
      <c r="K94" s="71">
        <f>SUM(K82,K84,K86,K88,K90,K92)</f>
        <v>0</v>
      </c>
      <c r="L94" s="69"/>
      <c r="M94" s="78">
        <f>SUM(M82,M84,M86,M88,M90,M92)</f>
        <v>0</v>
      </c>
      <c r="N94" s="69"/>
      <c r="O94" s="71">
        <f>SUM(O82,O84,O86,O88,O90,O92)</f>
        <v>53406</v>
      </c>
      <c r="P94" s="69"/>
      <c r="Q94" s="78">
        <f>SUM(Q82,Q84,Q86,Q88,Q90,Q92)</f>
        <v>13982</v>
      </c>
      <c r="R94" s="69"/>
      <c r="S94" s="69">
        <f>SUM(S82,S84,S86,S88,S90,S92)</f>
        <v>0</v>
      </c>
      <c r="T94" s="69"/>
      <c r="U94" s="69">
        <f>SUM(U82,U84,U86,U88,U90,U92)</f>
        <v>0</v>
      </c>
      <c r="V94" s="69"/>
      <c r="W94" s="71">
        <f>SUM(W82,W84,W86,W88,W90,W92)</f>
        <v>67388</v>
      </c>
    </row>
    <row r="95" spans="3:23" ht="14.25" thickTop="1" thickBot="1" x14ac:dyDescent="0.25">
      <c r="C95" s="39"/>
      <c r="G95" s="72"/>
      <c r="H95" s="69"/>
      <c r="I95" s="81"/>
      <c r="J95" s="69"/>
      <c r="K95" s="69"/>
      <c r="L95" s="69"/>
      <c r="M95" s="81"/>
      <c r="N95" s="69"/>
      <c r="O95" s="81"/>
      <c r="P95" s="69"/>
      <c r="Q95" s="81"/>
      <c r="R95" s="69"/>
      <c r="S95" s="81"/>
      <c r="T95" s="69"/>
      <c r="U95" s="81"/>
      <c r="V95" s="69"/>
      <c r="W95" s="69"/>
    </row>
    <row r="96" spans="3:23" ht="14.25" thickTop="1" thickBot="1" x14ac:dyDescent="0.25">
      <c r="C96" s="39" t="s">
        <v>49</v>
      </c>
      <c r="G96" s="82">
        <f>SUM(G50,G60,G70,G77,G94)</f>
        <v>0</v>
      </c>
      <c r="H96" s="69"/>
      <c r="I96" s="69">
        <f>SUM(I50,I60,I70,I77,I94)</f>
        <v>0</v>
      </c>
      <c r="J96" s="69"/>
      <c r="K96" s="83">
        <f>SUM(K50,K60,K70,K77,K94)</f>
        <v>0</v>
      </c>
      <c r="L96" s="69"/>
      <c r="M96" s="83">
        <f>SUM(M50,M60,M70,M77,M94)</f>
        <v>339696</v>
      </c>
      <c r="N96" s="69"/>
      <c r="O96" s="83">
        <f>SUM(O50,O60,O70,O77,O94)</f>
        <v>207257</v>
      </c>
      <c r="P96" s="69"/>
      <c r="Q96" s="69">
        <f>SUM(Q50,Q60,Q70,Q77,Q94)</f>
        <v>18824</v>
      </c>
      <c r="R96" s="69"/>
      <c r="S96" s="69">
        <f>SUM(S50,S60,S70,S77,S94)</f>
        <v>0</v>
      </c>
      <c r="T96" s="69"/>
      <c r="U96" s="69">
        <f>SUM(U50,U60,U70,U77,U94)</f>
        <v>0</v>
      </c>
      <c r="V96" s="69"/>
      <c r="W96" s="82">
        <f>SUM(W50,W60,W70,W77,W94)</f>
        <v>565777</v>
      </c>
    </row>
    <row r="97" spans="2:23" ht="13.5" thickTop="1" x14ac:dyDescent="0.2">
      <c r="G97" s="84"/>
      <c r="I97" s="52"/>
      <c r="Q97" s="52"/>
      <c r="S97" s="52"/>
      <c r="U97" s="52"/>
      <c r="W97" s="72"/>
    </row>
    <row r="98" spans="2:23" x14ac:dyDescent="0.2">
      <c r="E98" s="37" t="str">
        <f>E79</f>
        <v>Asset Type</v>
      </c>
      <c r="F98" s="37"/>
      <c r="G98" s="37"/>
      <c r="H98" s="37"/>
      <c r="I98" s="37"/>
      <c r="J98" s="37"/>
      <c r="K98" s="37"/>
      <c r="L98" s="37"/>
      <c r="M98" s="37"/>
      <c r="N98" s="37"/>
      <c r="O98" s="37"/>
      <c r="P98" s="37"/>
      <c r="Q98" s="37"/>
      <c r="R98" s="37"/>
      <c r="S98" s="38"/>
      <c r="T98" s="37"/>
      <c r="U98" s="38"/>
      <c r="V98" s="37"/>
      <c r="W98" s="66"/>
    </row>
    <row r="99" spans="2:23" ht="26.25" customHeight="1" x14ac:dyDescent="0.2">
      <c r="C99" s="39" t="s">
        <v>46</v>
      </c>
      <c r="G99" s="57" t="str">
        <f>G80</f>
        <v>Audited Actual</v>
      </c>
      <c r="H99" s="57"/>
      <c r="I99" s="57" t="str">
        <f>I80</f>
        <v>Audited Actual</v>
      </c>
      <c r="J99" s="57"/>
      <c r="K99" s="57" t="str">
        <f>K80</f>
        <v>Audited Actual</v>
      </c>
      <c r="L99" s="57"/>
      <c r="M99" s="57" t="str">
        <f>M80</f>
        <v>Audited Actual</v>
      </c>
      <c r="N99" s="57"/>
      <c r="O99" s="57" t="str">
        <f>O80</f>
        <v>Audited Actual</v>
      </c>
      <c r="P99" s="57"/>
      <c r="Q99" s="57" t="str">
        <f>Q80</f>
        <v>Audited Actual</v>
      </c>
      <c r="R99" s="57"/>
      <c r="S99" s="57" t="str">
        <f>S80</f>
        <v>Forecast</v>
      </c>
      <c r="U99" s="57" t="str">
        <f>U80</f>
        <v>Forecast</v>
      </c>
      <c r="W99" s="69"/>
    </row>
    <row r="100" spans="2:23" ht="13.5" thickBot="1" x14ac:dyDescent="0.25">
      <c r="C100" s="85" t="s">
        <v>47</v>
      </c>
      <c r="W100" s="69"/>
    </row>
    <row r="101" spans="2:23" ht="29.25" customHeight="1" x14ac:dyDescent="0.2">
      <c r="C101" s="370" t="s">
        <v>272</v>
      </c>
      <c r="D101" s="370"/>
      <c r="E101" s="327"/>
      <c r="G101" s="323"/>
      <c r="H101" s="41"/>
      <c r="I101" s="323"/>
      <c r="J101" s="42"/>
      <c r="K101" s="323"/>
      <c r="L101" s="42"/>
      <c r="M101" s="323"/>
      <c r="N101" s="42"/>
      <c r="O101" s="323"/>
      <c r="P101" s="42"/>
      <c r="Q101" s="323"/>
      <c r="R101" s="42"/>
      <c r="S101" s="323"/>
      <c r="T101" s="59"/>
      <c r="U101" s="323"/>
      <c r="V101" s="59"/>
      <c r="W101" s="60">
        <f>SUM(G101,I101,K101,M101,O101,Q101,S101,U101)</f>
        <v>0</v>
      </c>
    </row>
    <row r="102" spans="2:23" ht="13.5" thickBot="1" x14ac:dyDescent="0.25">
      <c r="C102" s="48"/>
      <c r="D102" s="86"/>
      <c r="G102" s="42"/>
      <c r="H102" s="42"/>
      <c r="I102" s="42"/>
      <c r="J102" s="42"/>
      <c r="K102" s="42"/>
      <c r="L102" s="42"/>
      <c r="M102" s="42"/>
      <c r="N102" s="42"/>
      <c r="O102" s="42"/>
      <c r="P102" s="42"/>
      <c r="Q102" s="42"/>
      <c r="R102" s="42"/>
      <c r="S102" s="42"/>
      <c r="U102" s="42"/>
      <c r="W102" s="69"/>
    </row>
    <row r="103" spans="2:23" ht="29.25" customHeight="1" x14ac:dyDescent="0.2">
      <c r="C103" s="370" t="s">
        <v>273</v>
      </c>
      <c r="D103" s="370"/>
      <c r="E103" s="327"/>
      <c r="G103" s="323"/>
      <c r="H103" s="41"/>
      <c r="I103" s="323"/>
      <c r="J103" s="42"/>
      <c r="K103" s="323"/>
      <c r="L103" s="42"/>
      <c r="M103" s="323"/>
      <c r="N103" s="42"/>
      <c r="O103" s="323"/>
      <c r="P103" s="42"/>
      <c r="Q103" s="323"/>
      <c r="R103" s="42"/>
      <c r="S103" s="323"/>
      <c r="T103" s="59"/>
      <c r="U103" s="323"/>
      <c r="V103" s="59"/>
      <c r="W103" s="60">
        <f>SUM(G103,I103,K103,M103,O103,Q103,S103,U103)</f>
        <v>0</v>
      </c>
    </row>
    <row r="104" spans="2:23" ht="13.5" thickBot="1" x14ac:dyDescent="0.25">
      <c r="C104" s="48"/>
      <c r="D104" s="86"/>
      <c r="G104" s="42"/>
      <c r="H104" s="42"/>
      <c r="I104" s="42"/>
      <c r="J104" s="42"/>
      <c r="K104" s="42"/>
      <c r="L104" s="42"/>
      <c r="M104" s="42"/>
      <c r="N104" s="42"/>
      <c r="O104" s="42"/>
      <c r="P104" s="42"/>
      <c r="Q104" s="42"/>
      <c r="R104" s="42"/>
      <c r="S104" s="42"/>
      <c r="U104" s="42"/>
      <c r="W104" s="69"/>
    </row>
    <row r="105" spans="2:23" ht="29.25" customHeight="1" x14ac:dyDescent="0.2">
      <c r="C105" s="370" t="s">
        <v>274</v>
      </c>
      <c r="D105" s="370"/>
      <c r="E105" s="327"/>
      <c r="G105" s="323"/>
      <c r="H105" s="41"/>
      <c r="I105" s="323"/>
      <c r="J105" s="42"/>
      <c r="K105" s="323"/>
      <c r="L105" s="42"/>
      <c r="M105" s="323"/>
      <c r="N105" s="42"/>
      <c r="O105" s="323"/>
      <c r="P105" s="42"/>
      <c r="Q105" s="323"/>
      <c r="R105" s="42"/>
      <c r="S105" s="323"/>
      <c r="T105" s="59"/>
      <c r="U105" s="323"/>
      <c r="V105" s="59"/>
      <c r="W105" s="60">
        <f>SUM(G105,I105,K105,M105,O105,Q105,S105,U105)</f>
        <v>0</v>
      </c>
    </row>
    <row r="106" spans="2:23" ht="13.5" thickBot="1" x14ac:dyDescent="0.25">
      <c r="G106" s="70"/>
      <c r="M106" s="70"/>
      <c r="O106" s="70"/>
      <c r="W106" s="77"/>
    </row>
    <row r="107" spans="2:23" ht="13.5" thickBot="1" x14ac:dyDescent="0.25">
      <c r="C107" s="39" t="s">
        <v>48</v>
      </c>
      <c r="G107" s="69">
        <f>SUM(G101,G103,G105)</f>
        <v>0</v>
      </c>
      <c r="H107" s="69"/>
      <c r="I107" s="71">
        <f>SUM(I101,I103,I105)</f>
        <v>0</v>
      </c>
      <c r="J107" s="69"/>
      <c r="K107" s="71">
        <f>SUM(K101,K103,K105)</f>
        <v>0</v>
      </c>
      <c r="L107" s="69"/>
      <c r="M107" s="69">
        <f>SUM(M101,M103,M105)</f>
        <v>0</v>
      </c>
      <c r="N107" s="69"/>
      <c r="O107" s="71">
        <f>SUM(O101,O103,O105)</f>
        <v>0</v>
      </c>
      <c r="P107" s="69"/>
      <c r="Q107" s="71">
        <f>SUM(Q101,Q103,Q105)</f>
        <v>0</v>
      </c>
      <c r="R107" s="69"/>
      <c r="S107" s="71">
        <f>SUM(S101,S103,S105)</f>
        <v>0</v>
      </c>
      <c r="T107" s="69"/>
      <c r="U107" s="71">
        <f>SUM(U101,U103,U105)</f>
        <v>0</v>
      </c>
      <c r="V107" s="69"/>
      <c r="W107" s="71">
        <f>SUM(W101,W103,W105)</f>
        <v>0</v>
      </c>
    </row>
    <row r="108" spans="2:23" ht="14.25" thickTop="1" thickBot="1" x14ac:dyDescent="0.25">
      <c r="G108" s="72"/>
      <c r="H108" s="69"/>
      <c r="I108" s="69"/>
      <c r="J108" s="69"/>
      <c r="K108" s="69"/>
      <c r="L108" s="69"/>
      <c r="M108" s="72"/>
      <c r="N108" s="69"/>
      <c r="O108" s="69"/>
      <c r="P108" s="69"/>
      <c r="Q108" s="69"/>
      <c r="R108" s="69"/>
      <c r="S108" s="81"/>
      <c r="T108" s="69"/>
      <c r="U108" s="81"/>
      <c r="V108" s="69"/>
      <c r="W108" s="81"/>
    </row>
    <row r="109" spans="2:23" ht="14.25" thickTop="1" thickBot="1" x14ac:dyDescent="0.25">
      <c r="C109" s="39" t="s">
        <v>50</v>
      </c>
      <c r="G109" s="82">
        <f>G96+G107</f>
        <v>0</v>
      </c>
      <c r="H109" s="69"/>
      <c r="I109" s="83">
        <f>I96+I107</f>
        <v>0</v>
      </c>
      <c r="J109" s="69"/>
      <c r="K109" s="82">
        <f>K96+K107</f>
        <v>0</v>
      </c>
      <c r="L109" s="69"/>
      <c r="M109" s="83">
        <f>M96+M107</f>
        <v>339696</v>
      </c>
      <c r="N109" s="69"/>
      <c r="O109" s="83">
        <f>O96+O107</f>
        <v>207257</v>
      </c>
      <c r="P109" s="69"/>
      <c r="Q109" s="83">
        <f>Q96+Q107</f>
        <v>18824</v>
      </c>
      <c r="R109" s="69"/>
      <c r="S109" s="69">
        <f>S96+S107</f>
        <v>0</v>
      </c>
      <c r="T109" s="69"/>
      <c r="U109" s="69">
        <f>U96+U107</f>
        <v>0</v>
      </c>
      <c r="V109" s="69"/>
      <c r="W109" s="83">
        <f>W96+W107</f>
        <v>565777</v>
      </c>
    </row>
    <row r="110" spans="2:23" ht="13.5" thickTop="1" x14ac:dyDescent="0.2">
      <c r="G110" s="52"/>
      <c r="K110" s="52"/>
      <c r="S110" s="52"/>
      <c r="U110" s="52"/>
      <c r="W110" s="69"/>
    </row>
    <row r="111" spans="2:23" ht="15.75" x14ac:dyDescent="0.25">
      <c r="B111" s="34">
        <v>2</v>
      </c>
      <c r="C111" s="34" t="s">
        <v>51</v>
      </c>
      <c r="G111" s="37"/>
      <c r="H111" s="37"/>
      <c r="I111" s="37"/>
      <c r="J111" s="37"/>
      <c r="K111" s="37"/>
      <c r="L111" s="37"/>
      <c r="M111" s="37"/>
      <c r="N111" s="37"/>
      <c r="O111" s="37"/>
      <c r="P111" s="37"/>
      <c r="Q111" s="37"/>
      <c r="R111" s="37"/>
      <c r="S111" s="38"/>
      <c r="T111" s="37"/>
      <c r="U111" s="38"/>
      <c r="V111" s="37"/>
      <c r="W111" s="66"/>
    </row>
    <row r="112" spans="2:23" ht="26.25" customHeight="1" x14ac:dyDescent="0.2">
      <c r="C112" s="48" t="s">
        <v>52</v>
      </c>
      <c r="G112" s="57" t="str">
        <f>G99</f>
        <v>Audited Actual</v>
      </c>
      <c r="H112" s="57"/>
      <c r="I112" s="57" t="str">
        <f>I99</f>
        <v>Audited Actual</v>
      </c>
      <c r="J112" s="57"/>
      <c r="K112" s="57" t="str">
        <f>K99</f>
        <v>Audited Actual</v>
      </c>
      <c r="L112" s="57"/>
      <c r="M112" s="57" t="str">
        <f>M99</f>
        <v>Audited Actual</v>
      </c>
      <c r="N112" s="57"/>
      <c r="O112" s="57" t="str">
        <f>O99</f>
        <v>Audited Actual</v>
      </c>
      <c r="P112" s="57"/>
      <c r="Q112" s="57" t="str">
        <f>Q99</f>
        <v>Audited Actual</v>
      </c>
      <c r="R112" s="57"/>
      <c r="S112" s="57" t="str">
        <f>S99</f>
        <v>Forecast</v>
      </c>
      <c r="U112" s="57" t="str">
        <f>U99</f>
        <v>Forecast</v>
      </c>
      <c r="W112" s="69"/>
    </row>
    <row r="113" spans="3:23" ht="13.5" thickBot="1" x14ac:dyDescent="0.25">
      <c r="C113" s="48"/>
      <c r="W113" s="69"/>
    </row>
    <row r="114" spans="3:23" x14ac:dyDescent="0.2">
      <c r="C114" s="48" t="s">
        <v>53</v>
      </c>
      <c r="G114" s="323"/>
      <c r="H114" s="41"/>
      <c r="I114" s="323"/>
      <c r="J114" s="42"/>
      <c r="K114" s="323"/>
      <c r="L114" s="42"/>
      <c r="M114" s="323"/>
      <c r="N114" s="42"/>
      <c r="O114" s="323"/>
      <c r="P114" s="42"/>
      <c r="Q114" s="323"/>
      <c r="R114" s="42"/>
      <c r="S114" s="323"/>
      <c r="T114" s="59"/>
      <c r="U114" s="323"/>
      <c r="V114" s="59"/>
      <c r="W114" s="60">
        <f>SUM(G114,I114,K114,M114,O114,Q114,S114,U114)</f>
        <v>0</v>
      </c>
    </row>
    <row r="115" spans="3:23" ht="13.5" thickBot="1" x14ac:dyDescent="0.25">
      <c r="C115" s="48"/>
      <c r="G115" s="42"/>
      <c r="H115" s="42"/>
      <c r="I115" s="42"/>
      <c r="J115" s="42"/>
      <c r="K115" s="42"/>
      <c r="L115" s="42"/>
      <c r="M115" s="42"/>
      <c r="N115" s="42"/>
      <c r="O115" s="42"/>
      <c r="P115" s="42"/>
      <c r="Q115" s="42"/>
      <c r="R115" s="42"/>
      <c r="S115" s="42"/>
      <c r="U115" s="42"/>
      <c r="W115" s="69"/>
    </row>
    <row r="116" spans="3:23" x14ac:dyDescent="0.2">
      <c r="C116" s="48" t="s">
        <v>55</v>
      </c>
      <c r="D116" s="324"/>
      <c r="E116" s="87"/>
      <c r="G116" s="323"/>
      <c r="H116" s="41"/>
      <c r="I116" s="323"/>
      <c r="J116" s="42"/>
      <c r="K116" s="323"/>
      <c r="L116" s="42"/>
      <c r="M116" s="323"/>
      <c r="N116" s="42"/>
      <c r="O116" s="323"/>
      <c r="P116" s="42"/>
      <c r="Q116" s="323"/>
      <c r="R116" s="42"/>
      <c r="S116" s="323"/>
      <c r="T116" s="59"/>
      <c r="U116" s="323"/>
      <c r="V116" s="59"/>
      <c r="W116" s="60">
        <f>SUM(G116,I116,K116,M116,O116,Q116,S116,U116)</f>
        <v>0</v>
      </c>
    </row>
    <row r="117" spans="3:23" ht="13.5" thickBot="1" x14ac:dyDescent="0.25">
      <c r="M117" s="70"/>
      <c r="Q117" s="70"/>
      <c r="W117" s="77"/>
    </row>
    <row r="118" spans="3:23" ht="13.5" thickBot="1" x14ac:dyDescent="0.25">
      <c r="C118" s="39" t="s">
        <v>54</v>
      </c>
      <c r="G118" s="71">
        <f>SUM(G114,G116)</f>
        <v>0</v>
      </c>
      <c r="H118" s="69"/>
      <c r="I118" s="78">
        <f>SUM(I114,I116)</f>
        <v>0</v>
      </c>
      <c r="J118" s="69"/>
      <c r="K118" s="78">
        <f>SUM(K114,K116)</f>
        <v>0</v>
      </c>
      <c r="L118" s="69"/>
      <c r="M118" s="69">
        <f>SUM(M114,M116)</f>
        <v>0</v>
      </c>
      <c r="N118" s="69"/>
      <c r="O118" s="71">
        <f>SUM(O114,O116)</f>
        <v>0</v>
      </c>
      <c r="P118" s="69"/>
      <c r="Q118" s="69">
        <f>SUM(Q114,Q116)</f>
        <v>0</v>
      </c>
      <c r="R118" s="69"/>
      <c r="S118" s="78">
        <f>SUM(S114,S116)</f>
        <v>0</v>
      </c>
      <c r="T118" s="69"/>
      <c r="U118" s="78">
        <f>SUM(U114,U116)</f>
        <v>0</v>
      </c>
      <c r="V118" s="69"/>
      <c r="W118" s="79">
        <f>SUM(W114,W116)</f>
        <v>0</v>
      </c>
    </row>
    <row r="119" spans="3:23" ht="12.75" customHeight="1" thickTop="1" x14ac:dyDescent="0.2">
      <c r="I119" s="52"/>
      <c r="K119" s="52"/>
      <c r="M119" s="52"/>
      <c r="Q119" s="52"/>
      <c r="S119" s="52"/>
      <c r="U119" s="52"/>
      <c r="W119" s="69"/>
    </row>
    <row r="120" spans="3:23" x14ac:dyDescent="0.2">
      <c r="C120" s="48" t="s">
        <v>58</v>
      </c>
      <c r="I120" s="29"/>
      <c r="K120" s="29"/>
      <c r="M120" s="29"/>
      <c r="Q120" s="29"/>
      <c r="S120" s="29"/>
      <c r="U120" s="29"/>
      <c r="W120" s="69"/>
    </row>
    <row r="121" spans="3:23" ht="13.5" thickBot="1" x14ac:dyDescent="0.25">
      <c r="C121" s="48"/>
      <c r="I121" s="29"/>
      <c r="K121" s="29"/>
      <c r="M121" s="29"/>
      <c r="Q121" s="29"/>
      <c r="S121" s="29"/>
      <c r="U121" s="29"/>
      <c r="W121" s="69"/>
    </row>
    <row r="122" spans="3:23" x14ac:dyDescent="0.2">
      <c r="C122" s="48" t="s">
        <v>60</v>
      </c>
      <c r="G122" s="323"/>
      <c r="H122" s="41"/>
      <c r="I122" s="323"/>
      <c r="J122" s="42"/>
      <c r="K122" s="323"/>
      <c r="L122" s="42"/>
      <c r="M122" s="323"/>
      <c r="N122" s="42"/>
      <c r="O122" s="323"/>
      <c r="P122" s="42"/>
      <c r="Q122" s="323"/>
      <c r="R122" s="42"/>
      <c r="S122" s="323"/>
      <c r="T122" s="59"/>
      <c r="U122" s="323"/>
      <c r="V122" s="59"/>
      <c r="W122" s="60">
        <f>SUM(G122,I122,K122,M122,O122,Q122,S122,U122)</f>
        <v>0</v>
      </c>
    </row>
    <row r="123" spans="3:23" ht="13.5" thickBot="1" x14ac:dyDescent="0.25">
      <c r="C123" s="48"/>
      <c r="G123" s="42"/>
      <c r="H123" s="42"/>
      <c r="I123" s="42"/>
      <c r="J123" s="42"/>
      <c r="K123" s="42"/>
      <c r="L123" s="42"/>
      <c r="M123" s="42"/>
      <c r="N123" s="42"/>
      <c r="O123" s="42"/>
      <c r="P123" s="42"/>
      <c r="Q123" s="42"/>
      <c r="R123" s="42"/>
      <c r="S123" s="42"/>
      <c r="U123" s="42"/>
      <c r="W123" s="69"/>
    </row>
    <row r="124" spans="3:23" x14ac:dyDescent="0.2">
      <c r="C124" s="48" t="s">
        <v>56</v>
      </c>
      <c r="D124" s="324"/>
      <c r="E124" s="87"/>
      <c r="G124" s="323"/>
      <c r="H124" s="41"/>
      <c r="I124" s="323"/>
      <c r="J124" s="42"/>
      <c r="K124" s="323"/>
      <c r="L124" s="42"/>
      <c r="M124" s="323"/>
      <c r="N124" s="42"/>
      <c r="O124" s="323"/>
      <c r="P124" s="42"/>
      <c r="Q124" s="323"/>
      <c r="R124" s="42"/>
      <c r="S124" s="323"/>
      <c r="T124" s="59"/>
      <c r="U124" s="323"/>
      <c r="V124" s="59"/>
      <c r="W124" s="60">
        <f>SUM(G124,I124,K124,M124,O124,Q124,S124,U124)</f>
        <v>0</v>
      </c>
    </row>
    <row r="125" spans="3:23" ht="13.5" thickBot="1" x14ac:dyDescent="0.25">
      <c r="M125" s="70"/>
      <c r="Q125" s="70"/>
      <c r="W125" s="77"/>
    </row>
    <row r="126" spans="3:23" ht="13.5" thickBot="1" x14ac:dyDescent="0.25">
      <c r="C126" s="39" t="s">
        <v>59</v>
      </c>
      <c r="G126" s="71">
        <f>SUM(G122,G124)</f>
        <v>0</v>
      </c>
      <c r="H126" s="69"/>
      <c r="I126" s="71">
        <f>SUM(I122,I124)</f>
        <v>0</v>
      </c>
      <c r="J126" s="69"/>
      <c r="K126" s="71">
        <f>SUM(K122,K124)</f>
        <v>0</v>
      </c>
      <c r="L126" s="69"/>
      <c r="M126" s="69">
        <f>SUM(M122,M124)</f>
        <v>0</v>
      </c>
      <c r="N126" s="69"/>
      <c r="O126" s="71">
        <f>SUM(O122,O124)</f>
        <v>0</v>
      </c>
      <c r="P126" s="69"/>
      <c r="Q126" s="71">
        <f>SUM(Q122,Q124)</f>
        <v>0</v>
      </c>
      <c r="R126" s="69"/>
      <c r="S126" s="78">
        <f>SUM(S122,S124)</f>
        <v>0</v>
      </c>
      <c r="T126" s="69"/>
      <c r="U126" s="78">
        <f>SUM(U122,U124)</f>
        <v>0</v>
      </c>
      <c r="V126" s="69"/>
      <c r="W126" s="79">
        <f>SUM(W122,W124)</f>
        <v>0</v>
      </c>
    </row>
    <row r="127" spans="3:23" ht="12.75" customHeight="1" thickTop="1" x14ac:dyDescent="0.2">
      <c r="I127" s="29"/>
      <c r="K127" s="29"/>
      <c r="M127" s="52"/>
      <c r="Q127" s="29"/>
      <c r="S127" s="52"/>
      <c r="U127" s="52"/>
      <c r="W127" s="69"/>
    </row>
    <row r="128" spans="3:23" x14ac:dyDescent="0.2">
      <c r="C128" s="48" t="s">
        <v>61</v>
      </c>
      <c r="W128" s="69"/>
    </row>
    <row r="129" spans="3:23" ht="13.5" thickBot="1" x14ac:dyDescent="0.25">
      <c r="C129" s="48"/>
      <c r="W129" s="69"/>
    </row>
    <row r="130" spans="3:23" x14ac:dyDescent="0.2">
      <c r="C130" s="48" t="s">
        <v>234</v>
      </c>
      <c r="G130" s="323"/>
      <c r="H130" s="41"/>
      <c r="I130" s="323"/>
      <c r="J130" s="42"/>
      <c r="K130" s="323"/>
      <c r="L130" s="42"/>
      <c r="M130" s="323"/>
      <c r="N130" s="42"/>
      <c r="O130" s="323"/>
      <c r="P130" s="42"/>
      <c r="Q130" s="323"/>
      <c r="R130" s="42"/>
      <c r="S130" s="323"/>
      <c r="T130" s="59"/>
      <c r="U130" s="323"/>
      <c r="V130" s="59"/>
      <c r="W130" s="60">
        <f>SUM(G130,I130,K130,M130,O130,Q130,S130,U130)</f>
        <v>0</v>
      </c>
    </row>
    <row r="131" spans="3:23" ht="13.5" thickBot="1" x14ac:dyDescent="0.25">
      <c r="C131" s="48"/>
      <c r="G131" s="88"/>
      <c r="H131" s="88"/>
      <c r="I131" s="88"/>
      <c r="J131" s="89"/>
      <c r="K131" s="88"/>
      <c r="L131" s="89"/>
      <c r="M131" s="88"/>
      <c r="N131" s="89"/>
      <c r="O131" s="88"/>
      <c r="P131" s="89"/>
      <c r="Q131" s="88"/>
      <c r="R131" s="89"/>
      <c r="S131" s="88"/>
      <c r="T131" s="90"/>
      <c r="U131" s="88"/>
      <c r="V131" s="90"/>
      <c r="W131" s="60"/>
    </row>
    <row r="132" spans="3:23" x14ac:dyDescent="0.2">
      <c r="C132" s="48" t="s">
        <v>317</v>
      </c>
      <c r="G132" s="323"/>
      <c r="H132" s="41"/>
      <c r="I132" s="323"/>
      <c r="J132" s="42"/>
      <c r="K132" s="323"/>
      <c r="L132" s="42"/>
      <c r="M132" s="323"/>
      <c r="N132" s="42"/>
      <c r="O132" s="323"/>
      <c r="P132" s="42"/>
      <c r="Q132" s="323"/>
      <c r="R132" s="42"/>
      <c r="S132" s="323"/>
      <c r="T132" s="59"/>
      <c r="U132" s="323"/>
      <c r="V132" s="59"/>
      <c r="W132" s="60">
        <f>SUM(G132,I132,K132,M132,O132,Q132,S132,U132)</f>
        <v>0</v>
      </c>
    </row>
    <row r="133" spans="3:23" ht="13.5" thickBot="1" x14ac:dyDescent="0.25">
      <c r="C133" s="48"/>
      <c r="G133" s="42"/>
      <c r="H133" s="42"/>
      <c r="I133" s="42"/>
      <c r="J133" s="42"/>
      <c r="K133" s="42"/>
      <c r="L133" s="42"/>
      <c r="M133" s="42"/>
      <c r="N133" s="42"/>
      <c r="O133" s="42"/>
      <c r="P133" s="42"/>
      <c r="Q133" s="42"/>
      <c r="R133" s="42"/>
      <c r="S133" s="42"/>
      <c r="U133" s="42"/>
      <c r="W133" s="69"/>
    </row>
    <row r="134" spans="3:23" x14ac:dyDescent="0.2">
      <c r="C134" s="48" t="s">
        <v>62</v>
      </c>
      <c r="D134" s="324"/>
      <c r="E134" s="87"/>
      <c r="G134" s="323"/>
      <c r="H134" s="41"/>
      <c r="I134" s="323"/>
      <c r="J134" s="42"/>
      <c r="K134" s="323"/>
      <c r="L134" s="42"/>
      <c r="M134" s="323"/>
      <c r="N134" s="42"/>
      <c r="O134" s="323"/>
      <c r="P134" s="42"/>
      <c r="Q134" s="323"/>
      <c r="R134" s="42"/>
      <c r="S134" s="323"/>
      <c r="T134" s="59"/>
      <c r="U134" s="323"/>
      <c r="V134" s="59"/>
      <c r="W134" s="60">
        <f>SUM(G134,I134,K134,M134,O134,Q134,S134,U134)</f>
        <v>0</v>
      </c>
    </row>
    <row r="135" spans="3:23" ht="13.5" thickBot="1" x14ac:dyDescent="0.25">
      <c r="M135" s="70"/>
      <c r="Q135" s="70"/>
      <c r="W135" s="77"/>
    </row>
    <row r="136" spans="3:23" ht="13.5" thickBot="1" x14ac:dyDescent="0.25">
      <c r="C136" s="39" t="s">
        <v>57</v>
      </c>
      <c r="G136" s="71">
        <f>SUM(G130,G132,G134)</f>
        <v>0</v>
      </c>
      <c r="H136" s="69"/>
      <c r="I136" s="71">
        <f>SUM(I130,I132,I134)</f>
        <v>0</v>
      </c>
      <c r="J136" s="69"/>
      <c r="K136" s="71">
        <f>SUM(K130,K132,K134)</f>
        <v>0</v>
      </c>
      <c r="L136" s="69"/>
      <c r="M136" s="71">
        <f>SUM(M130,M132,M134)</f>
        <v>0</v>
      </c>
      <c r="N136" s="69"/>
      <c r="O136" s="71">
        <f>SUM(O130,O132,O134)</f>
        <v>0</v>
      </c>
      <c r="P136" s="69"/>
      <c r="Q136" s="71">
        <f>SUM(Q130,Q132,Q134)</f>
        <v>0</v>
      </c>
      <c r="R136" s="69"/>
      <c r="S136" s="71">
        <f>SUM(S130,S132,S134)</f>
        <v>0</v>
      </c>
      <c r="T136" s="69"/>
      <c r="U136" s="71">
        <f>SUM(U130,U132,U134)</f>
        <v>0</v>
      </c>
      <c r="V136" s="69"/>
      <c r="W136" s="71">
        <f>SUM(W130,W132,W134)</f>
        <v>0</v>
      </c>
    </row>
    <row r="137" spans="3:23" ht="12.75" customHeight="1" thickTop="1" x14ac:dyDescent="0.2">
      <c r="W137" s="69"/>
    </row>
    <row r="138" spans="3:23" x14ac:dyDescent="0.2">
      <c r="C138" s="39" t="s">
        <v>63</v>
      </c>
      <c r="W138" s="69"/>
    </row>
    <row r="139" spans="3:23" ht="13.5" thickBot="1" x14ac:dyDescent="0.25">
      <c r="W139" s="69"/>
    </row>
    <row r="140" spans="3:23" x14ac:dyDescent="0.2">
      <c r="C140" s="48" t="s">
        <v>64</v>
      </c>
      <c r="G140" s="323"/>
      <c r="H140" s="41"/>
      <c r="I140" s="323"/>
      <c r="J140" s="42"/>
      <c r="K140" s="323"/>
      <c r="L140" s="42"/>
      <c r="M140" s="323"/>
      <c r="N140" s="42"/>
      <c r="O140" s="323"/>
      <c r="P140" s="42"/>
      <c r="Q140" s="323"/>
      <c r="R140" s="42"/>
      <c r="S140" s="323"/>
      <c r="T140" s="59"/>
      <c r="U140" s="323"/>
      <c r="V140" s="59"/>
      <c r="W140" s="60">
        <f>SUM(G140,I140,K140,M140,O140,Q140,S140,U140)</f>
        <v>0</v>
      </c>
    </row>
    <row r="141" spans="3:23" ht="13.5" thickBot="1" x14ac:dyDescent="0.25">
      <c r="C141" s="48"/>
      <c r="G141" s="42"/>
      <c r="H141" s="42"/>
      <c r="I141" s="42"/>
      <c r="J141" s="42"/>
      <c r="K141" s="42"/>
      <c r="L141" s="42"/>
      <c r="M141" s="42"/>
      <c r="N141" s="42"/>
      <c r="O141" s="42"/>
      <c r="P141" s="42"/>
      <c r="Q141" s="42"/>
      <c r="R141" s="42"/>
      <c r="S141" s="42"/>
      <c r="U141" s="42"/>
      <c r="W141" s="69"/>
    </row>
    <row r="142" spans="3:23" x14ac:dyDescent="0.2">
      <c r="C142" s="48" t="s">
        <v>65</v>
      </c>
      <c r="D142" s="324"/>
      <c r="E142" s="87"/>
      <c r="G142" s="323"/>
      <c r="H142" s="41"/>
      <c r="I142" s="323"/>
      <c r="J142" s="42"/>
      <c r="K142" s="323"/>
      <c r="L142" s="42"/>
      <c r="M142" s="323"/>
      <c r="N142" s="42"/>
      <c r="O142" s="323"/>
      <c r="P142" s="42"/>
      <c r="Q142" s="323"/>
      <c r="R142" s="42"/>
      <c r="S142" s="323"/>
      <c r="T142" s="59"/>
      <c r="U142" s="323"/>
      <c r="V142" s="59"/>
      <c r="W142" s="60">
        <f>SUM(G142,I142,K142,M142,O142,Q142,S142,U142)</f>
        <v>0</v>
      </c>
    </row>
    <row r="143" spans="3:23" ht="13.5" thickBot="1" x14ac:dyDescent="0.25">
      <c r="M143" s="70"/>
      <c r="Q143" s="70"/>
      <c r="W143" s="77"/>
    </row>
    <row r="144" spans="3:23" ht="13.5" thickBot="1" x14ac:dyDescent="0.25">
      <c r="C144" s="39" t="s">
        <v>59</v>
      </c>
      <c r="G144" s="71">
        <f>SUM(G140,G142)</f>
        <v>0</v>
      </c>
      <c r="H144" s="69"/>
      <c r="I144" s="71">
        <f>SUM(I140,I142)</f>
        <v>0</v>
      </c>
      <c r="J144" s="69"/>
      <c r="K144" s="78">
        <f>SUM(K140,K142)</f>
        <v>0</v>
      </c>
      <c r="L144" s="69"/>
      <c r="M144" s="71">
        <f>SUM(M140,M142)</f>
        <v>0</v>
      </c>
      <c r="N144" s="69"/>
      <c r="O144" s="71">
        <f>SUM(O140,O142)</f>
        <v>0</v>
      </c>
      <c r="P144" s="69"/>
      <c r="Q144" s="69">
        <f>SUM(Q140,Q142)</f>
        <v>0</v>
      </c>
      <c r="R144" s="69"/>
      <c r="S144" s="78">
        <f>SUM(S140,S142)</f>
        <v>0</v>
      </c>
      <c r="U144" s="78">
        <f>SUM(U140,U142)</f>
        <v>0</v>
      </c>
      <c r="W144" s="79">
        <f>SUM(W140,W142)</f>
        <v>0</v>
      </c>
    </row>
    <row r="145" spans="3:23" ht="13.5" thickTop="1" x14ac:dyDescent="0.2">
      <c r="K145" s="52"/>
      <c r="Q145" s="52"/>
      <c r="S145" s="52"/>
      <c r="U145" s="52"/>
      <c r="W145" s="69"/>
    </row>
    <row r="146" spans="3:23" x14ac:dyDescent="0.2">
      <c r="C146" s="39" t="s">
        <v>66</v>
      </c>
      <c r="W146" s="69"/>
    </row>
    <row r="147" spans="3:23" ht="13.5" thickBot="1" x14ac:dyDescent="0.25">
      <c r="C147" s="39"/>
      <c r="W147" s="69"/>
    </row>
    <row r="148" spans="3:23" x14ac:dyDescent="0.2">
      <c r="C148" s="48" t="s">
        <v>67</v>
      </c>
      <c r="G148" s="323"/>
      <c r="H148" s="41"/>
      <c r="I148" s="323"/>
      <c r="J148" s="42"/>
      <c r="K148" s="323"/>
      <c r="L148" s="42"/>
      <c r="M148" s="323"/>
      <c r="N148" s="42"/>
      <c r="O148" s="323"/>
      <c r="P148" s="42"/>
      <c r="Q148" s="323"/>
      <c r="R148" s="42"/>
      <c r="S148" s="323"/>
      <c r="T148" s="59"/>
      <c r="U148" s="323"/>
      <c r="V148" s="59"/>
      <c r="W148" s="60">
        <f>SUM(G148,I148,K148,M148,O148,Q148,S148,U148)</f>
        <v>0</v>
      </c>
    </row>
    <row r="149" spans="3:23" ht="13.5" thickBot="1" x14ac:dyDescent="0.25">
      <c r="C149" s="48"/>
      <c r="G149" s="42"/>
      <c r="H149" s="42"/>
      <c r="I149" s="42"/>
      <c r="J149" s="42"/>
      <c r="K149" s="42"/>
      <c r="L149" s="42"/>
      <c r="M149" s="42"/>
      <c r="N149" s="42"/>
      <c r="O149" s="42"/>
      <c r="P149" s="42"/>
      <c r="Q149" s="42"/>
      <c r="R149" s="42"/>
      <c r="S149" s="42"/>
      <c r="U149" s="42"/>
      <c r="W149" s="69"/>
    </row>
    <row r="150" spans="3:23" x14ac:dyDescent="0.2">
      <c r="C150" s="48" t="s">
        <v>235</v>
      </c>
      <c r="G150" s="323"/>
      <c r="H150" s="41"/>
      <c r="I150" s="323"/>
      <c r="J150" s="42"/>
      <c r="K150" s="323"/>
      <c r="L150" s="42"/>
      <c r="M150" s="323">
        <v>912</v>
      </c>
      <c r="N150" s="42"/>
      <c r="O150" s="323"/>
      <c r="P150" s="42"/>
      <c r="Q150" s="323">
        <v>3498</v>
      </c>
      <c r="R150" s="42"/>
      <c r="S150" s="323"/>
      <c r="T150" s="59"/>
      <c r="U150" s="323"/>
      <c r="V150" s="59"/>
      <c r="W150" s="60">
        <f>SUM(G150,I150,K150,M150,O150,Q150,S150,U150)</f>
        <v>4410</v>
      </c>
    </row>
    <row r="151" spans="3:23" ht="13.5" thickBot="1" x14ac:dyDescent="0.25">
      <c r="C151" s="48"/>
      <c r="G151" s="42"/>
      <c r="H151" s="42"/>
      <c r="I151" s="42"/>
      <c r="J151" s="42"/>
      <c r="K151" s="42"/>
      <c r="L151" s="42"/>
      <c r="M151" s="42"/>
      <c r="N151" s="42"/>
      <c r="O151" s="42"/>
      <c r="P151" s="42"/>
      <c r="Q151" s="42"/>
      <c r="R151" s="42"/>
      <c r="S151" s="42"/>
      <c r="U151" s="42"/>
      <c r="W151" s="69"/>
    </row>
    <row r="152" spans="3:23" x14ac:dyDescent="0.2">
      <c r="C152" s="48" t="s">
        <v>68</v>
      </c>
      <c r="G152" s="323"/>
      <c r="H152" s="41"/>
      <c r="I152" s="323"/>
      <c r="J152" s="42"/>
      <c r="K152" s="323"/>
      <c r="L152" s="42"/>
      <c r="M152" s="323">
        <v>24371</v>
      </c>
      <c r="N152" s="42"/>
      <c r="O152" s="323"/>
      <c r="P152" s="42"/>
      <c r="Q152" s="323"/>
      <c r="R152" s="42"/>
      <c r="S152" s="323"/>
      <c r="T152" s="59"/>
      <c r="U152" s="323"/>
      <c r="V152" s="59"/>
      <c r="W152" s="60">
        <f>SUM(G152,I152,K152,M152,O152,Q152,S152,U152)</f>
        <v>24371</v>
      </c>
    </row>
    <row r="153" spans="3:23" ht="13.5" thickBot="1" x14ac:dyDescent="0.25">
      <c r="C153" s="48"/>
      <c r="G153" s="42"/>
      <c r="H153" s="42"/>
      <c r="I153" s="42"/>
      <c r="J153" s="42"/>
      <c r="K153" s="42"/>
      <c r="L153" s="42"/>
      <c r="M153" s="42"/>
      <c r="N153" s="42"/>
      <c r="O153" s="42"/>
      <c r="P153" s="42"/>
      <c r="Q153" s="42"/>
      <c r="R153" s="42"/>
      <c r="S153" s="42"/>
      <c r="U153" s="42"/>
      <c r="W153" s="69"/>
    </row>
    <row r="154" spans="3:23" x14ac:dyDescent="0.2">
      <c r="C154" s="48" t="s">
        <v>236</v>
      </c>
      <c r="G154" s="323"/>
      <c r="H154" s="41"/>
      <c r="I154" s="323"/>
      <c r="J154" s="42"/>
      <c r="K154" s="323"/>
      <c r="L154" s="42"/>
      <c r="M154" s="323"/>
      <c r="N154" s="42"/>
      <c r="O154" s="323"/>
      <c r="P154" s="42"/>
      <c r="Q154" s="323"/>
      <c r="R154" s="42"/>
      <c r="S154" s="323"/>
      <c r="T154" s="59"/>
      <c r="U154" s="323"/>
      <c r="V154" s="59"/>
      <c r="W154" s="60">
        <f>SUM(G154,I154,K154,M154,O154,Q154,S154,U154)</f>
        <v>0</v>
      </c>
    </row>
    <row r="155" spans="3:23" ht="13.5" thickBot="1" x14ac:dyDescent="0.25">
      <c r="C155" s="48"/>
      <c r="G155" s="42"/>
      <c r="H155" s="42"/>
      <c r="I155" s="42"/>
      <c r="J155" s="42"/>
      <c r="K155" s="42"/>
      <c r="L155" s="42"/>
      <c r="M155" s="42"/>
      <c r="N155" s="42"/>
      <c r="O155" s="42"/>
      <c r="P155" s="42"/>
      <c r="Q155" s="42"/>
      <c r="R155" s="42"/>
      <c r="S155" s="42"/>
      <c r="U155" s="42"/>
      <c r="W155" s="69"/>
    </row>
    <row r="156" spans="3:23" x14ac:dyDescent="0.2">
      <c r="C156" s="48" t="s">
        <v>314</v>
      </c>
      <c r="G156" s="323"/>
      <c r="H156" s="41"/>
      <c r="I156" s="323"/>
      <c r="J156" s="42"/>
      <c r="K156" s="323"/>
      <c r="L156" s="42"/>
      <c r="M156" s="323">
        <v>2350</v>
      </c>
      <c r="N156" s="42"/>
      <c r="O156" s="323">
        <v>3224</v>
      </c>
      <c r="P156" s="42"/>
      <c r="Q156" s="323">
        <v>628</v>
      </c>
      <c r="R156" s="42"/>
      <c r="S156" s="323"/>
      <c r="T156" s="59"/>
      <c r="U156" s="323"/>
      <c r="V156" s="59"/>
      <c r="W156" s="60">
        <f>SUM(G156,I156,K156,M156,O156,Q156,S156,U156)</f>
        <v>6202</v>
      </c>
    </row>
    <row r="157" spans="3:23" ht="13.5" thickBot="1" x14ac:dyDescent="0.25">
      <c r="C157" s="48"/>
      <c r="G157" s="42"/>
      <c r="H157" s="42"/>
      <c r="I157" s="42"/>
      <c r="J157" s="42"/>
      <c r="K157" s="42"/>
      <c r="L157" s="42"/>
      <c r="M157" s="42"/>
      <c r="N157" s="42"/>
      <c r="O157" s="42"/>
      <c r="P157" s="42"/>
      <c r="Q157" s="42"/>
      <c r="R157" s="42"/>
      <c r="S157" s="42"/>
      <c r="U157" s="42"/>
      <c r="W157" s="69"/>
    </row>
    <row r="158" spans="3:23" x14ac:dyDescent="0.2">
      <c r="C158" s="48" t="s">
        <v>315</v>
      </c>
      <c r="G158" s="323"/>
      <c r="H158" s="41"/>
      <c r="I158" s="323"/>
      <c r="J158" s="42"/>
      <c r="K158" s="323"/>
      <c r="L158" s="42"/>
      <c r="M158" s="323"/>
      <c r="N158" s="42"/>
      <c r="O158" s="323"/>
      <c r="P158" s="42"/>
      <c r="Q158" s="323"/>
      <c r="R158" s="42"/>
      <c r="S158" s="323"/>
      <c r="T158" s="59"/>
      <c r="U158" s="323"/>
      <c r="V158" s="59"/>
      <c r="W158" s="60">
        <f>SUM(G158,I158,K158,M158,O158,Q158,S158,U158)</f>
        <v>0</v>
      </c>
    </row>
    <row r="159" spans="3:23" ht="13.5" thickBot="1" x14ac:dyDescent="0.25">
      <c r="C159" s="85" t="s">
        <v>69</v>
      </c>
      <c r="O159" s="70"/>
    </row>
    <row r="160" spans="3:23" ht="13.5" thickBot="1" x14ac:dyDescent="0.25">
      <c r="C160" s="39" t="s">
        <v>70</v>
      </c>
      <c r="G160" s="71">
        <f>SUM(G158,G156,G154,G152,G150,G148)</f>
        <v>0</v>
      </c>
      <c r="H160" s="69"/>
      <c r="I160" s="71">
        <f>SUM(I158,I156,I154,I152,I150,I148)</f>
        <v>0</v>
      </c>
      <c r="J160" s="69"/>
      <c r="K160" s="71">
        <f>SUM(K158,K156,K154,K152,K150,K148)</f>
        <v>0</v>
      </c>
      <c r="L160" s="69"/>
      <c r="M160" s="71">
        <f>SUM(M158,M156,M154,M152,M150,M148)</f>
        <v>27633</v>
      </c>
      <c r="N160" s="69"/>
      <c r="O160" s="71">
        <f>SUM(O158,O156,O154,O152,O150,O148)</f>
        <v>3224</v>
      </c>
      <c r="P160" s="69"/>
      <c r="Q160" s="71">
        <f>SUM(Q158,Q156,Q154,Q152,Q150,Q148)</f>
        <v>4126</v>
      </c>
      <c r="R160" s="69"/>
      <c r="S160" s="71">
        <f>SUM(S158,S156,S154,S152,S150,S148)</f>
        <v>0</v>
      </c>
      <c r="T160" s="69"/>
      <c r="U160" s="71">
        <f>SUM(U158,U156,U154,U152,U150,U148)</f>
        <v>0</v>
      </c>
      <c r="V160" s="69"/>
      <c r="W160" s="71">
        <f>SUM(W154,W156,W158,W152,W150,W148)</f>
        <v>34983</v>
      </c>
    </row>
    <row r="161" spans="3:23" ht="14.25" thickTop="1" thickBot="1" x14ac:dyDescent="0.25">
      <c r="C161" s="85"/>
      <c r="G161" s="72"/>
      <c r="H161" s="69"/>
      <c r="I161" s="69"/>
      <c r="J161" s="69"/>
      <c r="K161" s="69"/>
      <c r="L161" s="69"/>
      <c r="M161" s="69"/>
      <c r="N161" s="69"/>
      <c r="O161" s="69"/>
      <c r="P161" s="69"/>
      <c r="Q161" s="72"/>
      <c r="R161" s="69"/>
      <c r="S161" s="72"/>
      <c r="T161" s="69"/>
      <c r="U161" s="72"/>
      <c r="V161" s="69"/>
      <c r="W161" s="81"/>
    </row>
    <row r="162" spans="3:23" ht="14.25" thickTop="1" thickBot="1" x14ac:dyDescent="0.25">
      <c r="C162" s="39" t="s">
        <v>71</v>
      </c>
      <c r="G162" s="83">
        <f>SUM(G118,G126,G136,G144,G160)</f>
        <v>0</v>
      </c>
      <c r="H162" s="69"/>
      <c r="I162" s="83">
        <f>SUM(I118,I126,I136,I144,I160)</f>
        <v>0</v>
      </c>
      <c r="J162" s="69"/>
      <c r="K162" s="83">
        <f>SUM(K118,K126,K136,K144,K160)</f>
        <v>0</v>
      </c>
      <c r="L162" s="69"/>
      <c r="M162" s="83">
        <f>SUM(M118,M126,M136,M144,M160)</f>
        <v>27633</v>
      </c>
      <c r="N162" s="69"/>
      <c r="O162" s="83">
        <f>SUM(O118,O126,O136,O144,O160)</f>
        <v>3224</v>
      </c>
      <c r="P162" s="69"/>
      <c r="Q162" s="83">
        <f>SUM(Q118,Q126,Q136,Q144,Q160)</f>
        <v>4126</v>
      </c>
      <c r="R162" s="69"/>
      <c r="S162" s="83">
        <f>SUM(S118,S126,S136,S144,S160)</f>
        <v>0</v>
      </c>
      <c r="T162" s="69"/>
      <c r="U162" s="83">
        <f>SUM(U118,U126,U136,U144,U160)</f>
        <v>0</v>
      </c>
      <c r="V162" s="69"/>
      <c r="W162" s="69">
        <f>SUM(W118,W126,W136,W144,W160)</f>
        <v>34983</v>
      </c>
    </row>
    <row r="163" spans="3:23" ht="13.5" thickTop="1" x14ac:dyDescent="0.2">
      <c r="C163" s="85"/>
      <c r="G163" s="52"/>
      <c r="I163" s="52"/>
      <c r="K163" s="52"/>
      <c r="M163" s="52"/>
      <c r="O163" s="52"/>
      <c r="S163" s="52"/>
      <c r="U163" s="52"/>
      <c r="W163" s="52"/>
    </row>
    <row r="164" spans="3:23" x14ac:dyDescent="0.2">
      <c r="C164" s="39" t="s">
        <v>72</v>
      </c>
      <c r="G164" s="57" t="str">
        <f>G112</f>
        <v>Audited Actual</v>
      </c>
      <c r="H164" s="57"/>
      <c r="I164" s="57" t="str">
        <f>I112</f>
        <v>Audited Actual</v>
      </c>
      <c r="J164" s="57"/>
      <c r="K164" s="57" t="str">
        <f>K112</f>
        <v>Audited Actual</v>
      </c>
      <c r="L164" s="57"/>
      <c r="M164" s="57" t="str">
        <f>M112</f>
        <v>Audited Actual</v>
      </c>
      <c r="N164" s="57"/>
      <c r="O164" s="57" t="str">
        <f>O112</f>
        <v>Audited Actual</v>
      </c>
      <c r="P164" s="57"/>
      <c r="Q164" s="57" t="str">
        <f>Q112</f>
        <v>Audited Actual</v>
      </c>
      <c r="R164" s="57"/>
      <c r="S164" s="57"/>
      <c r="U164" s="57"/>
    </row>
    <row r="165" spans="3:23" ht="13.5" thickBot="1" x14ac:dyDescent="0.25">
      <c r="C165" s="85" t="s">
        <v>47</v>
      </c>
    </row>
    <row r="166" spans="3:23" ht="27.75" customHeight="1" x14ac:dyDescent="0.2">
      <c r="C166" s="370" t="s">
        <v>301</v>
      </c>
      <c r="D166" s="370"/>
      <c r="E166" s="91"/>
      <c r="F166" s="29"/>
      <c r="G166" s="323"/>
      <c r="H166" s="41"/>
      <c r="I166" s="323"/>
      <c r="J166" s="42"/>
      <c r="K166" s="323"/>
      <c r="L166" s="42"/>
      <c r="M166" s="323"/>
      <c r="N166" s="42"/>
      <c r="O166" s="323"/>
      <c r="P166" s="42"/>
      <c r="Q166" s="323"/>
      <c r="R166" s="42"/>
      <c r="S166" s="323"/>
      <c r="T166" s="59"/>
      <c r="U166" s="323"/>
      <c r="V166" s="59"/>
      <c r="W166" s="60">
        <f>SUM(G166,I166,K166,M166,O166,Q166,S166,U166)</f>
        <v>0</v>
      </c>
    </row>
    <row r="167" spans="3:23" ht="13.5" thickBot="1" x14ac:dyDescent="0.25">
      <c r="C167" s="92"/>
      <c r="D167" s="93"/>
      <c r="E167" s="91"/>
      <c r="F167" s="29"/>
      <c r="G167" s="42"/>
      <c r="H167" s="42"/>
      <c r="I167" s="42"/>
      <c r="J167" s="42"/>
      <c r="K167" s="42"/>
      <c r="L167" s="42"/>
      <c r="M167" s="42"/>
      <c r="N167" s="42"/>
      <c r="O167" s="42"/>
      <c r="P167" s="42"/>
      <c r="Q167" s="42"/>
      <c r="R167" s="42"/>
      <c r="S167" s="42"/>
      <c r="U167" s="42"/>
      <c r="W167" s="69"/>
    </row>
    <row r="168" spans="3:23" ht="31.5" customHeight="1" x14ac:dyDescent="0.2">
      <c r="C168" s="371" t="s">
        <v>302</v>
      </c>
      <c r="D168" s="371"/>
      <c r="E168" s="91"/>
      <c r="F168" s="29"/>
      <c r="G168" s="323"/>
      <c r="H168" s="41"/>
      <c r="I168" s="323"/>
      <c r="J168" s="42"/>
      <c r="K168" s="323"/>
      <c r="L168" s="42"/>
      <c r="M168" s="323"/>
      <c r="N168" s="42"/>
      <c r="O168" s="323"/>
      <c r="P168" s="42"/>
      <c r="Q168" s="323"/>
      <c r="R168" s="42"/>
      <c r="S168" s="323"/>
      <c r="T168" s="59"/>
      <c r="U168" s="323"/>
      <c r="V168" s="59"/>
      <c r="W168" s="60">
        <f>SUM(G168,I168,K168,M168,O168,Q168,S168,U168)</f>
        <v>0</v>
      </c>
    </row>
    <row r="169" spans="3:23" ht="13.5" thickBot="1" x14ac:dyDescent="0.25">
      <c r="C169" s="94"/>
      <c r="D169" s="93"/>
      <c r="E169" s="91"/>
      <c r="F169" s="29"/>
      <c r="G169" s="42"/>
      <c r="H169" s="42"/>
      <c r="I169" s="42"/>
      <c r="J169" s="42"/>
      <c r="K169" s="42"/>
      <c r="L169" s="42"/>
      <c r="M169" s="42"/>
      <c r="N169" s="42"/>
      <c r="O169" s="42"/>
      <c r="P169" s="42"/>
      <c r="Q169" s="42"/>
      <c r="R169" s="42"/>
      <c r="S169" s="42"/>
      <c r="U169" s="42"/>
      <c r="W169" s="69"/>
    </row>
    <row r="170" spans="3:23" ht="26.25" customHeight="1" x14ac:dyDescent="0.2">
      <c r="C170" s="371" t="s">
        <v>303</v>
      </c>
      <c r="D170" s="371"/>
      <c r="E170" s="91"/>
      <c r="F170" s="29"/>
      <c r="G170" s="323"/>
      <c r="H170" s="41"/>
      <c r="I170" s="323"/>
      <c r="J170" s="42"/>
      <c r="K170" s="323"/>
      <c r="L170" s="42"/>
      <c r="M170" s="323"/>
      <c r="N170" s="42"/>
      <c r="O170" s="323"/>
      <c r="P170" s="42"/>
      <c r="Q170" s="323"/>
      <c r="R170" s="42"/>
      <c r="S170" s="323"/>
      <c r="T170" s="59"/>
      <c r="U170" s="323"/>
      <c r="V170" s="59"/>
      <c r="W170" s="60">
        <f>SUM(G170,I170,K170,M170,O170,Q170,S170,U170)</f>
        <v>0</v>
      </c>
    </row>
    <row r="171" spans="3:23" ht="13.5" thickBot="1" x14ac:dyDescent="0.25">
      <c r="G171" s="70"/>
      <c r="M171" s="70"/>
      <c r="O171" s="70"/>
      <c r="W171" s="95"/>
    </row>
    <row r="172" spans="3:23" ht="13.5" thickBot="1" x14ac:dyDescent="0.25">
      <c r="C172" s="39" t="s">
        <v>73</v>
      </c>
      <c r="G172" s="69">
        <f>SUM(G166,G168,G170)</f>
        <v>0</v>
      </c>
      <c r="H172" s="69"/>
      <c r="I172" s="71">
        <f>SUM(I166,I168,I170)</f>
        <v>0</v>
      </c>
      <c r="J172" s="69"/>
      <c r="K172" s="71">
        <f>SUM(K166,K168,K170)</f>
        <v>0</v>
      </c>
      <c r="L172" s="69"/>
      <c r="M172" s="69">
        <f>SUM(M166,M168,M170)</f>
        <v>0</v>
      </c>
      <c r="N172" s="69"/>
      <c r="O172" s="71">
        <f>SUM(O166,O168,O170)</f>
        <v>0</v>
      </c>
      <c r="P172" s="69"/>
      <c r="Q172" s="71">
        <f>SUM(Q166,Q168,Q170)</f>
        <v>0</v>
      </c>
      <c r="R172" s="69"/>
      <c r="S172" s="71">
        <f>SUM(S166,S168,S170)</f>
        <v>0</v>
      </c>
      <c r="T172" s="69"/>
      <c r="U172" s="71">
        <f>SUM(U166,U168,U170)</f>
        <v>0</v>
      </c>
      <c r="V172" s="69"/>
      <c r="W172" s="71">
        <f>SUM(W166,W168,W170)</f>
        <v>0</v>
      </c>
    </row>
    <row r="173" spans="3:23" ht="14.25" thickTop="1" thickBot="1" x14ac:dyDescent="0.25">
      <c r="G173" s="72"/>
      <c r="H173" s="69"/>
      <c r="I173" s="69"/>
      <c r="J173" s="69"/>
      <c r="K173" s="69"/>
      <c r="L173" s="69"/>
      <c r="M173" s="72"/>
      <c r="N173" s="69"/>
      <c r="O173" s="69"/>
      <c r="P173" s="69"/>
      <c r="Q173" s="69"/>
      <c r="R173" s="69"/>
      <c r="S173" s="81"/>
      <c r="T173" s="69"/>
      <c r="U173" s="81"/>
      <c r="V173" s="69"/>
      <c r="W173" s="81"/>
    </row>
    <row r="174" spans="3:23" ht="14.25" thickTop="1" thickBot="1" x14ac:dyDescent="0.25">
      <c r="C174" s="39" t="s">
        <v>74</v>
      </c>
      <c r="G174" s="82">
        <f>G162+G172</f>
        <v>0</v>
      </c>
      <c r="H174" s="69"/>
      <c r="I174" s="83">
        <f>I162+I172</f>
        <v>0</v>
      </c>
      <c r="J174" s="69"/>
      <c r="K174" s="82">
        <f>K162+K172</f>
        <v>0</v>
      </c>
      <c r="L174" s="69"/>
      <c r="M174" s="83">
        <f>M162+M172</f>
        <v>27633</v>
      </c>
      <c r="N174" s="69"/>
      <c r="O174" s="83">
        <f>O162+O172</f>
        <v>3224</v>
      </c>
      <c r="P174" s="69"/>
      <c r="Q174" s="83">
        <f>Q162+Q172</f>
        <v>4126</v>
      </c>
      <c r="R174" s="69"/>
      <c r="S174" s="69">
        <f>S162+S172</f>
        <v>0</v>
      </c>
      <c r="T174" s="69"/>
      <c r="U174" s="69">
        <f>U162+U172</f>
        <v>0</v>
      </c>
      <c r="V174" s="69"/>
      <c r="W174" s="83">
        <f>W162+W172</f>
        <v>34983</v>
      </c>
    </row>
    <row r="175" spans="3:23" ht="13.5" thickTop="1" x14ac:dyDescent="0.2">
      <c r="G175" s="52"/>
      <c r="K175" s="52"/>
      <c r="S175" s="52"/>
      <c r="U175" s="52"/>
    </row>
    <row r="177" spans="2:23" ht="15.75" x14ac:dyDescent="0.25">
      <c r="B177" s="34">
        <v>3</v>
      </c>
      <c r="C177" s="34" t="s">
        <v>124</v>
      </c>
      <c r="D177" s="39"/>
    </row>
    <row r="178" spans="2:23" x14ac:dyDescent="0.2">
      <c r="C178" s="39"/>
      <c r="D178" s="39"/>
    </row>
    <row r="179" spans="2:23" x14ac:dyDescent="0.2">
      <c r="C179" s="96" t="s">
        <v>113</v>
      </c>
      <c r="D179" s="39" t="s">
        <v>111</v>
      </c>
    </row>
    <row r="180" spans="2:23" x14ac:dyDescent="0.2">
      <c r="C180" s="48"/>
      <c r="D180" s="48"/>
    </row>
    <row r="181" spans="2:23" x14ac:dyDescent="0.2">
      <c r="C181" s="48" t="s">
        <v>112</v>
      </c>
      <c r="D181" s="97" t="s">
        <v>14</v>
      </c>
      <c r="G181" s="60">
        <f>SUMIF($E$42:$E$105,$D181,G$42:G$105)</f>
        <v>0</v>
      </c>
      <c r="H181" s="69"/>
      <c r="I181" s="60">
        <f>SUMIF($E$42:$E$105,$D181,I$42:I$105)</f>
        <v>0</v>
      </c>
      <c r="J181" s="69"/>
      <c r="K181" s="60">
        <f>SUMIF($E$42:$E$105,$D181,K$42:K$105)</f>
        <v>0</v>
      </c>
      <c r="L181" s="69"/>
      <c r="M181" s="60">
        <f>SUMIF($E$42:$E$105,$D181,M$42:M$105)</f>
        <v>338453</v>
      </c>
      <c r="N181" s="69"/>
      <c r="O181" s="60">
        <f>SUMIF($E$42:$E$105,$D181,O$42:O$105)</f>
        <v>184451</v>
      </c>
      <c r="P181" s="69"/>
      <c r="Q181" s="60">
        <f>SUMIF($E$42:$E$105,$D181,Q$42:Q$105)</f>
        <v>4842</v>
      </c>
      <c r="R181" s="69"/>
      <c r="S181" s="60">
        <f>SUMIF($E$42:$E$105,$D181,S$42:S$105)</f>
        <v>0</v>
      </c>
      <c r="T181" s="69"/>
      <c r="U181" s="60">
        <f>SUMIF($E$42:$E$105,$D181,U$42:U$105)</f>
        <v>0</v>
      </c>
      <c r="V181" s="69"/>
      <c r="W181" s="69">
        <f>SUM(G181:U181)</f>
        <v>527746</v>
      </c>
    </row>
    <row r="182" spans="2:23" x14ac:dyDescent="0.2">
      <c r="C182" s="48"/>
      <c r="D182" s="97"/>
      <c r="G182" s="69"/>
      <c r="H182" s="69"/>
      <c r="I182" s="69"/>
      <c r="J182" s="69"/>
      <c r="K182" s="69"/>
      <c r="L182" s="69"/>
      <c r="M182" s="69"/>
      <c r="N182" s="69"/>
      <c r="O182" s="69"/>
      <c r="P182" s="69"/>
      <c r="Q182" s="69"/>
      <c r="R182" s="69"/>
      <c r="S182" s="69"/>
      <c r="T182" s="69"/>
      <c r="U182" s="69"/>
      <c r="V182" s="69"/>
      <c r="W182" s="69"/>
    </row>
    <row r="183" spans="2:23" x14ac:dyDescent="0.2">
      <c r="C183" s="48" t="s">
        <v>114</v>
      </c>
      <c r="D183" s="97" t="s">
        <v>15</v>
      </c>
      <c r="G183" s="60">
        <f>SUMIF($E$42:$E$105,$D183,G$42:G$105)</f>
        <v>0</v>
      </c>
      <c r="H183" s="69"/>
      <c r="I183" s="60">
        <f>SUMIF($E$42:$E$105,$D183,I$42:I$105)</f>
        <v>0</v>
      </c>
      <c r="J183" s="69"/>
      <c r="K183" s="60">
        <f>SUMIF($E$42:$E$105,$D183,K$42:K$105)</f>
        <v>0</v>
      </c>
      <c r="L183" s="69"/>
      <c r="M183" s="60">
        <f>SUMIF($E$42:$E$105,$D183,M$42:M$105)</f>
        <v>0</v>
      </c>
      <c r="N183" s="69"/>
      <c r="O183" s="60">
        <f>SUMIF($E$42:$E$105,$D183,O$42:O$105)</f>
        <v>0</v>
      </c>
      <c r="P183" s="69"/>
      <c r="Q183" s="60">
        <f>SUMIF($E$42:$E$105,$D183,Q$42:Q$105)</f>
        <v>0</v>
      </c>
      <c r="R183" s="69"/>
      <c r="S183" s="60">
        <f>SUMIF($E$42:$E$105,$D183,S$42:S$105)</f>
        <v>0</v>
      </c>
      <c r="T183" s="69"/>
      <c r="U183" s="60">
        <f>SUMIF($E$42:$E$105,$D183,U$42:U$105)</f>
        <v>0</v>
      </c>
      <c r="V183" s="69"/>
      <c r="W183" s="69">
        <f>SUM(G183:U183)</f>
        <v>0</v>
      </c>
    </row>
    <row r="184" spans="2:23" x14ac:dyDescent="0.2">
      <c r="C184" s="48"/>
      <c r="D184" s="97"/>
      <c r="G184" s="69"/>
      <c r="H184" s="69"/>
      <c r="I184" s="69"/>
      <c r="J184" s="69"/>
      <c r="K184" s="69"/>
      <c r="L184" s="69"/>
      <c r="M184" s="69"/>
      <c r="N184" s="69"/>
      <c r="O184" s="69"/>
      <c r="P184" s="69"/>
      <c r="Q184" s="69"/>
      <c r="R184" s="69"/>
      <c r="S184" s="69"/>
      <c r="T184" s="69"/>
      <c r="U184" s="69"/>
      <c r="V184" s="69"/>
      <c r="W184" s="69"/>
    </row>
    <row r="185" spans="2:23" x14ac:dyDescent="0.2">
      <c r="C185" s="48" t="s">
        <v>115</v>
      </c>
      <c r="D185" s="97" t="s">
        <v>16</v>
      </c>
      <c r="G185" s="60">
        <f>SUMIF($E$42:$E$105,$D185,G$42:G$105)</f>
        <v>0</v>
      </c>
      <c r="H185" s="69"/>
      <c r="I185" s="60">
        <f>SUMIF($E$42:$E$105,$D185,I$42:I$105)</f>
        <v>0</v>
      </c>
      <c r="J185" s="69"/>
      <c r="K185" s="60">
        <f>SUMIF($E$42:$E$105,$D185,K$42:K$105)</f>
        <v>0</v>
      </c>
      <c r="L185" s="69"/>
      <c r="M185" s="60">
        <f>SUMIF($E$42:$E$105,$D185,M$42:M$105)</f>
        <v>0</v>
      </c>
      <c r="N185" s="69"/>
      <c r="O185" s="60">
        <f>SUMIF($E$42:$E$105,$D185,O$42:O$105)</f>
        <v>0</v>
      </c>
      <c r="P185" s="69"/>
      <c r="Q185" s="60">
        <f>SUMIF($E$42:$E$105,$D185,Q$42:Q$105)</f>
        <v>0</v>
      </c>
      <c r="R185" s="69"/>
      <c r="S185" s="60">
        <f>SUMIF($E$42:$E$105,$D185,S$42:S$105)</f>
        <v>0</v>
      </c>
      <c r="T185" s="69"/>
      <c r="U185" s="60">
        <f>SUMIF($E$42:$E$105,$D185,U$42:U$105)</f>
        <v>0</v>
      </c>
      <c r="V185" s="69"/>
      <c r="W185" s="69">
        <f>SUM(G185:U185)</f>
        <v>0</v>
      </c>
    </row>
    <row r="186" spans="2:23" x14ac:dyDescent="0.2">
      <c r="C186" s="48"/>
      <c r="D186" s="97"/>
      <c r="G186" s="69"/>
      <c r="H186" s="69"/>
      <c r="I186" s="69"/>
      <c r="J186" s="69"/>
      <c r="K186" s="69"/>
      <c r="L186" s="69"/>
      <c r="M186" s="69"/>
      <c r="N186" s="69"/>
      <c r="O186" s="69"/>
      <c r="P186" s="69"/>
      <c r="Q186" s="69"/>
      <c r="R186" s="69"/>
      <c r="S186" s="69"/>
      <c r="T186" s="69"/>
      <c r="U186" s="69"/>
      <c r="V186" s="69"/>
      <c r="W186" s="69"/>
    </row>
    <row r="187" spans="2:23" x14ac:dyDescent="0.2">
      <c r="C187" s="48" t="s">
        <v>116</v>
      </c>
      <c r="D187" s="97" t="s">
        <v>18</v>
      </c>
      <c r="G187" s="60">
        <f>SUMIF($E$42:$E$105,$D187,G$42:G$105)</f>
        <v>0</v>
      </c>
      <c r="H187" s="69"/>
      <c r="I187" s="60">
        <f>SUMIF($E$42:$E$105,$D187,I$42:I$105)</f>
        <v>0</v>
      </c>
      <c r="J187" s="69"/>
      <c r="K187" s="60">
        <f>SUMIF($E$42:$E$105,$D187,K$42:K$105)</f>
        <v>0</v>
      </c>
      <c r="L187" s="69"/>
      <c r="M187" s="60">
        <f>SUMIF($E$42:$E$105,$D187,M$42:M$105)</f>
        <v>0</v>
      </c>
      <c r="N187" s="69"/>
      <c r="O187" s="60">
        <f>SUMIF($E$42:$E$105,$D187,O$42:O$105)</f>
        <v>0</v>
      </c>
      <c r="P187" s="69"/>
      <c r="Q187" s="60">
        <f>SUMIF($E$42:$E$105,$D187,Q$42:Q$105)</f>
        <v>0</v>
      </c>
      <c r="R187" s="69"/>
      <c r="S187" s="60">
        <f>SUMIF($E$42:$E$105,$D187,S$42:S$105)</f>
        <v>0</v>
      </c>
      <c r="T187" s="69"/>
      <c r="U187" s="60">
        <f>SUMIF($E$42:$E$105,$D187,U$42:U$105)</f>
        <v>0</v>
      </c>
      <c r="V187" s="69"/>
      <c r="W187" s="69">
        <f>SUM(G187:U187)</f>
        <v>0</v>
      </c>
    </row>
    <row r="188" spans="2:23" x14ac:dyDescent="0.2">
      <c r="C188" s="48"/>
      <c r="D188" s="97"/>
      <c r="G188" s="69"/>
      <c r="H188" s="69"/>
      <c r="I188" s="69"/>
      <c r="J188" s="69"/>
      <c r="K188" s="69"/>
      <c r="L188" s="69"/>
      <c r="M188" s="69"/>
      <c r="N188" s="69"/>
      <c r="O188" s="69"/>
      <c r="P188" s="69"/>
      <c r="Q188" s="69"/>
      <c r="R188" s="69"/>
      <c r="S188" s="69"/>
      <c r="T188" s="69"/>
      <c r="U188" s="69"/>
      <c r="V188" s="69"/>
      <c r="W188" s="69"/>
    </row>
    <row r="189" spans="2:23" x14ac:dyDescent="0.2">
      <c r="C189" s="48" t="s">
        <v>117</v>
      </c>
      <c r="D189" s="97" t="s">
        <v>17</v>
      </c>
      <c r="G189" s="60">
        <f>SUMIF($E$42:$E$105,$D189,G$42:G$105)</f>
        <v>0</v>
      </c>
      <c r="H189" s="69"/>
      <c r="I189" s="60">
        <f>SUMIF($E$42:$E$105,$D189,I$42:I$105)</f>
        <v>0</v>
      </c>
      <c r="J189" s="69"/>
      <c r="K189" s="60">
        <f>SUMIF($E$42:$E$105,$D189,K$42:K$105)</f>
        <v>0</v>
      </c>
      <c r="L189" s="69"/>
      <c r="M189" s="60">
        <f>SUMIF($E$42:$E$105,$D189,M$42:M$105)</f>
        <v>1243</v>
      </c>
      <c r="N189" s="69"/>
      <c r="O189" s="60">
        <f>SUMIF($E$42:$E$105,$D189,O$42:O$105)</f>
        <v>0</v>
      </c>
      <c r="P189" s="69"/>
      <c r="Q189" s="60">
        <f>SUMIF($E$42:$E$105,$D189,Q$42:Q$105)</f>
        <v>0</v>
      </c>
      <c r="R189" s="69"/>
      <c r="S189" s="60">
        <f>SUMIF($E$42:$E$105,$D189,S$42:S$105)</f>
        <v>0</v>
      </c>
      <c r="T189" s="69"/>
      <c r="U189" s="60">
        <f>SUMIF($E$42:$E$105,$D189,U$42:U$105)</f>
        <v>0</v>
      </c>
      <c r="V189" s="69"/>
      <c r="W189" s="69">
        <f>SUM(G189:U189)</f>
        <v>1243</v>
      </c>
    </row>
    <row r="190" spans="2:23" x14ac:dyDescent="0.2">
      <c r="C190" s="48"/>
      <c r="D190" s="97"/>
      <c r="G190" s="60"/>
      <c r="H190" s="69"/>
      <c r="I190" s="60"/>
      <c r="J190" s="69"/>
      <c r="K190" s="60"/>
      <c r="L190" s="69"/>
      <c r="M190" s="60"/>
      <c r="N190" s="69"/>
      <c r="O190" s="60"/>
      <c r="P190" s="69"/>
      <c r="Q190" s="60"/>
      <c r="R190" s="69"/>
      <c r="S190" s="60"/>
      <c r="T190" s="69"/>
      <c r="U190" s="60"/>
      <c r="V190" s="69"/>
      <c r="W190" s="69"/>
    </row>
    <row r="191" spans="2:23" x14ac:dyDescent="0.2">
      <c r="C191" s="48" t="s">
        <v>118</v>
      </c>
      <c r="D191" s="97" t="s">
        <v>364</v>
      </c>
      <c r="G191" s="60">
        <f>SUMIF($E$42:$E$105,$D191,G$42:G$105)</f>
        <v>0</v>
      </c>
      <c r="H191" s="69"/>
      <c r="I191" s="60">
        <f>SUMIF($E$42:$E$105,$D191,I$42:I$105)</f>
        <v>0</v>
      </c>
      <c r="J191" s="69"/>
      <c r="K191" s="60">
        <f>SUMIF($E$42:$E$105,$D191,K$42:K$105)</f>
        <v>0</v>
      </c>
      <c r="L191" s="69"/>
      <c r="M191" s="60">
        <f>SUMIF($E$42:$E$105,$D191,M$42:M$105)</f>
        <v>0</v>
      </c>
      <c r="N191" s="69"/>
      <c r="O191" s="60">
        <f>SUMIF($E$42:$E$105,$D191,O$42:O$105)</f>
        <v>22806</v>
      </c>
      <c r="P191" s="69"/>
      <c r="Q191" s="60">
        <f>SUMIF($E$42:$E$105,$D191,Q$42:Q$105)</f>
        <v>13982</v>
      </c>
      <c r="R191" s="69"/>
      <c r="S191" s="60">
        <f>SUMIF($E$42:$E$105,$D191,S$42:S$105)</f>
        <v>0</v>
      </c>
      <c r="T191" s="69"/>
      <c r="U191" s="60">
        <f>SUMIF($E$42:$E$105,$D191,U$42:U$105)</f>
        <v>0</v>
      </c>
      <c r="V191" s="69"/>
      <c r="W191" s="69">
        <f>SUM(G191:U191)</f>
        <v>36788</v>
      </c>
    </row>
    <row r="192" spans="2:23" ht="13.5" thickBot="1" x14ac:dyDescent="0.25">
      <c r="C192" s="39"/>
      <c r="D192" s="39"/>
      <c r="G192" s="69"/>
      <c r="H192" s="69"/>
      <c r="I192" s="69"/>
      <c r="J192" s="69"/>
      <c r="K192" s="77"/>
      <c r="L192" s="69"/>
      <c r="M192" s="69"/>
      <c r="N192" s="69"/>
      <c r="O192" s="98"/>
      <c r="P192" s="69"/>
      <c r="Q192" s="77"/>
      <c r="R192" s="69"/>
      <c r="S192" s="69"/>
      <c r="T192" s="69"/>
      <c r="U192" s="69"/>
      <c r="V192" s="69"/>
      <c r="W192" s="77"/>
    </row>
    <row r="193" spans="3:23" ht="13.5" thickBot="1" x14ac:dyDescent="0.25">
      <c r="C193" s="39" t="s">
        <v>365</v>
      </c>
      <c r="D193" s="99" t="s">
        <v>119</v>
      </c>
      <c r="G193" s="100">
        <f>SUM(G181:G191)</f>
        <v>0</v>
      </c>
      <c r="H193" s="69"/>
      <c r="I193" s="100">
        <f>SUM(I181:I191)</f>
        <v>0</v>
      </c>
      <c r="J193" s="69"/>
      <c r="K193" s="101">
        <f>SUM(K181:K191)</f>
        <v>0</v>
      </c>
      <c r="L193" s="69"/>
      <c r="M193" s="102">
        <f>SUM(M181:M191)</f>
        <v>339696</v>
      </c>
      <c r="N193" s="69"/>
      <c r="O193" s="102">
        <f>SUM(O181:O191)</f>
        <v>207257</v>
      </c>
      <c r="P193" s="69"/>
      <c r="Q193" s="102">
        <f>SUM(Q181:Q191)</f>
        <v>18824</v>
      </c>
      <c r="R193" s="69"/>
      <c r="S193" s="102">
        <f>SUM(S181:S191)</f>
        <v>0</v>
      </c>
      <c r="T193" s="69"/>
      <c r="U193" s="102">
        <f>SUM(U181:U191)</f>
        <v>0</v>
      </c>
      <c r="V193" s="69"/>
      <c r="W193" s="102">
        <f>SUM(W181:W191)</f>
        <v>565777</v>
      </c>
    </row>
    <row r="194" spans="3:23" ht="13.5" thickTop="1" x14ac:dyDescent="0.2">
      <c r="C194" s="39"/>
      <c r="D194" s="39"/>
      <c r="G194" s="72" t="str">
        <f>IF(G193=G109,"","Error")</f>
        <v/>
      </c>
      <c r="H194" s="69"/>
      <c r="I194" s="72" t="str">
        <f>IF(I193=I109,"","Error")</f>
        <v/>
      </c>
      <c r="J194" s="69"/>
      <c r="K194" s="72" t="str">
        <f>IF(K193=K109,"","Error")</f>
        <v/>
      </c>
      <c r="L194" s="69"/>
      <c r="M194" s="69" t="str">
        <f>IF(M193=M109,"","Error")</f>
        <v/>
      </c>
      <c r="N194" s="69"/>
      <c r="O194" s="69" t="str">
        <f>IF(O193=O109,"","Error")</f>
        <v/>
      </c>
      <c r="P194" s="69"/>
      <c r="Q194" s="69" t="str">
        <f>IF(Q193=Q109,"","Error")</f>
        <v/>
      </c>
      <c r="R194" s="69"/>
      <c r="S194" s="69" t="str">
        <f>IF(S193=S109,"","Error")</f>
        <v/>
      </c>
      <c r="T194" s="69"/>
      <c r="U194" s="69" t="str">
        <f>IF(U193=U109,"","Error")</f>
        <v/>
      </c>
      <c r="V194" s="69"/>
      <c r="W194" s="69" t="str">
        <f>IF(W193=W109,"","Error")</f>
        <v/>
      </c>
    </row>
    <row r="195" spans="3:23" x14ac:dyDescent="0.2">
      <c r="C195" s="96" t="s">
        <v>120</v>
      </c>
      <c r="D195" s="39" t="s">
        <v>121</v>
      </c>
      <c r="G195" s="69"/>
      <c r="H195" s="69"/>
      <c r="I195" s="69"/>
      <c r="J195" s="69"/>
      <c r="K195" s="69"/>
      <c r="L195" s="69"/>
      <c r="M195" s="69"/>
      <c r="N195" s="69"/>
      <c r="O195" s="69"/>
      <c r="P195" s="69"/>
      <c r="Q195" s="69"/>
      <c r="R195" s="69"/>
      <c r="S195" s="69"/>
      <c r="T195" s="69"/>
      <c r="U195" s="69"/>
      <c r="V195" s="69"/>
      <c r="W195" s="69"/>
    </row>
    <row r="196" spans="3:23" ht="13.5" thickBot="1" x14ac:dyDescent="0.25">
      <c r="C196" s="39"/>
      <c r="D196" s="39"/>
      <c r="G196" s="69"/>
      <c r="H196" s="69"/>
      <c r="I196" s="69"/>
      <c r="J196" s="69"/>
      <c r="K196" s="77"/>
      <c r="L196" s="69"/>
      <c r="M196" s="77"/>
      <c r="N196" s="69"/>
      <c r="O196" s="77"/>
      <c r="P196" s="69"/>
      <c r="Q196" s="69"/>
      <c r="R196" s="69"/>
      <c r="S196" s="77"/>
      <c r="T196" s="69"/>
      <c r="U196" s="77"/>
      <c r="V196" s="69"/>
      <c r="W196" s="77"/>
    </row>
    <row r="197" spans="3:23" ht="13.5" thickBot="1" x14ac:dyDescent="0.25">
      <c r="C197" s="39" t="s">
        <v>122</v>
      </c>
      <c r="D197" s="99" t="s">
        <v>123</v>
      </c>
      <c r="G197" s="102">
        <f>G174</f>
        <v>0</v>
      </c>
      <c r="H197" s="69"/>
      <c r="I197" s="102">
        <f>I174</f>
        <v>0</v>
      </c>
      <c r="J197" s="69"/>
      <c r="K197" s="101">
        <f>K174</f>
        <v>0</v>
      </c>
      <c r="L197" s="69"/>
      <c r="M197" s="102">
        <f>M174</f>
        <v>27633</v>
      </c>
      <c r="N197" s="69"/>
      <c r="O197" s="102">
        <f>O174</f>
        <v>3224</v>
      </c>
      <c r="P197" s="69"/>
      <c r="Q197" s="102">
        <f>Q174</f>
        <v>4126</v>
      </c>
      <c r="R197" s="69"/>
      <c r="S197" s="101">
        <f>S174</f>
        <v>0</v>
      </c>
      <c r="T197" s="69"/>
      <c r="U197" s="101">
        <f>U174</f>
        <v>0</v>
      </c>
      <c r="V197" s="69"/>
      <c r="W197" s="102">
        <f>W174</f>
        <v>34983</v>
      </c>
    </row>
    <row r="198" spans="3:23" ht="13.5" thickTop="1" x14ac:dyDescent="0.2">
      <c r="K198" s="52"/>
      <c r="S198" s="52"/>
      <c r="U198" s="52"/>
    </row>
    <row r="200" spans="3:23" x14ac:dyDescent="0.2">
      <c r="D200" s="39"/>
    </row>
  </sheetData>
  <sheetProtection password="C2FC" sheet="1" objects="1" scenarios="1"/>
  <mergeCells count="8">
    <mergeCell ref="B13:J13"/>
    <mergeCell ref="C166:D166"/>
    <mergeCell ref="C168:D168"/>
    <mergeCell ref="C170:D170"/>
    <mergeCell ref="C63:D63"/>
    <mergeCell ref="C101:D101"/>
    <mergeCell ref="C103:D103"/>
    <mergeCell ref="C105:D105"/>
  </mergeCells>
  <phoneticPr fontId="7" type="noConversion"/>
  <dataValidations count="2">
    <dataValidation type="list" allowBlank="1" showInputMessage="1" showErrorMessage="1" sqref="G19 O19 Q19 I19 K19 M19 S19 U19">
      <formula1>"Audited Actual, Unaudited Actual, Forecast"</formula1>
    </dataValidation>
    <dataValidation type="list" allowBlank="1" showInputMessage="1" showErrorMessage="1" sqref="E105 E42 E44 E46 E48 E54 E56 E58 E64 E66 E68 E75 E82 E84 E86 E88 E90 E92 E101 E103">
      <formula1>"Smart Meter, Computer Hardware, Computer Software, Applications Software, Tools &amp; Equipment, Other Equipment"</formula1>
    </dataValidation>
  </dataValidations>
  <pageMargins left="0.75" right="0.75" top="1" bottom="1" header="0.5" footer="0.5"/>
  <pageSetup scale="44" fitToHeight="0" orientation="landscape" r:id="rId1"/>
  <headerFooter alignWithMargins="0"/>
  <rowBreaks count="3" manualBreakCount="3">
    <brk id="61" max="23" man="1"/>
    <brk id="110" max="23" man="1"/>
    <brk id="175" max="23" man="1"/>
  </rowBreaks>
  <colBreaks count="2" manualBreakCount="2">
    <brk id="1" max="197" man="1"/>
    <brk id="2" max="197" man="1"/>
  </colBreaks>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7:Y72"/>
  <sheetViews>
    <sheetView showGridLines="0" topLeftCell="A19" zoomScale="80" workbookViewId="0">
      <selection activeCell="U41" sqref="U41"/>
    </sheetView>
  </sheetViews>
  <sheetFormatPr defaultColWidth="9.140625" defaultRowHeight="12.75" x14ac:dyDescent="0.2"/>
  <cols>
    <col min="1" max="1" width="2.5703125" style="31" customWidth="1"/>
    <col min="2" max="3" width="5.7109375" style="31" customWidth="1"/>
    <col min="4" max="4" width="41.28515625" style="31" customWidth="1"/>
    <col min="5" max="5" width="5.7109375" style="31" customWidth="1"/>
    <col min="6" max="6" width="3.28515625" style="31" customWidth="1"/>
    <col min="7" max="7" width="9.140625" style="31"/>
    <col min="8" max="8" width="2.7109375" style="31" customWidth="1"/>
    <col min="9" max="9" width="9.140625" style="31"/>
    <col min="10" max="10" width="2.7109375" style="31" customWidth="1"/>
    <col min="11" max="11" width="9.140625" style="31"/>
    <col min="12" max="12" width="2.7109375" style="31" customWidth="1"/>
    <col min="13" max="13" width="9.140625" style="31"/>
    <col min="14" max="14" width="2.7109375" style="31" customWidth="1"/>
    <col min="15" max="15" width="9.140625" style="31"/>
    <col min="16" max="16" width="2.7109375" style="31" customWidth="1"/>
    <col min="17" max="17" width="9.140625" style="31"/>
    <col min="18" max="18" width="2.7109375" style="31" customWidth="1"/>
    <col min="19" max="19" width="9.140625" style="31"/>
    <col min="20" max="20" width="1.7109375" style="31" customWidth="1"/>
    <col min="21" max="21" width="9.140625" style="31"/>
    <col min="22" max="22" width="1.7109375" style="31" customWidth="1"/>
    <col min="23" max="23" width="2.28515625" style="31" customWidth="1"/>
    <col min="24" max="24" width="1.7109375" style="31" customWidth="1"/>
    <col min="25" max="25" width="3.7109375" style="31" customWidth="1"/>
    <col min="26" max="16384" width="9.140625" style="31"/>
  </cols>
  <sheetData>
    <row r="17" spans="2:25" x14ac:dyDescent="0.2">
      <c r="B17" s="103"/>
      <c r="C17" s="103"/>
      <c r="D17" s="103"/>
      <c r="E17" s="103"/>
      <c r="F17" s="103"/>
      <c r="G17" s="103"/>
      <c r="H17" s="103"/>
      <c r="I17" s="103"/>
      <c r="J17" s="103"/>
      <c r="K17" s="103"/>
      <c r="L17" s="103"/>
      <c r="M17" s="103"/>
      <c r="N17" s="103"/>
      <c r="O17" s="103"/>
      <c r="P17" s="103"/>
      <c r="Q17" s="103"/>
      <c r="R17" s="103"/>
      <c r="S17" s="103"/>
      <c r="T17" s="103"/>
      <c r="U17" s="103"/>
      <c r="V17" s="103"/>
      <c r="W17" s="103"/>
      <c r="X17" s="103"/>
      <c r="Y17" s="103"/>
    </row>
    <row r="18" spans="2:25" x14ac:dyDescent="0.2">
      <c r="B18" s="103"/>
      <c r="C18" s="103"/>
      <c r="D18" s="103"/>
      <c r="E18" s="103"/>
      <c r="F18" s="103"/>
      <c r="G18" s="103"/>
      <c r="H18" s="103"/>
      <c r="I18" s="103"/>
      <c r="J18" s="103"/>
      <c r="K18" s="103"/>
      <c r="L18" s="103"/>
      <c r="M18" s="103"/>
      <c r="N18" s="103"/>
      <c r="O18" s="103"/>
      <c r="P18" s="103"/>
      <c r="Q18" s="103"/>
      <c r="R18" s="103"/>
      <c r="S18" s="103"/>
      <c r="T18" s="103"/>
      <c r="U18" s="103"/>
      <c r="V18" s="103"/>
      <c r="W18" s="103"/>
      <c r="X18" s="103"/>
      <c r="Y18" s="103"/>
    </row>
    <row r="19" spans="2:25" x14ac:dyDescent="0.2">
      <c r="E19" s="39"/>
      <c r="G19" s="38">
        <v>2006</v>
      </c>
      <c r="H19" s="38"/>
      <c r="I19" s="38">
        <v>2007</v>
      </c>
      <c r="J19" s="38"/>
      <c r="K19" s="38">
        <v>2008</v>
      </c>
      <c r="L19" s="38"/>
      <c r="M19" s="38">
        <v>2009</v>
      </c>
      <c r="N19" s="38"/>
      <c r="O19" s="38">
        <v>2010</v>
      </c>
      <c r="P19" s="38"/>
      <c r="Q19" s="38">
        <v>2011</v>
      </c>
      <c r="R19" s="38"/>
      <c r="S19" s="38">
        <v>2012</v>
      </c>
      <c r="U19" s="38">
        <v>2013</v>
      </c>
    </row>
    <row r="20" spans="2:25" x14ac:dyDescent="0.2">
      <c r="B20" s="39" t="s">
        <v>75</v>
      </c>
      <c r="C20" s="39"/>
      <c r="D20" s="39"/>
    </row>
    <row r="21" spans="2:25" ht="15" thickBot="1" x14ac:dyDescent="0.25">
      <c r="B21" s="39"/>
      <c r="C21" s="39" t="s">
        <v>244</v>
      </c>
      <c r="D21" s="39"/>
      <c r="E21" s="104"/>
    </row>
    <row r="22" spans="2:25" ht="13.5" thickBot="1" x14ac:dyDescent="0.25">
      <c r="B22" s="39"/>
      <c r="C22" s="39"/>
      <c r="D22" s="48" t="s">
        <v>78</v>
      </c>
      <c r="K22" s="329">
        <v>0.04</v>
      </c>
      <c r="M22" s="329">
        <v>0.04</v>
      </c>
      <c r="O22" s="329">
        <v>0.04</v>
      </c>
      <c r="Q22" s="329">
        <v>0.04</v>
      </c>
      <c r="S22" s="329">
        <v>0.04</v>
      </c>
      <c r="U22" s="329">
        <v>0.04</v>
      </c>
    </row>
    <row r="23" spans="2:25" x14ac:dyDescent="0.2">
      <c r="B23" s="39"/>
      <c r="C23" s="39"/>
      <c r="D23" s="48" t="s">
        <v>79</v>
      </c>
      <c r="G23" s="329">
        <v>0.5</v>
      </c>
      <c r="H23" s="105"/>
      <c r="I23" s="106">
        <f>G23</f>
        <v>0.5</v>
      </c>
      <c r="J23" s="107"/>
      <c r="K23" s="105">
        <f>IF(I23=50%,53.3%-K22,IF(I23=55%,57.5%-K22,IF(I23=65%,62.5%-K22,60%-K22)))</f>
        <v>0.49299999999999994</v>
      </c>
      <c r="L23" s="105"/>
      <c r="M23" s="105">
        <f>IF(I23=50%,56.7%-M22,60%-M22)</f>
        <v>0.52700000000000002</v>
      </c>
      <c r="N23" s="105"/>
      <c r="O23" s="105">
        <f>60%-O22</f>
        <v>0.55999999999999994</v>
      </c>
      <c r="P23" s="105"/>
      <c r="Q23" s="105">
        <f>O23-(Q22-O22)</f>
        <v>0.55999999999999994</v>
      </c>
      <c r="R23" s="105"/>
      <c r="S23" s="105">
        <f>Q23-(S22-Q22)</f>
        <v>0.55999999999999994</v>
      </c>
      <c r="U23" s="105">
        <f>S23-(U22-S22)</f>
        <v>0.55999999999999994</v>
      </c>
    </row>
    <row r="24" spans="2:25" ht="13.5" thickBot="1" x14ac:dyDescent="0.25">
      <c r="B24" s="39"/>
      <c r="C24" s="39"/>
      <c r="D24" s="48" t="s">
        <v>80</v>
      </c>
      <c r="G24" s="106">
        <f>100%-G23-G25</f>
        <v>0.5</v>
      </c>
      <c r="I24" s="106">
        <f>100%-I23-I25-I22</f>
        <v>0.5</v>
      </c>
      <c r="K24" s="106">
        <f>100%-K23-K25-K22</f>
        <v>0.46700000000000014</v>
      </c>
      <c r="M24" s="106">
        <f>100%-M23-M25-M22</f>
        <v>0.433</v>
      </c>
      <c r="O24" s="106">
        <f>100%-O23-O25-O22</f>
        <v>0.40000000000000008</v>
      </c>
      <c r="Q24" s="106">
        <f>100%-Q23-Q25-Q22</f>
        <v>0.40000000000000008</v>
      </c>
      <c r="S24" s="106">
        <f>100%-S23-S25-S22</f>
        <v>0.40000000000000008</v>
      </c>
      <c r="U24" s="106">
        <f>100%-U23-U25-U22</f>
        <v>0.40000000000000008</v>
      </c>
    </row>
    <row r="25" spans="2:25" x14ac:dyDescent="0.2">
      <c r="B25" s="39"/>
      <c r="C25" s="39"/>
      <c r="D25" s="48" t="s">
        <v>81</v>
      </c>
      <c r="G25" s="329"/>
      <c r="I25" s="329"/>
      <c r="J25" s="29"/>
      <c r="K25" s="329"/>
      <c r="L25" s="29"/>
      <c r="M25" s="329"/>
      <c r="N25" s="29"/>
      <c r="O25" s="329"/>
      <c r="Q25" s="329"/>
      <c r="S25" s="329"/>
      <c r="T25" s="29"/>
      <c r="U25" s="329"/>
      <c r="V25" s="29"/>
    </row>
    <row r="26" spans="2:25" x14ac:dyDescent="0.2">
      <c r="B26" s="39"/>
      <c r="C26" s="39" t="s">
        <v>7</v>
      </c>
      <c r="D26" s="39"/>
      <c r="G26" s="108">
        <f>SUM(G22:G25)</f>
        <v>1</v>
      </c>
      <c r="I26" s="108">
        <f>SUM(I22:I25)</f>
        <v>1</v>
      </c>
      <c r="K26" s="107">
        <f>SUM(K22:K25)</f>
        <v>1</v>
      </c>
      <c r="M26" s="105">
        <f>SUM(M22:M25)</f>
        <v>1</v>
      </c>
      <c r="O26" s="107">
        <f>SUM(O22:O25)</f>
        <v>1</v>
      </c>
      <c r="Q26" s="107">
        <f>SUM(Q22:Q25)</f>
        <v>1</v>
      </c>
      <c r="S26" s="107">
        <f>SUM(S22:S25)</f>
        <v>1</v>
      </c>
      <c r="U26" s="107">
        <f>SUM(U22:U25)</f>
        <v>1</v>
      </c>
    </row>
    <row r="27" spans="2:25" x14ac:dyDescent="0.2">
      <c r="B27" s="39"/>
      <c r="C27" s="39"/>
      <c r="D27" s="39"/>
    </row>
    <row r="28" spans="2:25" ht="13.5" thickBot="1" x14ac:dyDescent="0.25">
      <c r="B28" s="39"/>
      <c r="C28" s="39" t="s">
        <v>82</v>
      </c>
      <c r="D28" s="39"/>
    </row>
    <row r="29" spans="2:25" ht="13.5" thickBot="1" x14ac:dyDescent="0.25">
      <c r="B29" s="39"/>
      <c r="C29" s="39"/>
      <c r="D29" s="48" t="s">
        <v>76</v>
      </c>
      <c r="G29" s="109"/>
      <c r="K29" s="330">
        <v>4.4699999999999997E-2</v>
      </c>
      <c r="M29" s="330">
        <v>1.3299999999999999E-2</v>
      </c>
      <c r="O29" s="330">
        <v>2.07E-2</v>
      </c>
      <c r="P29" s="29"/>
      <c r="Q29" s="330">
        <v>2.4299999999999999E-2</v>
      </c>
      <c r="R29" s="29"/>
      <c r="S29" s="330">
        <v>2.0799999999999999E-2</v>
      </c>
      <c r="T29" s="29"/>
      <c r="U29" s="330">
        <v>2.0799999999999999E-2</v>
      </c>
      <c r="V29" s="29"/>
    </row>
    <row r="30" spans="2:25" ht="15" thickBot="1" x14ac:dyDescent="0.25">
      <c r="B30" s="39"/>
      <c r="C30" s="39"/>
      <c r="D30" s="48" t="s">
        <v>245</v>
      </c>
      <c r="E30" s="104"/>
      <c r="F30" s="110"/>
      <c r="G30" s="331">
        <f>IF(G23=50%,6.25%,IF(G23=55%,6%,IF(G23=60%,5.9%,5.8%)))</f>
        <v>6.25E-2</v>
      </c>
      <c r="I30" s="111">
        <f>G30</f>
        <v>6.25E-2</v>
      </c>
      <c r="K30" s="330">
        <v>5.9200000000000003E-2</v>
      </c>
      <c r="L30" s="29"/>
      <c r="M30" s="330">
        <v>7.6200000000000004E-2</v>
      </c>
      <c r="O30" s="330">
        <v>5.8700000000000002E-2</v>
      </c>
      <c r="P30" s="29"/>
      <c r="Q30" s="330">
        <v>5.4800000000000001E-2</v>
      </c>
      <c r="R30" s="29"/>
      <c r="S30" s="330">
        <v>4.41E-2</v>
      </c>
      <c r="T30" s="29"/>
      <c r="U30" s="330">
        <v>3.6799999999999999E-2</v>
      </c>
      <c r="V30" s="29"/>
    </row>
    <row r="31" spans="2:25" ht="13.5" thickBot="1" x14ac:dyDescent="0.25">
      <c r="B31" s="39"/>
      <c r="C31" s="39"/>
      <c r="D31" s="48" t="s">
        <v>83</v>
      </c>
      <c r="G31" s="329">
        <v>0.09</v>
      </c>
      <c r="I31" s="111">
        <f>G31</f>
        <v>0.09</v>
      </c>
      <c r="J31" s="29"/>
      <c r="K31" s="330">
        <v>8.5699999999999998E-2</v>
      </c>
      <c r="L31" s="29"/>
      <c r="M31" s="330">
        <v>8.0100000000000005E-2</v>
      </c>
      <c r="N31" s="29"/>
      <c r="O31" s="330">
        <v>9.8500000000000004E-2</v>
      </c>
      <c r="P31" s="29"/>
      <c r="Q31" s="330">
        <v>9.6600000000000005E-2</v>
      </c>
      <c r="R31" s="29"/>
      <c r="S31" s="330">
        <v>9.1200000000000003E-2</v>
      </c>
      <c r="U31" s="330">
        <v>8.9800000000000005E-2</v>
      </c>
    </row>
    <row r="32" spans="2:25" x14ac:dyDescent="0.2">
      <c r="B32" s="39"/>
      <c r="C32" s="39"/>
      <c r="D32" s="48" t="s">
        <v>84</v>
      </c>
      <c r="G32" s="332"/>
      <c r="H32" s="29"/>
      <c r="I32" s="332"/>
      <c r="J32" s="29"/>
      <c r="K32" s="333"/>
      <c r="M32" s="333"/>
      <c r="N32" s="29"/>
      <c r="O32" s="333"/>
      <c r="P32" s="29"/>
      <c r="Q32" s="333"/>
      <c r="S32" s="333"/>
      <c r="T32" s="29"/>
      <c r="U32" s="333"/>
      <c r="V32" s="29"/>
    </row>
    <row r="33" spans="2:21" x14ac:dyDescent="0.2">
      <c r="B33" s="39"/>
      <c r="C33" s="39" t="s">
        <v>85</v>
      </c>
      <c r="D33" s="39"/>
      <c r="G33" s="112">
        <f>SUMPRODUCT(G22:G25,G29:G32)</f>
        <v>7.6249999999999998E-2</v>
      </c>
      <c r="I33" s="112">
        <f>SUMPRODUCT(I22:I25,I29:I32)</f>
        <v>7.6249999999999998E-2</v>
      </c>
      <c r="K33" s="112">
        <f>SUMPRODUCT(K22:K25,K29:K32)</f>
        <v>7.0995500000000017E-2</v>
      </c>
      <c r="M33" s="112">
        <f>SUMPRODUCT(M22:M25,M29:M32)</f>
        <v>7.5372700000000001E-2</v>
      </c>
      <c r="O33" s="112">
        <f>SUMPRODUCT(O22:O25,O29:O32)</f>
        <v>7.3100000000000012E-2</v>
      </c>
      <c r="Q33" s="112">
        <f>SUMPRODUCT(Q22:Q25,Q29:Q32)</f>
        <v>7.0300000000000001E-2</v>
      </c>
      <c r="S33" s="112">
        <f>SUMPRODUCT(S22:S25,S29:S32)</f>
        <v>6.2008000000000008E-2</v>
      </c>
      <c r="U33" s="112">
        <f>SUMPRODUCT(U22:U25,U29:U32)</f>
        <v>5.7360000000000008E-2</v>
      </c>
    </row>
    <row r="35" spans="2:21" ht="13.5" thickBot="1" x14ac:dyDescent="0.25">
      <c r="B35" s="39" t="s">
        <v>86</v>
      </c>
      <c r="C35" s="39"/>
    </row>
    <row r="36" spans="2:21" x14ac:dyDescent="0.2">
      <c r="B36" s="39"/>
      <c r="C36" s="48" t="s">
        <v>87</v>
      </c>
      <c r="G36" s="329">
        <v>0.15</v>
      </c>
      <c r="I36" s="329">
        <v>0.15</v>
      </c>
      <c r="J36" s="29"/>
      <c r="K36" s="329">
        <v>0.15</v>
      </c>
      <c r="L36" s="29"/>
      <c r="M36" s="329">
        <v>0.15</v>
      </c>
      <c r="N36" s="29"/>
      <c r="O36" s="329">
        <v>0.15</v>
      </c>
      <c r="Q36" s="329">
        <v>0.15</v>
      </c>
      <c r="S36" s="329">
        <v>0.15</v>
      </c>
      <c r="U36" s="329">
        <v>0.13</v>
      </c>
    </row>
    <row r="37" spans="2:21" x14ac:dyDescent="0.2">
      <c r="C37" s="85" t="s">
        <v>88</v>
      </c>
      <c r="I37" s="29"/>
      <c r="K37" s="29"/>
    </row>
    <row r="39" spans="2:21" ht="13.5" thickBot="1" x14ac:dyDescent="0.25">
      <c r="B39" s="39" t="s">
        <v>89</v>
      </c>
      <c r="C39" s="39"/>
      <c r="D39" s="39"/>
    </row>
    <row r="40" spans="2:21" x14ac:dyDescent="0.2">
      <c r="B40" s="39"/>
      <c r="C40" s="48" t="s">
        <v>90</v>
      </c>
      <c r="D40" s="39"/>
      <c r="G40" s="332">
        <v>0.36120000000000002</v>
      </c>
      <c r="I40" s="332">
        <v>0.36120000000000002</v>
      </c>
      <c r="J40" s="29"/>
      <c r="K40" s="332">
        <v>0.33500000000000002</v>
      </c>
      <c r="L40" s="29"/>
      <c r="M40" s="332">
        <v>0.16500000000000001</v>
      </c>
      <c r="N40" s="29"/>
      <c r="O40" s="332">
        <v>0.20380000000000001</v>
      </c>
      <c r="Q40" s="332">
        <v>0.155</v>
      </c>
      <c r="S40" s="332">
        <v>0.16</v>
      </c>
      <c r="U40" s="332">
        <v>0.16</v>
      </c>
    </row>
    <row r="41" spans="2:21" x14ac:dyDescent="0.2">
      <c r="B41" s="39"/>
      <c r="C41" s="48" t="s">
        <v>294</v>
      </c>
      <c r="D41" s="39"/>
      <c r="G41" s="113">
        <v>3.0000000000000001E-3</v>
      </c>
      <c r="H41" s="113"/>
      <c r="I41" s="114">
        <v>2.2499999999999998E-3</v>
      </c>
      <c r="J41" s="113"/>
      <c r="K41" s="114">
        <v>2.2499999999999998E-3</v>
      </c>
      <c r="L41" s="113"/>
      <c r="M41" s="114">
        <v>2.2499999999999998E-3</v>
      </c>
      <c r="N41" s="113"/>
      <c r="O41" s="114">
        <v>7.5000000000000002E-4</v>
      </c>
      <c r="P41" s="113"/>
      <c r="Q41" s="113">
        <v>0</v>
      </c>
      <c r="R41" s="113"/>
      <c r="S41" s="113">
        <v>0</v>
      </c>
      <c r="U41" s="113">
        <v>0</v>
      </c>
    </row>
    <row r="42" spans="2:21" x14ac:dyDescent="0.2">
      <c r="B42" s="39"/>
      <c r="C42" s="48"/>
      <c r="D42" s="39"/>
      <c r="K42" s="29"/>
    </row>
    <row r="43" spans="2:21" x14ac:dyDescent="0.2">
      <c r="B43" s="39" t="s">
        <v>91</v>
      </c>
      <c r="C43" s="39"/>
      <c r="D43" s="39"/>
    </row>
    <row r="44" spans="2:21" ht="13.5" thickBot="1" x14ac:dyDescent="0.25">
      <c r="B44" s="85" t="s">
        <v>92</v>
      </c>
    </row>
    <row r="45" spans="2:21" x14ac:dyDescent="0.2">
      <c r="B45" s="39"/>
      <c r="C45" s="48" t="s">
        <v>242</v>
      </c>
      <c r="D45" s="48"/>
      <c r="E45" s="115"/>
      <c r="G45" s="334"/>
      <c r="I45" s="334"/>
      <c r="J45" s="29"/>
      <c r="K45" s="334"/>
      <c r="L45" s="29"/>
      <c r="M45" s="334">
        <v>15</v>
      </c>
      <c r="N45" s="29"/>
      <c r="O45" s="334">
        <v>15</v>
      </c>
      <c r="Q45" s="334">
        <v>15</v>
      </c>
      <c r="S45" s="334">
        <v>15</v>
      </c>
      <c r="U45" s="334">
        <v>15</v>
      </c>
    </row>
    <row r="46" spans="2:21" ht="13.5" thickBot="1" x14ac:dyDescent="0.25">
      <c r="B46" s="39"/>
      <c r="C46" s="116" t="s">
        <v>243</v>
      </c>
      <c r="D46" s="39"/>
      <c r="E46" s="115"/>
      <c r="G46" s="117">
        <f>IF(G45=0,0,1/G45)</f>
        <v>0</v>
      </c>
      <c r="H46" s="29"/>
      <c r="I46" s="117">
        <f>IF(I45=0,0,1/I45)</f>
        <v>0</v>
      </c>
      <c r="J46" s="29"/>
      <c r="K46" s="117">
        <f>IF(K45=0,0,1/K45)</f>
        <v>0</v>
      </c>
      <c r="L46" s="29"/>
      <c r="M46" s="117">
        <f>IF(M45=0,0,1/M45)</f>
        <v>6.6666666666666666E-2</v>
      </c>
      <c r="N46" s="29"/>
      <c r="O46" s="117">
        <f>IF(O45=0,0,1/O45)</f>
        <v>6.6666666666666666E-2</v>
      </c>
      <c r="Q46" s="117">
        <f>IF(Q45=0,0,1/Q45)</f>
        <v>6.6666666666666666E-2</v>
      </c>
      <c r="R46" s="29"/>
      <c r="S46" s="117">
        <f>IF(S45=0,0,1/S45)</f>
        <v>6.6666666666666666E-2</v>
      </c>
      <c r="U46" s="117">
        <f>IF(U45=0,0,1/U45)</f>
        <v>6.6666666666666666E-2</v>
      </c>
    </row>
    <row r="47" spans="2:21" x14ac:dyDescent="0.2">
      <c r="B47" s="39"/>
      <c r="C47" s="48" t="s">
        <v>239</v>
      </c>
      <c r="D47" s="39"/>
      <c r="G47" s="334"/>
      <c r="I47" s="334"/>
      <c r="J47" s="29"/>
      <c r="K47" s="334"/>
      <c r="L47" s="29"/>
      <c r="M47" s="334">
        <v>10</v>
      </c>
      <c r="N47" s="29"/>
      <c r="O47" s="334">
        <v>10</v>
      </c>
      <c r="Q47" s="334">
        <v>10</v>
      </c>
      <c r="S47" s="334">
        <v>10</v>
      </c>
      <c r="U47" s="334">
        <v>10</v>
      </c>
    </row>
    <row r="48" spans="2:21" ht="13.5" thickBot="1" x14ac:dyDescent="0.25">
      <c r="B48" s="39"/>
      <c r="C48" s="116" t="s">
        <v>240</v>
      </c>
      <c r="D48" s="48"/>
      <c r="G48" s="117">
        <f>IF(G47=0,0,1/G47)</f>
        <v>0</v>
      </c>
      <c r="I48" s="117">
        <f>IF(I47=0,0,1/I47)</f>
        <v>0</v>
      </c>
      <c r="J48" s="29"/>
      <c r="K48" s="117">
        <f>IF(K47=0,0,1/K47)</f>
        <v>0</v>
      </c>
      <c r="L48" s="29"/>
      <c r="M48" s="117">
        <f>IF(M47=0,0,1/M47)</f>
        <v>0.1</v>
      </c>
      <c r="N48" s="29"/>
      <c r="O48" s="117">
        <f>IF(O47=0,0,1/O47)</f>
        <v>0.1</v>
      </c>
      <c r="Q48" s="117">
        <f>IF(Q47=0,0,1/Q47)</f>
        <v>0.1</v>
      </c>
      <c r="R48" s="29"/>
      <c r="S48" s="117">
        <f>IF(S47=0,0,1/S47)</f>
        <v>0.1</v>
      </c>
      <c r="U48" s="117">
        <f>IF(U47=0,0,1/U47)</f>
        <v>0.1</v>
      </c>
    </row>
    <row r="49" spans="2:22" x14ac:dyDescent="0.2">
      <c r="B49" s="39"/>
      <c r="C49" s="48" t="s">
        <v>237</v>
      </c>
      <c r="D49" s="48"/>
      <c r="G49" s="334"/>
      <c r="I49" s="334"/>
      <c r="J49" s="29"/>
      <c r="K49" s="334"/>
      <c r="L49" s="29"/>
      <c r="M49" s="334"/>
      <c r="N49" s="29"/>
      <c r="O49" s="334"/>
      <c r="Q49" s="334"/>
      <c r="S49" s="334"/>
      <c r="U49" s="334"/>
    </row>
    <row r="50" spans="2:22" ht="13.5" thickBot="1" x14ac:dyDescent="0.25">
      <c r="B50" s="39"/>
      <c r="C50" s="116" t="s">
        <v>240</v>
      </c>
      <c r="D50" s="39"/>
      <c r="F50" s="29"/>
      <c r="G50" s="117">
        <f>IF(G49=0,0,1/G49)</f>
        <v>0</v>
      </c>
      <c r="I50" s="117">
        <f>IF(I49=0,0,1/I49)</f>
        <v>0</v>
      </c>
      <c r="J50" s="29"/>
      <c r="K50" s="117">
        <f>IF(K49=0,0,1/K49)</f>
        <v>0</v>
      </c>
      <c r="L50" s="29"/>
      <c r="M50" s="117">
        <f>IF(M49=0,0,1/M49)</f>
        <v>0</v>
      </c>
      <c r="N50" s="29"/>
      <c r="O50" s="117">
        <f>IF(O49=0,0,1/O49)</f>
        <v>0</v>
      </c>
      <c r="Q50" s="117">
        <f>IF(Q49=0,0,1/Q49)</f>
        <v>0</v>
      </c>
      <c r="R50" s="29"/>
      <c r="S50" s="117">
        <f>IF(S49=0,0,1/S49)</f>
        <v>0</v>
      </c>
      <c r="T50" s="29"/>
      <c r="U50" s="117">
        <f>IF(U49=0,0,1/U49)</f>
        <v>0</v>
      </c>
      <c r="V50" s="29"/>
    </row>
    <row r="51" spans="2:22" x14ac:dyDescent="0.2">
      <c r="B51" s="39"/>
      <c r="C51" s="48" t="s">
        <v>238</v>
      </c>
      <c r="D51" s="48"/>
      <c r="G51" s="334"/>
      <c r="I51" s="334"/>
      <c r="J51" s="29"/>
      <c r="K51" s="334"/>
      <c r="L51" s="29"/>
      <c r="M51" s="334"/>
      <c r="N51" s="29"/>
      <c r="O51" s="334"/>
      <c r="Q51" s="334"/>
      <c r="S51" s="334"/>
      <c r="U51" s="334"/>
    </row>
    <row r="52" spans="2:22" ht="13.5" thickBot="1" x14ac:dyDescent="0.25">
      <c r="B52" s="39"/>
      <c r="C52" s="116" t="s">
        <v>240</v>
      </c>
      <c r="D52" s="39"/>
      <c r="G52" s="117">
        <f>IF(G51=0,0,1/G51)</f>
        <v>0</v>
      </c>
      <c r="H52" s="29"/>
      <c r="I52" s="117">
        <f>IF(I51=0,0,1/I51)</f>
        <v>0</v>
      </c>
      <c r="J52" s="29"/>
      <c r="K52" s="117">
        <f>IF(K51=0,0,1/K51)</f>
        <v>0</v>
      </c>
      <c r="L52" s="29"/>
      <c r="M52" s="117">
        <f>IF(M51=0,0,1/M51)</f>
        <v>0</v>
      </c>
      <c r="N52" s="29"/>
      <c r="O52" s="117">
        <f>IF(O51=0,0,1/O51)</f>
        <v>0</v>
      </c>
      <c r="Q52" s="117">
        <f>IF(Q51=0,0,1/Q51)</f>
        <v>0</v>
      </c>
      <c r="R52" s="29"/>
      <c r="S52" s="117">
        <f>IF(S51=0,0,1/S51)</f>
        <v>0</v>
      </c>
      <c r="U52" s="117">
        <f>IF(U51=0,0,1/U51)</f>
        <v>0</v>
      </c>
    </row>
    <row r="53" spans="2:22" x14ac:dyDescent="0.2">
      <c r="B53" s="39"/>
      <c r="C53" s="48" t="s">
        <v>241</v>
      </c>
      <c r="D53" s="48"/>
      <c r="G53" s="334"/>
      <c r="I53" s="334"/>
      <c r="J53" s="29"/>
      <c r="K53" s="334"/>
      <c r="L53" s="29"/>
      <c r="M53" s="334"/>
      <c r="N53" s="29"/>
      <c r="O53" s="334"/>
      <c r="Q53" s="334"/>
      <c r="S53" s="334"/>
      <c r="U53" s="334"/>
    </row>
    <row r="54" spans="2:22" x14ac:dyDescent="0.2">
      <c r="B54" s="39"/>
      <c r="C54" s="116" t="s">
        <v>240</v>
      </c>
      <c r="D54" s="48"/>
      <c r="G54" s="117">
        <f>IF(G53=0,0,1/G53)</f>
        <v>0</v>
      </c>
      <c r="H54" s="29"/>
      <c r="I54" s="117">
        <f>IF(I53=0,0,1/I53)</f>
        <v>0</v>
      </c>
      <c r="J54" s="29"/>
      <c r="K54" s="117">
        <f>IF(K53=0,0,1/K53)</f>
        <v>0</v>
      </c>
      <c r="L54" s="29"/>
      <c r="M54" s="117">
        <f>IF(M53=0,0,1/M53)</f>
        <v>0</v>
      </c>
      <c r="N54" s="29"/>
      <c r="O54" s="117">
        <f>IF(O53=0,0,1/O53)</f>
        <v>0</v>
      </c>
      <c r="P54" s="29"/>
      <c r="Q54" s="117">
        <f>IF(Q53=0,0,1/Q53)</f>
        <v>0</v>
      </c>
      <c r="S54" s="117">
        <f>IF(S53=0,0,1/S53)</f>
        <v>0</v>
      </c>
      <c r="T54" s="29"/>
      <c r="U54" s="117">
        <f>IF(U53=0,0,1/U53)</f>
        <v>0</v>
      </c>
      <c r="V54" s="29"/>
    </row>
    <row r="55" spans="2:22" x14ac:dyDescent="0.2">
      <c r="B55" s="39"/>
      <c r="C55" s="39"/>
      <c r="K55" s="29"/>
      <c r="M55" s="29"/>
      <c r="O55" s="29"/>
      <c r="Q55" s="29"/>
    </row>
    <row r="56" spans="2:22" ht="13.5" thickBot="1" x14ac:dyDescent="0.25">
      <c r="B56" s="39" t="s">
        <v>94</v>
      </c>
      <c r="C56" s="39"/>
      <c r="M56" s="29"/>
    </row>
    <row r="57" spans="2:22" ht="13.5" thickBot="1" x14ac:dyDescent="0.25">
      <c r="C57" s="48" t="s">
        <v>295</v>
      </c>
      <c r="G57" s="335"/>
      <c r="H57" s="91"/>
      <c r="I57" s="335"/>
      <c r="J57" s="91"/>
      <c r="K57" s="335"/>
      <c r="L57" s="91"/>
      <c r="M57" s="335">
        <v>47</v>
      </c>
      <c r="N57" s="91"/>
      <c r="O57" s="335">
        <v>47</v>
      </c>
      <c r="P57" s="91"/>
      <c r="Q57" s="335">
        <v>47</v>
      </c>
      <c r="R57" s="91"/>
      <c r="S57" s="335">
        <v>47</v>
      </c>
      <c r="T57" s="29"/>
      <c r="U57" s="335">
        <v>47</v>
      </c>
      <c r="V57" s="29"/>
    </row>
    <row r="58" spans="2:22" x14ac:dyDescent="0.2">
      <c r="C58" s="48" t="s">
        <v>296</v>
      </c>
      <c r="G58" s="336"/>
      <c r="H58" s="91"/>
      <c r="I58" s="336"/>
      <c r="J58" s="91"/>
      <c r="K58" s="336"/>
      <c r="L58" s="91"/>
      <c r="M58" s="336">
        <v>0.08</v>
      </c>
      <c r="N58" s="91"/>
      <c r="O58" s="336">
        <v>0.08</v>
      </c>
      <c r="P58" s="91"/>
      <c r="Q58" s="336">
        <v>0.08</v>
      </c>
      <c r="R58" s="91"/>
      <c r="S58" s="336">
        <v>0.08</v>
      </c>
      <c r="T58" s="29"/>
      <c r="U58" s="336">
        <v>0.08</v>
      </c>
      <c r="V58" s="29"/>
    </row>
    <row r="59" spans="2:22" ht="13.5" thickBot="1" x14ac:dyDescent="0.25">
      <c r="C59" s="48"/>
      <c r="G59" s="29"/>
    </row>
    <row r="60" spans="2:22" ht="13.5" thickBot="1" x14ac:dyDescent="0.25">
      <c r="C60" s="48" t="s">
        <v>297</v>
      </c>
      <c r="F60" s="29"/>
      <c r="G60" s="335"/>
      <c r="H60" s="91"/>
      <c r="I60" s="335"/>
      <c r="J60" s="91"/>
      <c r="K60" s="335"/>
      <c r="L60" s="91"/>
      <c r="M60" s="335">
        <v>10</v>
      </c>
      <c r="N60" s="91"/>
      <c r="O60" s="335">
        <v>10</v>
      </c>
      <c r="P60" s="91"/>
      <c r="Q60" s="335">
        <v>10</v>
      </c>
      <c r="R60" s="10"/>
      <c r="S60" s="335">
        <v>10</v>
      </c>
      <c r="U60" s="335">
        <v>10</v>
      </c>
    </row>
    <row r="61" spans="2:22" x14ac:dyDescent="0.2">
      <c r="C61" s="48" t="s">
        <v>298</v>
      </c>
      <c r="F61" s="29"/>
      <c r="G61" s="336"/>
      <c r="H61" s="91"/>
      <c r="I61" s="336"/>
      <c r="J61" s="91"/>
      <c r="K61" s="336"/>
      <c r="L61" s="91"/>
      <c r="M61" s="336">
        <v>0.3</v>
      </c>
      <c r="N61" s="10"/>
      <c r="O61" s="336">
        <v>0.3</v>
      </c>
      <c r="P61" s="91"/>
      <c r="Q61" s="336">
        <v>0.3</v>
      </c>
      <c r="R61" s="91"/>
      <c r="S61" s="336">
        <v>0.3</v>
      </c>
      <c r="T61" s="29"/>
      <c r="U61" s="336">
        <v>0.3</v>
      </c>
      <c r="V61" s="29"/>
    </row>
    <row r="62" spans="2:22" ht="13.5" thickBot="1" x14ac:dyDescent="0.25">
      <c r="C62" s="48"/>
      <c r="G62" s="29"/>
      <c r="K62" s="29"/>
      <c r="L62" s="10"/>
      <c r="M62" s="29"/>
    </row>
    <row r="63" spans="2:22" ht="13.5" thickBot="1" x14ac:dyDescent="0.25">
      <c r="C63" s="48" t="s">
        <v>299</v>
      </c>
      <c r="G63" s="335"/>
      <c r="H63" s="10"/>
      <c r="I63" s="335"/>
      <c r="J63" s="10"/>
      <c r="K63" s="335"/>
      <c r="L63" s="91"/>
      <c r="M63" s="335"/>
      <c r="N63" s="91"/>
      <c r="O63" s="335"/>
      <c r="P63" s="91"/>
      <c r="Q63" s="335"/>
      <c r="R63" s="91"/>
      <c r="S63" s="335"/>
      <c r="T63" s="29"/>
      <c r="U63" s="335"/>
      <c r="V63" s="29"/>
    </row>
    <row r="64" spans="2:22" x14ac:dyDescent="0.2">
      <c r="C64" s="48" t="s">
        <v>300</v>
      </c>
      <c r="G64" s="336"/>
      <c r="H64" s="10"/>
      <c r="I64" s="336"/>
      <c r="J64" s="91"/>
      <c r="K64" s="336"/>
      <c r="L64" s="91"/>
      <c r="M64" s="336"/>
      <c r="N64" s="91"/>
      <c r="O64" s="336"/>
      <c r="P64" s="10"/>
      <c r="Q64" s="336"/>
      <c r="R64" s="91"/>
      <c r="S64" s="336"/>
      <c r="T64" s="29"/>
      <c r="U64" s="336"/>
      <c r="V64" s="29"/>
    </row>
    <row r="65" spans="2:22" ht="13.5" thickBot="1" x14ac:dyDescent="0.25">
      <c r="C65" s="48"/>
      <c r="G65" s="204"/>
      <c r="H65" s="10"/>
      <c r="I65" s="204"/>
      <c r="J65" s="91"/>
      <c r="K65" s="204"/>
      <c r="L65" s="91"/>
      <c r="M65" s="204"/>
      <c r="N65" s="91"/>
      <c r="O65" s="204"/>
      <c r="P65" s="10"/>
      <c r="Q65" s="204"/>
      <c r="R65" s="91"/>
      <c r="S65" s="204"/>
      <c r="T65" s="29"/>
      <c r="U65" s="204"/>
      <c r="V65" s="29"/>
    </row>
    <row r="66" spans="2:22" ht="13.5" thickBot="1" x14ac:dyDescent="0.25">
      <c r="C66" s="48" t="s">
        <v>361</v>
      </c>
      <c r="G66" s="335"/>
      <c r="H66" s="10"/>
      <c r="I66" s="335"/>
      <c r="J66" s="10"/>
      <c r="K66" s="335"/>
      <c r="L66" s="91"/>
      <c r="M66" s="335">
        <v>10</v>
      </c>
      <c r="N66" s="91"/>
      <c r="O66" s="335">
        <v>10</v>
      </c>
      <c r="P66" s="91"/>
      <c r="Q66" s="335">
        <v>10</v>
      </c>
      <c r="R66" s="91"/>
      <c r="S66" s="335">
        <v>10</v>
      </c>
      <c r="T66" s="29"/>
      <c r="U66" s="335">
        <v>10</v>
      </c>
      <c r="V66" s="29"/>
    </row>
    <row r="67" spans="2:22" x14ac:dyDescent="0.2">
      <c r="C67" s="48" t="s">
        <v>362</v>
      </c>
      <c r="G67" s="336"/>
      <c r="H67" s="10"/>
      <c r="I67" s="336"/>
      <c r="J67" s="91"/>
      <c r="K67" s="336"/>
      <c r="L67" s="91"/>
      <c r="M67" s="336">
        <v>0.3</v>
      </c>
      <c r="N67" s="91"/>
      <c r="O67" s="336">
        <v>0.3</v>
      </c>
      <c r="P67" s="10"/>
      <c r="Q67" s="336">
        <v>0.3</v>
      </c>
      <c r="R67" s="91"/>
      <c r="S67" s="336">
        <v>0.3</v>
      </c>
      <c r="T67" s="29"/>
      <c r="U67" s="336">
        <v>0.3</v>
      </c>
      <c r="V67" s="29"/>
    </row>
    <row r="68" spans="2:22" x14ac:dyDescent="0.2">
      <c r="C68" s="39"/>
      <c r="I68" s="29"/>
      <c r="M68" s="29"/>
      <c r="O68" s="29"/>
    </row>
    <row r="69" spans="2:22" x14ac:dyDescent="0.2">
      <c r="B69" s="118" t="s">
        <v>95</v>
      </c>
    </row>
    <row r="70" spans="2:22" ht="14.25" x14ac:dyDescent="0.2">
      <c r="B70" s="119">
        <v>1</v>
      </c>
      <c r="C70" s="120" t="s">
        <v>96</v>
      </c>
      <c r="D70" s="120"/>
    </row>
    <row r="71" spans="2:22" ht="14.25" x14ac:dyDescent="0.2">
      <c r="B71" s="119">
        <v>2</v>
      </c>
      <c r="C71" s="120" t="s">
        <v>97</v>
      </c>
      <c r="D71" s="120"/>
    </row>
    <row r="72" spans="2:22" x14ac:dyDescent="0.2">
      <c r="B72" s="120">
        <v>3</v>
      </c>
      <c r="C72" s="120" t="s">
        <v>98</v>
      </c>
      <c r="D72" s="120"/>
    </row>
  </sheetData>
  <sheetProtection password="C2FC" sheet="1" objects="1" scenarios="1"/>
  <phoneticPr fontId="7" type="noConversion"/>
  <conditionalFormatting sqref="G40 I40">
    <cfRule type="cellIs" dxfId="13" priority="1" stopIfTrue="1" operator="notEqual">
      <formula>0.3612</formula>
    </cfRule>
  </conditionalFormatting>
  <conditionalFormatting sqref="K40">
    <cfRule type="cellIs" dxfId="12" priority="2" stopIfTrue="1" operator="notEqual">
      <formula>0.335</formula>
    </cfRule>
  </conditionalFormatting>
  <conditionalFormatting sqref="M40">
    <cfRule type="cellIs" dxfId="11" priority="3" stopIfTrue="1" operator="notEqual">
      <formula>0.33</formula>
    </cfRule>
  </conditionalFormatting>
  <conditionalFormatting sqref="O40">
    <cfRule type="cellIs" dxfId="10" priority="4" stopIfTrue="1" operator="notEqual">
      <formula>0.31</formula>
    </cfRule>
  </conditionalFormatting>
  <conditionalFormatting sqref="Q40">
    <cfRule type="cellIs" dxfId="9" priority="5" stopIfTrue="1" operator="notEqual">
      <formula>0.2825</formula>
    </cfRule>
  </conditionalFormatting>
  <conditionalFormatting sqref="S40">
    <cfRule type="cellIs" dxfId="8" priority="6" stopIfTrue="1" operator="notEqual">
      <formula>0.2625</formula>
    </cfRule>
  </conditionalFormatting>
  <conditionalFormatting sqref="U40">
    <cfRule type="cellIs" dxfId="7" priority="7" stopIfTrue="1" operator="notEqual">
      <formula>0.255</formula>
    </cfRule>
  </conditionalFormatting>
  <pageMargins left="0.75" right="0.75" top="1" bottom="1" header="0.5" footer="0.5"/>
  <pageSetup scale="78" fitToHeight="0" orientation="landscape" r:id="rId1"/>
  <headerFooter alignWithMargins="0"/>
  <rowBreaks count="1" manualBreakCount="1">
    <brk id="42" max="21" man="1"/>
  </rowBreak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8:V112"/>
  <sheetViews>
    <sheetView showGridLines="0" topLeftCell="A15" zoomScale="80" zoomScaleNormal="100" workbookViewId="0">
      <selection activeCell="B48" sqref="B48"/>
    </sheetView>
  </sheetViews>
  <sheetFormatPr defaultColWidth="9.140625" defaultRowHeight="12.75" x14ac:dyDescent="0.2"/>
  <cols>
    <col min="1" max="1" width="2.7109375" style="31" customWidth="1"/>
    <col min="2" max="2" width="4.28515625" style="31" customWidth="1"/>
    <col min="3" max="3" width="4.7109375" style="31" customWidth="1"/>
    <col min="4" max="4" width="48.85546875" style="31" customWidth="1"/>
    <col min="5" max="5" width="1.7109375" style="31" customWidth="1"/>
    <col min="6" max="6" width="1.85546875" style="31" customWidth="1"/>
    <col min="7" max="7" width="17.7109375" style="31" customWidth="1"/>
    <col min="8" max="8" width="2.7109375" style="31" customWidth="1"/>
    <col min="9" max="9" width="17.7109375" style="31" customWidth="1"/>
    <col min="10" max="10" width="2.7109375" style="31" customWidth="1"/>
    <col min="11" max="11" width="17.7109375" style="31" customWidth="1"/>
    <col min="12" max="12" width="2.7109375" style="31" customWidth="1"/>
    <col min="13" max="13" width="17.7109375" style="31" customWidth="1"/>
    <col min="14" max="14" width="2.7109375" style="31" customWidth="1"/>
    <col min="15" max="15" width="17.7109375" style="31" customWidth="1"/>
    <col min="16" max="16" width="2.7109375" style="31" customWidth="1"/>
    <col min="17" max="17" width="17.5703125" style="31" customWidth="1"/>
    <col min="18" max="18" width="2.7109375" style="31" customWidth="1"/>
    <col min="19" max="19" width="17.7109375" style="31" customWidth="1"/>
    <col min="20" max="20" width="2.5703125" style="1" customWidth="1"/>
    <col min="21" max="21" width="17.7109375" style="31" customWidth="1"/>
    <col min="22" max="16384" width="9.140625" style="31"/>
  </cols>
  <sheetData>
    <row r="18" spans="2:22" x14ac:dyDescent="0.2">
      <c r="G18" s="38">
        <v>2006</v>
      </c>
      <c r="I18" s="38">
        <v>2007</v>
      </c>
      <c r="K18" s="38">
        <v>2008</v>
      </c>
      <c r="M18" s="38">
        <v>2009</v>
      </c>
      <c r="N18" s="38"/>
      <c r="O18" s="38">
        <v>2010</v>
      </c>
      <c r="Q18" s="38">
        <v>2011</v>
      </c>
      <c r="S18" s="38">
        <v>2012</v>
      </c>
      <c r="T18" s="216"/>
      <c r="U18" s="38">
        <v>2013</v>
      </c>
    </row>
    <row r="19" spans="2:22" x14ac:dyDescent="0.2">
      <c r="B19" s="39" t="s">
        <v>99</v>
      </c>
    </row>
    <row r="21" spans="2:22" ht="13.5" thickBot="1" x14ac:dyDescent="0.25">
      <c r="C21" s="39" t="s">
        <v>105</v>
      </c>
    </row>
    <row r="22" spans="2:22" x14ac:dyDescent="0.2">
      <c r="D22" s="31" t="s">
        <v>100</v>
      </c>
      <c r="G22" s="337"/>
      <c r="H22" s="121"/>
      <c r="I22" s="121">
        <f>G25</f>
        <v>0</v>
      </c>
      <c r="J22" s="121"/>
      <c r="K22" s="121">
        <f>I25</f>
        <v>0</v>
      </c>
      <c r="L22" s="121"/>
      <c r="M22" s="121">
        <f>K25</f>
        <v>0</v>
      </c>
      <c r="N22" s="121"/>
      <c r="O22" s="121">
        <f>M25</f>
        <v>338453</v>
      </c>
      <c r="P22" s="121"/>
      <c r="Q22" s="121">
        <f>O25</f>
        <v>522904</v>
      </c>
      <c r="R22" s="121"/>
      <c r="S22" s="121">
        <f>Q25</f>
        <v>527746</v>
      </c>
      <c r="T22" s="217"/>
      <c r="U22" s="121">
        <f>S25</f>
        <v>527746</v>
      </c>
    </row>
    <row r="23" spans="2:22" ht="13.5" thickBot="1" x14ac:dyDescent="0.25">
      <c r="D23" s="31" t="s">
        <v>101</v>
      </c>
      <c r="G23" s="121">
        <f>'2. Smart_Meter_Costs'!G181</f>
        <v>0</v>
      </c>
      <c r="H23" s="121"/>
      <c r="I23" s="121">
        <f>'2. Smart_Meter_Costs'!I181</f>
        <v>0</v>
      </c>
      <c r="J23" s="121"/>
      <c r="K23" s="121">
        <f>'2. Smart_Meter_Costs'!K181</f>
        <v>0</v>
      </c>
      <c r="L23" s="121"/>
      <c r="M23" s="121">
        <f>'2. Smart_Meter_Costs'!M181</f>
        <v>338453</v>
      </c>
      <c r="N23" s="121"/>
      <c r="O23" s="121">
        <f>'2. Smart_Meter_Costs'!O181</f>
        <v>184451</v>
      </c>
      <c r="P23" s="121"/>
      <c r="Q23" s="122">
        <f>'2. Smart_Meter_Costs'!Q181</f>
        <v>4842</v>
      </c>
      <c r="R23" s="121"/>
      <c r="S23" s="121">
        <f>'2. Smart_Meter_Costs'!S181</f>
        <v>0</v>
      </c>
      <c r="T23" s="217"/>
      <c r="U23" s="121">
        <f>'2. Smart_Meter_Costs'!U181</f>
        <v>0</v>
      </c>
    </row>
    <row r="24" spans="2:22" x14ac:dyDescent="0.2">
      <c r="D24" s="31" t="s">
        <v>102</v>
      </c>
      <c r="G24" s="338"/>
      <c r="H24" s="123"/>
      <c r="I24" s="338"/>
      <c r="J24" s="123"/>
      <c r="K24" s="338"/>
      <c r="L24" s="123"/>
      <c r="M24" s="338"/>
      <c r="N24" s="123"/>
      <c r="O24" s="338"/>
      <c r="P24" s="59"/>
      <c r="Q24" s="338"/>
      <c r="R24" s="59"/>
      <c r="S24" s="338"/>
      <c r="T24" s="211"/>
      <c r="U24" s="338"/>
      <c r="V24" s="29"/>
    </row>
    <row r="25" spans="2:22" ht="13.5" thickBot="1" x14ac:dyDescent="0.25">
      <c r="D25" s="31" t="s">
        <v>103</v>
      </c>
      <c r="G25" s="124">
        <f>G22+G23-G24</f>
        <v>0</v>
      </c>
      <c r="H25" s="121"/>
      <c r="I25" s="124">
        <f>I22+I23-I24</f>
        <v>0</v>
      </c>
      <c r="J25" s="121"/>
      <c r="K25" s="124">
        <f>K22+K23-K24</f>
        <v>0</v>
      </c>
      <c r="L25" s="121"/>
      <c r="M25" s="124">
        <f>M22+M23-M24</f>
        <v>338453</v>
      </c>
      <c r="N25" s="121"/>
      <c r="O25" s="124">
        <f>O22+O23-O24</f>
        <v>522904</v>
      </c>
      <c r="P25" s="121"/>
      <c r="Q25" s="124">
        <f>Q22+Q23-Q24</f>
        <v>527746</v>
      </c>
      <c r="R25" s="121"/>
      <c r="S25" s="124">
        <f>S22+S23-S24</f>
        <v>527746</v>
      </c>
      <c r="T25" s="19"/>
      <c r="U25" s="124">
        <f>U22+U23-U24</f>
        <v>527746</v>
      </c>
    </row>
    <row r="26" spans="2:22" ht="13.5" thickTop="1" x14ac:dyDescent="0.2">
      <c r="G26" s="84"/>
      <c r="H26" s="121"/>
      <c r="I26" s="121"/>
      <c r="J26" s="121"/>
      <c r="K26" s="121"/>
      <c r="L26" s="121"/>
      <c r="M26" s="121"/>
      <c r="N26" s="121"/>
      <c r="O26" s="121"/>
      <c r="P26" s="121"/>
      <c r="Q26" s="121"/>
      <c r="R26" s="121"/>
      <c r="S26" s="84"/>
      <c r="T26" s="19"/>
      <c r="U26" s="84"/>
    </row>
    <row r="27" spans="2:22" ht="13.5" thickBot="1" x14ac:dyDescent="0.25">
      <c r="C27" s="39" t="s">
        <v>106</v>
      </c>
      <c r="G27" s="121"/>
      <c r="H27" s="121"/>
      <c r="I27" s="121"/>
      <c r="J27" s="121"/>
      <c r="K27" s="121"/>
      <c r="L27" s="121"/>
      <c r="M27" s="121"/>
      <c r="N27" s="121"/>
      <c r="O27" s="121"/>
      <c r="P27" s="121"/>
      <c r="Q27" s="121"/>
      <c r="R27" s="121"/>
      <c r="S27" s="121"/>
      <c r="T27" s="217"/>
      <c r="U27" s="121"/>
    </row>
    <row r="28" spans="2:22" ht="13.5" thickBot="1" x14ac:dyDescent="0.25">
      <c r="D28" s="31" t="s">
        <v>100</v>
      </c>
      <c r="G28" s="339"/>
      <c r="H28" s="59"/>
      <c r="I28" s="209">
        <f>G31</f>
        <v>0</v>
      </c>
      <c r="J28" s="59"/>
      <c r="K28" s="209">
        <f>I31</f>
        <v>0</v>
      </c>
      <c r="L28" s="59"/>
      <c r="M28" s="209">
        <f>K31</f>
        <v>0</v>
      </c>
      <c r="N28" s="59"/>
      <c r="O28" s="209">
        <f>M31</f>
        <v>-11281.766666666666</v>
      </c>
      <c r="P28" s="59"/>
      <c r="Q28" s="209">
        <f>O31</f>
        <v>-39993.666666666672</v>
      </c>
      <c r="R28" s="59"/>
      <c r="S28" s="209">
        <f>Q31</f>
        <v>-75015.333333333343</v>
      </c>
      <c r="T28" s="212"/>
      <c r="U28" s="209">
        <f>S31</f>
        <v>-110198.40000000001</v>
      </c>
    </row>
    <row r="29" spans="2:22" ht="13.5" thickBot="1" x14ac:dyDescent="0.25">
      <c r="D29" s="31" t="s">
        <v>125</v>
      </c>
      <c r="F29" s="110"/>
      <c r="G29" s="340">
        <f>IF(ISERROR(-G23/('3. Cost_of_Service_Parameters'!G45*2)), 0, -G23/('3. Cost_of_Service_Parameters'!G45*2))</f>
        <v>0</v>
      </c>
      <c r="H29" s="125"/>
      <c r="I29" s="340">
        <f>IF(ISERROR(-(I23/('3. Cost_of_Service_Parameters'!I45*2)+MIN((I22/'3. Cost_of_Service_Parameters'!I45),(I22+I28)))), 0, -(I23/('3. Cost_of_Service_Parameters'!I45*2)+MIN((I22/'3. Cost_of_Service_Parameters'!I45),(I22+I28))))</f>
        <v>0</v>
      </c>
      <c r="J29" s="125"/>
      <c r="K29" s="340">
        <f>IF(ISERROR(-(K23/('3. Cost_of_Service_Parameters'!K45*2)+MIN((K22/'3. Cost_of_Service_Parameters'!K45),(K22+K28)))), 0, -(K23/('3. Cost_of_Service_Parameters'!K45*2)+MIN((K22/'3. Cost_of_Service_Parameters'!K45),(K22+K28))))</f>
        <v>0</v>
      </c>
      <c r="L29" s="125"/>
      <c r="M29" s="340">
        <f>IF(ISERROR(-(M23/('3. Cost_of_Service_Parameters'!M45*2)+MIN((M22/'3. Cost_of_Service_Parameters'!M45),(M22+M28)))), 0,-(M23/('3. Cost_of_Service_Parameters'!M45*2)+MIN((M22/'3. Cost_of_Service_Parameters'!M45),(M22+M28))))</f>
        <v>-11281.766666666666</v>
      </c>
      <c r="N29" s="125"/>
      <c r="O29" s="340">
        <f>IF(ISERROR(-(O23/('3. Cost_of_Service_Parameters'!O45*2)+MIN((O22/'3. Cost_of_Service_Parameters'!O45),(O22+O28)))), 0, -(O23/('3. Cost_of_Service_Parameters'!O45*2)+MIN((O22/'3. Cost_of_Service_Parameters'!O45),(O22+O28))))</f>
        <v>-28711.9</v>
      </c>
      <c r="P29" s="125"/>
      <c r="Q29" s="339">
        <f>IF(ISERROR(-(Q23/('3. Cost_of_Service_Parameters'!Q45*2)+MIN((Q22/'3. Cost_of_Service_Parameters'!Q45),(Q22+Q28)))), 0, -(Q23/('3. Cost_of_Service_Parameters'!Q45*2)+MIN((Q22/'3. Cost_of_Service_Parameters'!Q45),(Q22+Q28))))</f>
        <v>-35021.666666666672</v>
      </c>
      <c r="R29" s="210"/>
      <c r="S29" s="340">
        <f>IF(ISERROR(-(S23/('3. Cost_of_Service_Parameters'!S45*2)+MIN((S22/'3. Cost_of_Service_Parameters'!S45),(S22+S28)))), 0, -(S23/('3. Cost_of_Service_Parameters'!S45*2)+MIN((S22/'3. Cost_of_Service_Parameters'!S45),(S22+S28))))</f>
        <v>-35183.066666666666</v>
      </c>
      <c r="T29" s="211"/>
      <c r="U29" s="339">
        <f>IF(ISERROR(-(U23/('3. Cost_of_Service_Parameters'!U45*2)+MIN((U22/'3. Cost_of_Service_Parameters'!U45),(U22+U28)))), 0, -(U23/('3. Cost_of_Service_Parameters'!U45*2)+MIN((U22/'3. Cost_of_Service_Parameters'!U45),(U22+U28))))</f>
        <v>-35183.066666666666</v>
      </c>
    </row>
    <row r="30" spans="2:22" x14ac:dyDescent="0.2">
      <c r="D30" s="31" t="s">
        <v>102</v>
      </c>
      <c r="G30" s="338"/>
      <c r="H30" s="123"/>
      <c r="I30" s="338"/>
      <c r="J30" s="123"/>
      <c r="K30" s="338"/>
      <c r="L30" s="123"/>
      <c r="M30" s="338"/>
      <c r="N30" s="123"/>
      <c r="O30" s="338"/>
      <c r="P30" s="59"/>
      <c r="Q30" s="338"/>
      <c r="R30" s="59"/>
      <c r="S30" s="338"/>
      <c r="T30" s="211"/>
      <c r="U30" s="338"/>
    </row>
    <row r="31" spans="2:22" ht="13.5" thickBot="1" x14ac:dyDescent="0.25">
      <c r="D31" s="31" t="s">
        <v>103</v>
      </c>
      <c r="G31" s="124">
        <f>G28+G29-G30</f>
        <v>0</v>
      </c>
      <c r="H31" s="121"/>
      <c r="I31" s="124">
        <f>I28+I29-I30</f>
        <v>0</v>
      </c>
      <c r="J31" s="121"/>
      <c r="K31" s="124">
        <f>K28+K29-K30</f>
        <v>0</v>
      </c>
      <c r="L31" s="121"/>
      <c r="M31" s="124">
        <f>M28+M29-M30</f>
        <v>-11281.766666666666</v>
      </c>
      <c r="N31" s="121"/>
      <c r="O31" s="124">
        <f>O28+O29-O30</f>
        <v>-39993.666666666672</v>
      </c>
      <c r="P31" s="121"/>
      <c r="Q31" s="124">
        <f>Q28+Q29-Q30</f>
        <v>-75015.333333333343</v>
      </c>
      <c r="R31" s="121"/>
      <c r="S31" s="124">
        <f>S28+S29-S30</f>
        <v>-110198.40000000001</v>
      </c>
      <c r="T31" s="19"/>
      <c r="U31" s="124">
        <f>U28+U29-U30</f>
        <v>-145381.46666666667</v>
      </c>
      <c r="V31" s="121"/>
    </row>
    <row r="32" spans="2:22" ht="13.5" thickTop="1" x14ac:dyDescent="0.2">
      <c r="G32" s="121"/>
      <c r="H32" s="121"/>
      <c r="I32" s="121"/>
      <c r="J32" s="121"/>
      <c r="K32" s="121"/>
      <c r="L32" s="121"/>
      <c r="M32" s="121"/>
      <c r="N32" s="121"/>
      <c r="O32" s="121"/>
      <c r="P32" s="121"/>
      <c r="Q32" s="121"/>
      <c r="R32" s="121"/>
      <c r="S32" s="121"/>
      <c r="T32" s="217"/>
      <c r="U32" s="121"/>
    </row>
    <row r="33" spans="2:22" x14ac:dyDescent="0.2">
      <c r="C33" s="39" t="s">
        <v>107</v>
      </c>
      <c r="G33" s="121"/>
      <c r="H33" s="121"/>
      <c r="I33" s="121"/>
      <c r="J33" s="121"/>
      <c r="K33" s="121"/>
      <c r="L33" s="121"/>
      <c r="M33" s="121"/>
      <c r="N33" s="121"/>
      <c r="O33" s="121"/>
      <c r="P33" s="121"/>
      <c r="Q33" s="121"/>
      <c r="R33" s="121"/>
      <c r="S33" s="121"/>
      <c r="T33" s="217"/>
      <c r="U33" s="121"/>
    </row>
    <row r="34" spans="2:22" x14ac:dyDescent="0.2">
      <c r="D34" s="31" t="s">
        <v>100</v>
      </c>
      <c r="G34" s="121">
        <f>G22+G28</f>
        <v>0</v>
      </c>
      <c r="H34" s="121"/>
      <c r="I34" s="121">
        <f>G35</f>
        <v>0</v>
      </c>
      <c r="J34" s="121"/>
      <c r="K34" s="121">
        <f>I35</f>
        <v>0</v>
      </c>
      <c r="L34" s="121"/>
      <c r="M34" s="121">
        <f>K35</f>
        <v>0</v>
      </c>
      <c r="N34" s="121"/>
      <c r="O34" s="121">
        <f>M35</f>
        <v>327171.23333333334</v>
      </c>
      <c r="P34" s="121"/>
      <c r="Q34" s="121">
        <f>O35</f>
        <v>482910.33333333331</v>
      </c>
      <c r="R34" s="121"/>
      <c r="S34" s="121">
        <f>Q35</f>
        <v>452730.66666666663</v>
      </c>
      <c r="T34" s="217"/>
      <c r="U34" s="121">
        <f>S35</f>
        <v>417547.6</v>
      </c>
    </row>
    <row r="35" spans="2:22" ht="13.5" thickBot="1" x14ac:dyDescent="0.25">
      <c r="D35" s="31" t="s">
        <v>103</v>
      </c>
      <c r="G35" s="213">
        <f>G25+G31</f>
        <v>0</v>
      </c>
      <c r="H35" s="121"/>
      <c r="I35" s="213">
        <f>I25+I31</f>
        <v>0</v>
      </c>
      <c r="J35" s="121"/>
      <c r="K35" s="213">
        <f>K25+K31</f>
        <v>0</v>
      </c>
      <c r="L35" s="121"/>
      <c r="M35" s="213">
        <f>M25+M31</f>
        <v>327171.23333333334</v>
      </c>
      <c r="N35" s="121"/>
      <c r="O35" s="213">
        <f>O25+O31</f>
        <v>482910.33333333331</v>
      </c>
      <c r="P35" s="121"/>
      <c r="Q35" s="213">
        <f>Q25+Q31</f>
        <v>452730.66666666663</v>
      </c>
      <c r="R35" s="121"/>
      <c r="S35" s="213">
        <f>S25+S31</f>
        <v>417547.6</v>
      </c>
      <c r="T35" s="19"/>
      <c r="U35" s="213">
        <f>U25+U31</f>
        <v>382364.53333333333</v>
      </c>
      <c r="V35" s="121"/>
    </row>
    <row r="36" spans="2:22" x14ac:dyDescent="0.2">
      <c r="D36" s="31" t="s">
        <v>108</v>
      </c>
      <c r="F36" s="110"/>
      <c r="G36" s="341">
        <f>AVERAGE(G34:G35)</f>
        <v>0</v>
      </c>
      <c r="H36" s="214"/>
      <c r="I36" s="341">
        <f>AVERAGE(I34:I35)</f>
        <v>0</v>
      </c>
      <c r="J36" s="214"/>
      <c r="K36" s="341">
        <f>AVERAGE(K34:K35)</f>
        <v>0</v>
      </c>
      <c r="L36" s="214"/>
      <c r="M36" s="341">
        <f>AVERAGE(M34:M35)</f>
        <v>163585.61666666667</v>
      </c>
      <c r="N36" s="214"/>
      <c r="O36" s="341">
        <f>AVERAGE(O34:O35)</f>
        <v>405040.78333333333</v>
      </c>
      <c r="P36" s="214"/>
      <c r="Q36" s="341">
        <f>AVERAGE(Q34:Q35)</f>
        <v>467820.5</v>
      </c>
      <c r="R36" s="214"/>
      <c r="S36" s="341">
        <f>AVERAGE(S34:S35)</f>
        <v>435139.1333333333</v>
      </c>
      <c r="T36" s="218"/>
      <c r="U36" s="341">
        <f>AVERAGE(U34:U35)</f>
        <v>399956.06666666665</v>
      </c>
    </row>
    <row r="37" spans="2:22" x14ac:dyDescent="0.2">
      <c r="G37" s="121"/>
      <c r="H37" s="121"/>
      <c r="I37" s="121"/>
      <c r="J37" s="121"/>
      <c r="K37" s="121"/>
      <c r="L37" s="121"/>
      <c r="M37" s="121"/>
      <c r="N37" s="121"/>
      <c r="O37" s="121"/>
      <c r="P37" s="121"/>
      <c r="Q37" s="121"/>
      <c r="R37" s="121"/>
      <c r="S37" s="121"/>
      <c r="T37" s="217"/>
      <c r="U37" s="121"/>
    </row>
    <row r="38" spans="2:22" x14ac:dyDescent="0.2">
      <c r="B38" s="39" t="s">
        <v>104</v>
      </c>
      <c r="G38" s="121"/>
      <c r="H38" s="121"/>
      <c r="I38" s="121"/>
      <c r="J38" s="121"/>
      <c r="K38" s="121"/>
      <c r="L38" s="121"/>
      <c r="M38" s="121"/>
      <c r="N38" s="121"/>
      <c r="O38" s="121"/>
      <c r="P38" s="121"/>
      <c r="Q38" s="121"/>
      <c r="R38" s="121"/>
      <c r="S38" s="121"/>
      <c r="T38" s="217"/>
      <c r="U38" s="121"/>
    </row>
    <row r="39" spans="2:22" x14ac:dyDescent="0.2">
      <c r="G39" s="121"/>
      <c r="H39" s="121"/>
      <c r="I39" s="121"/>
      <c r="J39" s="121"/>
      <c r="K39" s="121"/>
      <c r="L39" s="121"/>
      <c r="M39" s="121"/>
      <c r="N39" s="121"/>
      <c r="O39" s="121"/>
      <c r="P39" s="121"/>
      <c r="Q39" s="121"/>
      <c r="R39" s="121"/>
      <c r="S39" s="121"/>
      <c r="T39" s="217"/>
      <c r="U39" s="121"/>
    </row>
    <row r="40" spans="2:22" ht="13.5" thickBot="1" x14ac:dyDescent="0.25">
      <c r="C40" s="39" t="s">
        <v>105</v>
      </c>
      <c r="G40" s="121"/>
      <c r="H40" s="121"/>
      <c r="I40" s="121"/>
      <c r="J40" s="121"/>
      <c r="K40" s="121"/>
      <c r="L40" s="121"/>
      <c r="M40" s="121"/>
      <c r="N40" s="121"/>
      <c r="O40" s="121"/>
      <c r="P40" s="121"/>
      <c r="Q40" s="121"/>
      <c r="R40" s="121"/>
      <c r="S40" s="121"/>
      <c r="T40" s="217"/>
      <c r="U40" s="121"/>
    </row>
    <row r="41" spans="2:22" x14ac:dyDescent="0.2">
      <c r="D41" s="31" t="s">
        <v>100</v>
      </c>
      <c r="G41" s="337"/>
      <c r="H41" s="121"/>
      <c r="I41" s="121">
        <f>G44</f>
        <v>0</v>
      </c>
      <c r="J41" s="121"/>
      <c r="K41" s="121">
        <f>I44</f>
        <v>0</v>
      </c>
      <c r="L41" s="121"/>
      <c r="M41" s="121">
        <f>K44</f>
        <v>0</v>
      </c>
      <c r="N41" s="121"/>
      <c r="O41" s="121">
        <f>M44</f>
        <v>0</v>
      </c>
      <c r="P41" s="121"/>
      <c r="Q41" s="121">
        <f>O44</f>
        <v>0</v>
      </c>
      <c r="R41" s="121"/>
      <c r="S41" s="121">
        <f>Q44</f>
        <v>0</v>
      </c>
      <c r="T41" s="217"/>
      <c r="U41" s="121">
        <f>S44</f>
        <v>0</v>
      </c>
    </row>
    <row r="42" spans="2:22" ht="13.5" thickBot="1" x14ac:dyDescent="0.25">
      <c r="D42" s="31" t="s">
        <v>101</v>
      </c>
      <c r="G42" s="121">
        <f>'2. Smart_Meter_Costs'!G183</f>
        <v>0</v>
      </c>
      <c r="H42" s="121"/>
      <c r="I42" s="121">
        <f>'2. Smart_Meter_Costs'!I183</f>
        <v>0</v>
      </c>
      <c r="J42" s="121"/>
      <c r="K42" s="121">
        <f>'2. Smart_Meter_Costs'!K183</f>
        <v>0</v>
      </c>
      <c r="L42" s="121"/>
      <c r="M42" s="121">
        <f>'2. Smart_Meter_Costs'!M183</f>
        <v>0</v>
      </c>
      <c r="N42" s="121"/>
      <c r="O42" s="121">
        <f>'2. Smart_Meter_Costs'!O183</f>
        <v>0</v>
      </c>
      <c r="P42" s="121"/>
      <c r="Q42" s="121">
        <f>'2. Smart_Meter_Costs'!Q183</f>
        <v>0</v>
      </c>
      <c r="R42" s="121"/>
      <c r="S42" s="121">
        <f>'2. Smart_Meter_Costs'!S183</f>
        <v>0</v>
      </c>
      <c r="T42" s="217"/>
      <c r="U42" s="121">
        <f>'2. Smart_Meter_Costs'!U183</f>
        <v>0</v>
      </c>
    </row>
    <row r="43" spans="2:22" x14ac:dyDescent="0.2">
      <c r="D43" s="31" t="s">
        <v>102</v>
      </c>
      <c r="G43" s="338"/>
      <c r="H43" s="123"/>
      <c r="I43" s="338"/>
      <c r="J43" s="123"/>
      <c r="K43" s="338"/>
      <c r="L43" s="123"/>
      <c r="M43" s="338"/>
      <c r="N43" s="123"/>
      <c r="O43" s="338"/>
      <c r="P43" s="59"/>
      <c r="Q43" s="338"/>
      <c r="R43" s="59"/>
      <c r="S43" s="338"/>
      <c r="T43" s="211"/>
      <c r="U43" s="338"/>
    </row>
    <row r="44" spans="2:22" ht="13.5" thickBot="1" x14ac:dyDescent="0.25">
      <c r="D44" s="31" t="s">
        <v>103</v>
      </c>
      <c r="G44" s="124">
        <f>G41+G42-G43</f>
        <v>0</v>
      </c>
      <c r="H44" s="121"/>
      <c r="I44" s="124">
        <f>I41+I42-I43</f>
        <v>0</v>
      </c>
      <c r="J44" s="121"/>
      <c r="K44" s="124">
        <f>K41+K42-K43</f>
        <v>0</v>
      </c>
      <c r="L44" s="121"/>
      <c r="M44" s="124">
        <f>M41+M42-M43</f>
        <v>0</v>
      </c>
      <c r="N44" s="121"/>
      <c r="O44" s="124">
        <f>O41+O42-O43</f>
        <v>0</v>
      </c>
      <c r="P44" s="121"/>
      <c r="Q44" s="124">
        <f>Q41+Q42-Q43</f>
        <v>0</v>
      </c>
      <c r="R44" s="121"/>
      <c r="S44" s="124">
        <f>S41+S42-S43</f>
        <v>0</v>
      </c>
      <c r="T44" s="19"/>
      <c r="U44" s="124">
        <f>U41+U42-U43</f>
        <v>0</v>
      </c>
    </row>
    <row r="45" spans="2:22" ht="13.5" thickTop="1" x14ac:dyDescent="0.2">
      <c r="G45" s="121"/>
      <c r="H45" s="121"/>
      <c r="I45" s="121"/>
      <c r="J45" s="121"/>
      <c r="K45" s="121"/>
      <c r="L45" s="121"/>
      <c r="M45" s="121"/>
      <c r="N45" s="121"/>
      <c r="O45" s="121"/>
      <c r="P45" s="121"/>
      <c r="Q45" s="121"/>
      <c r="R45" s="121"/>
      <c r="S45" s="121"/>
      <c r="T45" s="217"/>
      <c r="U45" s="121"/>
    </row>
    <row r="46" spans="2:22" x14ac:dyDescent="0.2">
      <c r="C46" s="39" t="s">
        <v>106</v>
      </c>
      <c r="G46" s="121"/>
      <c r="H46" s="121"/>
      <c r="I46" s="121"/>
      <c r="J46" s="121"/>
      <c r="K46" s="121"/>
      <c r="L46" s="121"/>
      <c r="M46" s="121"/>
      <c r="N46" s="121"/>
      <c r="O46" s="121"/>
      <c r="P46" s="121"/>
      <c r="Q46" s="121"/>
      <c r="R46" s="121"/>
      <c r="S46" s="121"/>
      <c r="T46" s="217"/>
      <c r="U46" s="121"/>
    </row>
    <row r="47" spans="2:22" ht="13.5" thickBot="1" x14ac:dyDescent="0.25">
      <c r="D47" s="31" t="s">
        <v>100</v>
      </c>
      <c r="G47" s="209">
        <v>0</v>
      </c>
      <c r="H47" s="121"/>
      <c r="I47" s="213">
        <f>G50</f>
        <v>0</v>
      </c>
      <c r="J47" s="121"/>
      <c r="K47" s="213">
        <f>I50</f>
        <v>0</v>
      </c>
      <c r="L47" s="121"/>
      <c r="M47" s="213">
        <f>K50</f>
        <v>0</v>
      </c>
      <c r="N47" s="121"/>
      <c r="O47" s="213">
        <f>M50</f>
        <v>0</v>
      </c>
      <c r="P47" s="121"/>
      <c r="Q47" s="213">
        <f>O50</f>
        <v>0</v>
      </c>
      <c r="R47" s="121"/>
      <c r="S47" s="213">
        <f>Q50</f>
        <v>0</v>
      </c>
      <c r="T47" s="19"/>
      <c r="U47" s="213">
        <f>S50</f>
        <v>0</v>
      </c>
    </row>
    <row r="48" spans="2:22" ht="13.5" thickBot="1" x14ac:dyDescent="0.25">
      <c r="D48" s="31" t="s">
        <v>125</v>
      </c>
      <c r="F48" s="110"/>
      <c r="G48" s="339">
        <f>IF(ISERROR(-G42/('3. Cost_of_Service_Parameters'!G47*2)), 0, -G42/('3. Cost_of_Service_Parameters'!G47*2))</f>
        <v>0</v>
      </c>
      <c r="H48" s="210"/>
      <c r="I48" s="339">
        <f>IF(ISERROR(-(I42/('3. Cost_of_Service_Parameters'!I47*2)+MIN((I41/'3. Cost_of_Service_Parameters'!I47),(I41+I47)))), 0, -(I42/('3. Cost_of_Service_Parameters'!I47*2)+MIN((I41/'3. Cost_of_Service_Parameters'!I47),(I41+I47))))</f>
        <v>0</v>
      </c>
      <c r="J48" s="210"/>
      <c r="K48" s="339">
        <f>IF(ISERROR(-(K42/('3. Cost_of_Service_Parameters'!K47*2)+MIN((K41/'3. Cost_of_Service_Parameters'!K47),(K41+K47)))), 0, -(K42/('3. Cost_of_Service_Parameters'!K47*2)+MIN((K41/'3. Cost_of_Service_Parameters'!K47),(K41+K47))))</f>
        <v>0</v>
      </c>
      <c r="L48" s="210"/>
      <c r="M48" s="339">
        <f>IF(ISERROR(-(M42/('3. Cost_of_Service_Parameters'!M47*2)+MIN((M41/'3. Cost_of_Service_Parameters'!M47),(M41+M47)))), 0,-(M42/('3. Cost_of_Service_Parameters'!M47*2)+MIN((M41/'3. Cost_of_Service_Parameters'!M47),(M41+M47))))</f>
        <v>0</v>
      </c>
      <c r="N48" s="210"/>
      <c r="O48" s="339">
        <f>IF(ISERROR(-(O42/('3. Cost_of_Service_Parameters'!O47*2)+MIN((O41/'3. Cost_of_Service_Parameters'!O47),(O41+O47)))), 0, -(O42/('3. Cost_of_Service_Parameters'!O47*2)+MIN((O41/'3. Cost_of_Service_Parameters'!O47),(O41+O47))))</f>
        <v>0</v>
      </c>
      <c r="P48" s="210"/>
      <c r="Q48" s="339">
        <f>IF(ISERROR(-(Q42/('3. Cost_of_Service_Parameters'!Q47*2)+MIN((Q41/'3. Cost_of_Service_Parameters'!Q47),(Q41+Q47)))), 0, -(Q42/('3. Cost_of_Service_Parameters'!Q47*2)+MIN((Q41/'3. Cost_of_Service_Parameters'!Q47),(Q41+Q47))))</f>
        <v>0</v>
      </c>
      <c r="R48" s="210"/>
      <c r="S48" s="339">
        <f>IF(ISERROR(-(S42/('3. Cost_of_Service_Parameters'!S47*2)+MIN((S41/'3. Cost_of_Service_Parameters'!S47),(S41+S47)))), 0, -(S42/('3. Cost_of_Service_Parameters'!S47*2)+MIN((S41/'3. Cost_of_Service_Parameters'!S47),(S41+S47))))</f>
        <v>0</v>
      </c>
      <c r="T48" s="211"/>
      <c r="U48" s="339">
        <f>IF(ISERROR(-(U42/('3. Cost_of_Service_Parameters'!U47*2)+MIN((U41/'3. Cost_of_Service_Parameters'!U47),(U41+U47)))), 0, -(U42/('3. Cost_of_Service_Parameters'!U47*2)+MIN((U41/'3. Cost_of_Service_Parameters'!U47),(U41+U47))))</f>
        <v>0</v>
      </c>
    </row>
    <row r="49" spans="2:22" x14ac:dyDescent="0.2">
      <c r="D49" s="31" t="s">
        <v>102</v>
      </c>
      <c r="G49" s="338"/>
      <c r="H49" s="123"/>
      <c r="I49" s="338"/>
      <c r="J49" s="123"/>
      <c r="K49" s="338"/>
      <c r="L49" s="123"/>
      <c r="M49" s="338"/>
      <c r="N49" s="123"/>
      <c r="O49" s="338"/>
      <c r="P49" s="59"/>
      <c r="Q49" s="338"/>
      <c r="R49" s="59"/>
      <c r="S49" s="338"/>
      <c r="T49" s="211"/>
      <c r="U49" s="338"/>
    </row>
    <row r="50" spans="2:22" ht="13.5" thickBot="1" x14ac:dyDescent="0.25">
      <c r="D50" s="31" t="s">
        <v>103</v>
      </c>
      <c r="G50" s="124">
        <f>G47+G48-G49</f>
        <v>0</v>
      </c>
      <c r="H50" s="121"/>
      <c r="I50" s="124">
        <f>I47+I48-I49</f>
        <v>0</v>
      </c>
      <c r="J50" s="121"/>
      <c r="K50" s="124">
        <f>K47+K48-K49</f>
        <v>0</v>
      </c>
      <c r="L50" s="121"/>
      <c r="M50" s="124">
        <f>M47+M48-M49</f>
        <v>0</v>
      </c>
      <c r="N50" s="121"/>
      <c r="O50" s="124">
        <f>O47+O48-O49</f>
        <v>0</v>
      </c>
      <c r="P50" s="121"/>
      <c r="Q50" s="124">
        <f>Q47+Q48-Q49</f>
        <v>0</v>
      </c>
      <c r="R50" s="121"/>
      <c r="S50" s="124">
        <f>S47+S48-S49</f>
        <v>0</v>
      </c>
      <c r="T50" s="19"/>
      <c r="U50" s="124">
        <f>U47+U48-U49</f>
        <v>0</v>
      </c>
    </row>
    <row r="51" spans="2:22" ht="13.5" thickTop="1" x14ac:dyDescent="0.2">
      <c r="G51" s="121"/>
      <c r="H51" s="121"/>
      <c r="I51" s="121"/>
      <c r="J51" s="121"/>
      <c r="K51" s="121"/>
      <c r="L51" s="121"/>
      <c r="M51" s="121"/>
      <c r="N51" s="121"/>
      <c r="O51" s="121"/>
      <c r="P51" s="121"/>
      <c r="Q51" s="121"/>
      <c r="R51" s="121"/>
      <c r="S51" s="121"/>
      <c r="T51" s="217"/>
      <c r="U51" s="121"/>
    </row>
    <row r="52" spans="2:22" x14ac:dyDescent="0.2">
      <c r="C52" s="39" t="s">
        <v>107</v>
      </c>
      <c r="G52" s="121"/>
      <c r="H52" s="121"/>
      <c r="I52" s="121"/>
      <c r="J52" s="121"/>
      <c r="K52" s="121"/>
      <c r="L52" s="121"/>
      <c r="M52" s="121"/>
      <c r="N52" s="121"/>
      <c r="O52" s="121"/>
      <c r="P52" s="121"/>
      <c r="Q52" s="121"/>
      <c r="R52" s="121"/>
      <c r="S52" s="121"/>
      <c r="T52" s="217"/>
      <c r="U52" s="121"/>
    </row>
    <row r="53" spans="2:22" x14ac:dyDescent="0.2">
      <c r="D53" s="31" t="s">
        <v>100</v>
      </c>
      <c r="G53" s="121">
        <f>G41+G47</f>
        <v>0</v>
      </c>
      <c r="H53" s="121"/>
      <c r="I53" s="121">
        <f>G54</f>
        <v>0</v>
      </c>
      <c r="J53" s="121"/>
      <c r="K53" s="121">
        <f>I54</f>
        <v>0</v>
      </c>
      <c r="L53" s="121"/>
      <c r="M53" s="121">
        <f>K54</f>
        <v>0</v>
      </c>
      <c r="N53" s="121"/>
      <c r="O53" s="121">
        <f>M54</f>
        <v>0</v>
      </c>
      <c r="P53" s="121"/>
      <c r="Q53" s="121">
        <f>O54</f>
        <v>0</v>
      </c>
      <c r="R53" s="121"/>
      <c r="S53" s="121">
        <f>Q54</f>
        <v>0</v>
      </c>
      <c r="T53" s="217"/>
      <c r="U53" s="121">
        <f>S54</f>
        <v>0</v>
      </c>
    </row>
    <row r="54" spans="2:22" ht="13.5" thickBot="1" x14ac:dyDescent="0.25">
      <c r="D54" s="31" t="s">
        <v>103</v>
      </c>
      <c r="G54" s="213">
        <f>G44+G50</f>
        <v>0</v>
      </c>
      <c r="H54" s="121"/>
      <c r="I54" s="213">
        <f>I44+I50</f>
        <v>0</v>
      </c>
      <c r="J54" s="121"/>
      <c r="K54" s="213">
        <f>K44+K50</f>
        <v>0</v>
      </c>
      <c r="L54" s="121"/>
      <c r="M54" s="213">
        <f>M44+M50</f>
        <v>0</v>
      </c>
      <c r="N54" s="121"/>
      <c r="O54" s="213">
        <f>O44+O50</f>
        <v>0</v>
      </c>
      <c r="P54" s="121"/>
      <c r="Q54" s="213">
        <f>Q44+Q50</f>
        <v>0</v>
      </c>
      <c r="R54" s="121"/>
      <c r="S54" s="213">
        <f>S44+S50</f>
        <v>0</v>
      </c>
      <c r="T54" s="19"/>
      <c r="U54" s="213">
        <f>U44+U50</f>
        <v>0</v>
      </c>
      <c r="V54" s="121"/>
    </row>
    <row r="55" spans="2:22" x14ac:dyDescent="0.2">
      <c r="D55" s="31" t="s">
        <v>108</v>
      </c>
      <c r="F55" s="110"/>
      <c r="G55" s="341">
        <f>AVERAGE(G53:G54)</f>
        <v>0</v>
      </c>
      <c r="H55" s="214"/>
      <c r="I55" s="341">
        <f>AVERAGE(I53:I54)</f>
        <v>0</v>
      </c>
      <c r="J55" s="214"/>
      <c r="K55" s="341">
        <f>AVERAGE(K53:K54)</f>
        <v>0</v>
      </c>
      <c r="L55" s="214"/>
      <c r="M55" s="341">
        <f>AVERAGE(M53:M54)</f>
        <v>0</v>
      </c>
      <c r="N55" s="214"/>
      <c r="O55" s="341">
        <f>AVERAGE(O53:O54)</f>
        <v>0</v>
      </c>
      <c r="P55" s="214"/>
      <c r="Q55" s="341">
        <f>AVERAGE(Q53:Q54)</f>
        <v>0</v>
      </c>
      <c r="R55" s="214"/>
      <c r="S55" s="341">
        <f>AVERAGE(S53:S54)</f>
        <v>0</v>
      </c>
      <c r="T55" s="218"/>
      <c r="U55" s="341">
        <f>AVERAGE(U53:U54)</f>
        <v>0</v>
      </c>
    </row>
    <row r="56" spans="2:22" x14ac:dyDescent="0.2">
      <c r="G56" s="121"/>
      <c r="H56" s="121"/>
      <c r="I56" s="121"/>
      <c r="J56" s="121"/>
      <c r="K56" s="121"/>
      <c r="L56" s="121"/>
      <c r="M56" s="121"/>
      <c r="N56" s="121"/>
      <c r="O56" s="121"/>
      <c r="P56" s="121"/>
      <c r="Q56" s="121"/>
      <c r="R56" s="121"/>
      <c r="S56" s="121"/>
      <c r="T56" s="217"/>
      <c r="U56" s="121"/>
    </row>
    <row r="57" spans="2:22" x14ac:dyDescent="0.2">
      <c r="B57" s="39" t="s">
        <v>369</v>
      </c>
      <c r="G57" s="121"/>
      <c r="H57" s="121"/>
      <c r="I57" s="121"/>
      <c r="J57" s="121"/>
      <c r="K57" s="121"/>
      <c r="L57" s="121"/>
      <c r="M57" s="121"/>
      <c r="N57" s="121"/>
      <c r="O57" s="121"/>
      <c r="P57" s="121"/>
      <c r="Q57" s="121"/>
      <c r="R57" s="121"/>
      <c r="S57" s="121"/>
      <c r="T57" s="217"/>
      <c r="U57" s="121"/>
    </row>
    <row r="58" spans="2:22" x14ac:dyDescent="0.2">
      <c r="G58" s="121"/>
      <c r="H58" s="121"/>
      <c r="I58" s="121"/>
      <c r="J58" s="121"/>
      <c r="K58" s="121"/>
      <c r="L58" s="121"/>
      <c r="M58" s="121"/>
      <c r="N58" s="121"/>
      <c r="O58" s="121"/>
      <c r="P58" s="121"/>
      <c r="Q58" s="121"/>
      <c r="R58" s="121"/>
      <c r="S58" s="121"/>
      <c r="T58" s="217"/>
      <c r="U58" s="121"/>
    </row>
    <row r="59" spans="2:22" ht="13.5" thickBot="1" x14ac:dyDescent="0.25">
      <c r="C59" s="39" t="s">
        <v>105</v>
      </c>
      <c r="G59" s="121"/>
      <c r="H59" s="121"/>
      <c r="I59" s="121"/>
      <c r="J59" s="121"/>
      <c r="K59" s="121"/>
      <c r="L59" s="121"/>
      <c r="M59" s="121"/>
      <c r="N59" s="121"/>
      <c r="O59" s="121"/>
      <c r="P59" s="121"/>
      <c r="Q59" s="121"/>
      <c r="R59" s="121"/>
      <c r="S59" s="121"/>
      <c r="T59" s="217"/>
      <c r="U59" s="121"/>
    </row>
    <row r="60" spans="2:22" x14ac:dyDescent="0.2">
      <c r="D60" s="31" t="s">
        <v>100</v>
      </c>
      <c r="G60" s="337"/>
      <c r="H60" s="121"/>
      <c r="I60" s="121">
        <f>G63</f>
        <v>0</v>
      </c>
      <c r="J60" s="121"/>
      <c r="K60" s="121">
        <f>I63</f>
        <v>0</v>
      </c>
      <c r="L60" s="121"/>
      <c r="M60" s="121">
        <f>K63</f>
        <v>0</v>
      </c>
      <c r="N60" s="121"/>
      <c r="O60" s="121">
        <f>M63</f>
        <v>0</v>
      </c>
      <c r="P60" s="121"/>
      <c r="Q60" s="121">
        <f>O63</f>
        <v>22806</v>
      </c>
      <c r="R60" s="121"/>
      <c r="S60" s="121">
        <f>Q63</f>
        <v>36788</v>
      </c>
      <c r="T60" s="217"/>
      <c r="U60" s="121">
        <f>S63</f>
        <v>36788</v>
      </c>
    </row>
    <row r="61" spans="2:22" ht="13.5" thickBot="1" x14ac:dyDescent="0.25">
      <c r="D61" s="31" t="s">
        <v>101</v>
      </c>
      <c r="G61" s="121">
        <f>'2. Smart_Meter_Costs'!G185+'2. Smart_Meter_Costs'!G191</f>
        <v>0</v>
      </c>
      <c r="H61" s="121"/>
      <c r="I61" s="121">
        <f>'2. Smart_Meter_Costs'!I185+'2. Smart_Meter_Costs'!I191</f>
        <v>0</v>
      </c>
      <c r="J61" s="121"/>
      <c r="K61" s="121">
        <f>'2. Smart_Meter_Costs'!K185+'2. Smart_Meter_Costs'!K191</f>
        <v>0</v>
      </c>
      <c r="L61" s="121"/>
      <c r="M61" s="121">
        <f>'2. Smart_Meter_Costs'!M185+'2. Smart_Meter_Costs'!M191</f>
        <v>0</v>
      </c>
      <c r="N61" s="121"/>
      <c r="O61" s="121">
        <f>'2. Smart_Meter_Costs'!O185+'2. Smart_Meter_Costs'!O191</f>
        <v>22806</v>
      </c>
      <c r="P61" s="121"/>
      <c r="Q61" s="121">
        <f>'2. Smart_Meter_Costs'!Q185+'2. Smart_Meter_Costs'!Q191</f>
        <v>13982</v>
      </c>
      <c r="R61" s="121"/>
      <c r="S61" s="121">
        <f>'2. Smart_Meter_Costs'!S185+'2. Smart_Meter_Costs'!S191</f>
        <v>0</v>
      </c>
      <c r="T61" s="217"/>
      <c r="U61" s="121">
        <f>'2. Smart_Meter_Costs'!U185+'2. Smart_Meter_Costs'!U191</f>
        <v>0</v>
      </c>
    </row>
    <row r="62" spans="2:22" x14ac:dyDescent="0.2">
      <c r="D62" s="31" t="s">
        <v>102</v>
      </c>
      <c r="G62" s="338"/>
      <c r="H62" s="123"/>
      <c r="I62" s="338"/>
      <c r="J62" s="123"/>
      <c r="K62" s="338"/>
      <c r="L62" s="125"/>
      <c r="M62" s="338"/>
      <c r="N62" s="123"/>
      <c r="O62" s="338"/>
      <c r="P62" s="59"/>
      <c r="Q62" s="338"/>
      <c r="R62" s="59"/>
      <c r="S62" s="338"/>
      <c r="T62" s="211"/>
      <c r="U62" s="338"/>
    </row>
    <row r="63" spans="2:22" ht="13.5" thickBot="1" x14ac:dyDescent="0.25">
      <c r="D63" s="31" t="s">
        <v>103</v>
      </c>
      <c r="G63" s="124">
        <f>G60+G61-G62</f>
        <v>0</v>
      </c>
      <c r="H63" s="121"/>
      <c r="I63" s="124">
        <f>I60+I61-I62</f>
        <v>0</v>
      </c>
      <c r="J63" s="121"/>
      <c r="K63" s="124">
        <f>K60+K61-K62</f>
        <v>0</v>
      </c>
      <c r="L63" s="121"/>
      <c r="M63" s="124">
        <f>M60+M61-M62</f>
        <v>0</v>
      </c>
      <c r="N63" s="121"/>
      <c r="O63" s="124">
        <f>O60+O61-O62</f>
        <v>22806</v>
      </c>
      <c r="P63" s="121"/>
      <c r="Q63" s="124">
        <f>Q60+Q61-Q62</f>
        <v>36788</v>
      </c>
      <c r="R63" s="121"/>
      <c r="S63" s="124">
        <f>S60+S61-S62</f>
        <v>36788</v>
      </c>
      <c r="T63" s="19"/>
      <c r="U63" s="124">
        <f>U60+U61-U62</f>
        <v>36788</v>
      </c>
    </row>
    <row r="64" spans="2:22" ht="13.5" thickTop="1" x14ac:dyDescent="0.2">
      <c r="G64" s="121"/>
      <c r="H64" s="121"/>
      <c r="I64" s="121"/>
      <c r="J64" s="121"/>
      <c r="K64" s="121"/>
      <c r="L64" s="121"/>
      <c r="M64" s="121"/>
      <c r="N64" s="121"/>
      <c r="O64" s="121"/>
      <c r="P64" s="121"/>
      <c r="Q64" s="121"/>
      <c r="R64" s="121"/>
      <c r="S64" s="121"/>
      <c r="T64" s="217"/>
      <c r="U64" s="121"/>
    </row>
    <row r="65" spans="2:22" x14ac:dyDescent="0.2">
      <c r="C65" s="39" t="s">
        <v>106</v>
      </c>
      <c r="G65" s="121"/>
      <c r="H65" s="121"/>
      <c r="I65" s="121"/>
      <c r="J65" s="121"/>
      <c r="K65" s="121"/>
      <c r="L65" s="121"/>
      <c r="M65" s="121"/>
      <c r="N65" s="121"/>
      <c r="O65" s="121"/>
      <c r="P65" s="121"/>
      <c r="Q65" s="121"/>
      <c r="R65" s="121"/>
      <c r="S65" s="121"/>
      <c r="T65" s="217"/>
      <c r="U65" s="121"/>
    </row>
    <row r="66" spans="2:22" ht="13.5" thickBot="1" x14ac:dyDescent="0.25">
      <c r="D66" s="31" t="s">
        <v>100</v>
      </c>
      <c r="G66" s="209">
        <v>0</v>
      </c>
      <c r="H66" s="121"/>
      <c r="I66" s="213">
        <f>G69</f>
        <v>0</v>
      </c>
      <c r="J66" s="121"/>
      <c r="K66" s="213">
        <f>I69</f>
        <v>0</v>
      </c>
      <c r="L66" s="121"/>
      <c r="M66" s="213">
        <f>K69</f>
        <v>0</v>
      </c>
      <c r="N66" s="121"/>
      <c r="O66" s="213">
        <f>M69</f>
        <v>0</v>
      </c>
      <c r="P66" s="121"/>
      <c r="Q66" s="213">
        <f>O69</f>
        <v>2280</v>
      </c>
      <c r="R66" s="121"/>
      <c r="S66" s="213">
        <f>Q69</f>
        <v>5958</v>
      </c>
      <c r="T66" s="19"/>
      <c r="U66" s="213">
        <f>S69</f>
        <v>9636</v>
      </c>
    </row>
    <row r="67" spans="2:22" ht="13.5" thickBot="1" x14ac:dyDescent="0.25">
      <c r="D67" s="31" t="s">
        <v>125</v>
      </c>
      <c r="F67" s="110"/>
      <c r="G67" s="339">
        <f>IF(ISERROR(-G61/('3. Cost_of_Service_Parameters'!G49*2)), 0, -G61/('3. Cost_of_Service_Parameters'!G49*2))</f>
        <v>0</v>
      </c>
      <c r="H67" s="210"/>
      <c r="I67" s="339">
        <f>IF(ISERROR(-(I61/('3. Cost_of_Service_Parameters'!I49*2)+MIN((I60/'3. Cost_of_Service_Parameters'!I49),(I60+I66)))), 0, -(I61/('3. Cost_of_Service_Parameters'!I49*2)+MIN((I60/'3. Cost_of_Service_Parameters'!I49),(I60+I66))))</f>
        <v>0</v>
      </c>
      <c r="J67" s="210"/>
      <c r="K67" s="339">
        <f>IF(ISERROR(-(K61/('3. Cost_of_Service_Parameters'!K49*2)+MIN((K60/'3. Cost_of_Service_Parameters'!K49),(K60+K66)))), 0, -(K61/('3. Cost_of_Service_Parameters'!K49*2)+MIN((K60/'3. Cost_of_Service_Parameters'!K49),(K60+K66))))</f>
        <v>0</v>
      </c>
      <c r="L67" s="210"/>
      <c r="M67" s="339">
        <f>IF(ISERROR(-(M61/('3. Cost_of_Service_Parameters'!M49*2)+MIN((M60/'3. Cost_of_Service_Parameters'!M49),(M60+M66)))), 0,-(M61/('3. Cost_of_Service_Parameters'!M49*2)+MIN((M60/'3. Cost_of_Service_Parameters'!M49),(M60+M66))))</f>
        <v>0</v>
      </c>
      <c r="N67" s="210"/>
      <c r="O67" s="339">
        <v>2280</v>
      </c>
      <c r="P67" s="210"/>
      <c r="Q67" s="339">
        <v>3678</v>
      </c>
      <c r="R67" s="210"/>
      <c r="S67" s="339">
        <v>3678</v>
      </c>
      <c r="T67" s="211"/>
      <c r="U67" s="339">
        <v>3678</v>
      </c>
    </row>
    <row r="68" spans="2:22" x14ac:dyDescent="0.2">
      <c r="D68" s="31" t="s">
        <v>102</v>
      </c>
      <c r="G68" s="338"/>
      <c r="H68" s="123"/>
      <c r="I68" s="338"/>
      <c r="J68" s="123"/>
      <c r="K68" s="338"/>
      <c r="L68" s="123"/>
      <c r="M68" s="338"/>
      <c r="N68" s="123"/>
      <c r="O68" s="338"/>
      <c r="P68" s="59"/>
      <c r="Q68" s="338"/>
      <c r="R68" s="59"/>
      <c r="S68" s="338"/>
      <c r="T68" s="211"/>
      <c r="U68" s="338"/>
    </row>
    <row r="69" spans="2:22" ht="13.5" thickBot="1" x14ac:dyDescent="0.25">
      <c r="D69" s="31" t="s">
        <v>103</v>
      </c>
      <c r="G69" s="124">
        <f>G66+G67-G68</f>
        <v>0</v>
      </c>
      <c r="H69" s="121"/>
      <c r="I69" s="124">
        <f>I66+I67-I68</f>
        <v>0</v>
      </c>
      <c r="J69" s="121"/>
      <c r="K69" s="124">
        <f>K66+K67-K68</f>
        <v>0</v>
      </c>
      <c r="L69" s="121"/>
      <c r="M69" s="124">
        <f>M66+M67-M68</f>
        <v>0</v>
      </c>
      <c r="N69" s="121"/>
      <c r="O69" s="124">
        <f>O66+O67-O68</f>
        <v>2280</v>
      </c>
      <c r="P69" s="121"/>
      <c r="Q69" s="124">
        <f>Q66+Q67-Q68</f>
        <v>5958</v>
      </c>
      <c r="R69" s="121"/>
      <c r="S69" s="124">
        <f>S66+S67-S68</f>
        <v>9636</v>
      </c>
      <c r="T69" s="19"/>
      <c r="U69" s="124">
        <f>U66+U67-U68</f>
        <v>13314</v>
      </c>
    </row>
    <row r="70" spans="2:22" ht="13.5" thickTop="1" x14ac:dyDescent="0.2">
      <c r="G70" s="121"/>
      <c r="H70" s="121"/>
      <c r="I70" s="121"/>
      <c r="J70" s="121"/>
      <c r="K70" s="121"/>
      <c r="L70" s="121"/>
      <c r="M70" s="121"/>
      <c r="N70" s="121"/>
      <c r="O70" s="121"/>
      <c r="P70" s="121"/>
      <c r="Q70" s="121"/>
      <c r="R70" s="121"/>
      <c r="S70" s="121"/>
      <c r="T70" s="217"/>
      <c r="U70" s="121"/>
    </row>
    <row r="71" spans="2:22" x14ac:dyDescent="0.2">
      <c r="C71" s="39" t="s">
        <v>107</v>
      </c>
      <c r="G71" s="121"/>
      <c r="H71" s="121"/>
      <c r="I71" s="121"/>
      <c r="J71" s="121"/>
      <c r="K71" s="121"/>
      <c r="L71" s="121"/>
      <c r="M71" s="121"/>
      <c r="N71" s="121"/>
      <c r="O71" s="121"/>
      <c r="P71" s="121"/>
      <c r="Q71" s="121"/>
      <c r="R71" s="121"/>
      <c r="S71" s="121"/>
      <c r="T71" s="217"/>
      <c r="U71" s="121"/>
    </row>
    <row r="72" spans="2:22" x14ac:dyDescent="0.2">
      <c r="D72" s="31" t="s">
        <v>100</v>
      </c>
      <c r="G72" s="121">
        <f>G60+G66</f>
        <v>0</v>
      </c>
      <c r="H72" s="121"/>
      <c r="I72" s="121">
        <f>G73</f>
        <v>0</v>
      </c>
      <c r="J72" s="121"/>
      <c r="K72" s="121">
        <f>I73</f>
        <v>0</v>
      </c>
      <c r="L72" s="121"/>
      <c r="M72" s="121">
        <f>K73</f>
        <v>0</v>
      </c>
      <c r="N72" s="121"/>
      <c r="O72" s="121">
        <f>M73</f>
        <v>0</v>
      </c>
      <c r="P72" s="121"/>
      <c r="Q72" s="121">
        <f>O73</f>
        <v>25086</v>
      </c>
      <c r="R72" s="121"/>
      <c r="S72" s="121">
        <f>Q73</f>
        <v>42746</v>
      </c>
      <c r="T72" s="217"/>
      <c r="U72" s="121">
        <f>S73</f>
        <v>46424</v>
      </c>
    </row>
    <row r="73" spans="2:22" ht="13.5" thickBot="1" x14ac:dyDescent="0.25">
      <c r="D73" s="31" t="s">
        <v>103</v>
      </c>
      <c r="G73" s="213">
        <f>G63+G69</f>
        <v>0</v>
      </c>
      <c r="H73" s="121"/>
      <c r="I73" s="213">
        <f>I63+I69</f>
        <v>0</v>
      </c>
      <c r="J73" s="121"/>
      <c r="K73" s="213">
        <f>K63+K69</f>
        <v>0</v>
      </c>
      <c r="L73" s="121"/>
      <c r="M73" s="213">
        <f>M63+M69</f>
        <v>0</v>
      </c>
      <c r="N73" s="121"/>
      <c r="O73" s="213">
        <f>O63+O69</f>
        <v>25086</v>
      </c>
      <c r="P73" s="121"/>
      <c r="Q73" s="213">
        <f>Q63+Q69</f>
        <v>42746</v>
      </c>
      <c r="R73" s="121"/>
      <c r="S73" s="213">
        <f>S63+S69</f>
        <v>46424</v>
      </c>
      <c r="T73" s="19"/>
      <c r="U73" s="213">
        <f>U63+U69</f>
        <v>50102</v>
      </c>
      <c r="V73" s="121"/>
    </row>
    <row r="74" spans="2:22" x14ac:dyDescent="0.2">
      <c r="D74" s="31" t="s">
        <v>108</v>
      </c>
      <c r="F74" s="110"/>
      <c r="G74" s="341">
        <f>AVERAGE(G72:G73)</f>
        <v>0</v>
      </c>
      <c r="H74" s="214"/>
      <c r="I74" s="341">
        <f>AVERAGE(I72:I73)</f>
        <v>0</v>
      </c>
      <c r="J74" s="214"/>
      <c r="K74" s="341">
        <f>AVERAGE(K72:K73)</f>
        <v>0</v>
      </c>
      <c r="L74" s="214"/>
      <c r="M74" s="341">
        <f>AVERAGE(M72:M73)</f>
        <v>0</v>
      </c>
      <c r="N74" s="214"/>
      <c r="O74" s="341">
        <f>AVERAGE(O72:O73)</f>
        <v>12543</v>
      </c>
      <c r="P74" s="214"/>
      <c r="Q74" s="342">
        <f>AVERAGE(Q72:Q73)</f>
        <v>33916</v>
      </c>
      <c r="R74" s="215"/>
      <c r="S74" s="341">
        <f>AVERAGE(S72:S73)</f>
        <v>44585</v>
      </c>
      <c r="T74" s="218"/>
      <c r="U74" s="341">
        <f>AVERAGE(U72:U73)</f>
        <v>48263</v>
      </c>
    </row>
    <row r="75" spans="2:22" x14ac:dyDescent="0.2">
      <c r="G75" s="121"/>
      <c r="H75" s="121"/>
      <c r="I75" s="121"/>
      <c r="J75" s="121"/>
      <c r="K75" s="121"/>
      <c r="L75" s="121"/>
      <c r="M75" s="121"/>
      <c r="N75" s="121"/>
      <c r="O75" s="121"/>
      <c r="P75" s="121"/>
      <c r="Q75" s="121"/>
      <c r="R75" s="121"/>
      <c r="S75" s="121"/>
      <c r="T75" s="217"/>
      <c r="U75" s="121"/>
    </row>
    <row r="76" spans="2:22" x14ac:dyDescent="0.2">
      <c r="B76" s="39" t="s">
        <v>109</v>
      </c>
      <c r="G76" s="121"/>
      <c r="H76" s="121"/>
      <c r="I76" s="121"/>
      <c r="J76" s="121"/>
      <c r="K76" s="121"/>
      <c r="L76" s="121"/>
      <c r="M76" s="121"/>
      <c r="N76" s="121"/>
      <c r="O76" s="121"/>
      <c r="P76" s="121"/>
      <c r="Q76" s="121"/>
      <c r="R76" s="121"/>
      <c r="S76" s="121"/>
      <c r="T76" s="217"/>
      <c r="U76" s="121"/>
    </row>
    <row r="77" spans="2:22" x14ac:dyDescent="0.2">
      <c r="G77" s="121"/>
      <c r="H77" s="121"/>
      <c r="I77" s="121"/>
      <c r="J77" s="121"/>
      <c r="K77" s="121"/>
      <c r="L77" s="121"/>
      <c r="M77" s="121"/>
      <c r="N77" s="121"/>
      <c r="O77" s="121"/>
      <c r="P77" s="121"/>
      <c r="Q77" s="121"/>
      <c r="R77" s="121"/>
      <c r="S77" s="121"/>
      <c r="T77" s="217"/>
      <c r="U77" s="121"/>
    </row>
    <row r="78" spans="2:22" ht="13.5" thickBot="1" x14ac:dyDescent="0.25">
      <c r="C78" s="39" t="s">
        <v>105</v>
      </c>
      <c r="G78" s="121"/>
      <c r="H78" s="121"/>
      <c r="I78" s="121"/>
      <c r="J78" s="121"/>
      <c r="K78" s="121"/>
      <c r="L78" s="121"/>
      <c r="M78" s="121"/>
      <c r="N78" s="121"/>
      <c r="O78" s="121"/>
      <c r="P78" s="121"/>
      <c r="Q78" s="121"/>
      <c r="R78" s="121"/>
      <c r="S78" s="121"/>
      <c r="T78" s="217"/>
      <c r="U78" s="121"/>
    </row>
    <row r="79" spans="2:22" x14ac:dyDescent="0.2">
      <c r="D79" s="31" t="s">
        <v>100</v>
      </c>
      <c r="G79" s="337"/>
      <c r="H79" s="121"/>
      <c r="I79" s="121">
        <f>G82</f>
        <v>0</v>
      </c>
      <c r="J79" s="121"/>
      <c r="K79" s="121">
        <f>I82</f>
        <v>0</v>
      </c>
      <c r="L79" s="121"/>
      <c r="M79" s="121">
        <f>K82</f>
        <v>0</v>
      </c>
      <c r="N79" s="121"/>
      <c r="O79" s="121">
        <f>M82</f>
        <v>0</v>
      </c>
      <c r="P79" s="121"/>
      <c r="Q79" s="121">
        <f>O82</f>
        <v>0</v>
      </c>
      <c r="R79" s="121"/>
      <c r="S79" s="121">
        <f>Q82</f>
        <v>0</v>
      </c>
      <c r="T79" s="217"/>
      <c r="U79" s="121">
        <f>S82</f>
        <v>0</v>
      </c>
    </row>
    <row r="80" spans="2:22" ht="13.5" thickBot="1" x14ac:dyDescent="0.25">
      <c r="D80" s="31" t="s">
        <v>101</v>
      </c>
      <c r="G80" s="121">
        <f>'2. Smart_Meter_Costs'!G187</f>
        <v>0</v>
      </c>
      <c r="H80" s="121"/>
      <c r="I80" s="121">
        <f>'2. Smart_Meter_Costs'!I187</f>
        <v>0</v>
      </c>
      <c r="J80" s="121"/>
      <c r="K80" s="121">
        <f>'2. Smart_Meter_Costs'!K187</f>
        <v>0</v>
      </c>
      <c r="L80" s="121"/>
      <c r="M80" s="121">
        <f>'2. Smart_Meter_Costs'!M187</f>
        <v>0</v>
      </c>
      <c r="N80" s="121"/>
      <c r="O80" s="121">
        <f>'2. Smart_Meter_Costs'!O187</f>
        <v>0</v>
      </c>
      <c r="P80" s="121"/>
      <c r="Q80" s="121">
        <f>'2. Smart_Meter_Costs'!Q187</f>
        <v>0</v>
      </c>
      <c r="R80" s="121"/>
      <c r="S80" s="121">
        <f>'2. Smart_Meter_Costs'!S187</f>
        <v>0</v>
      </c>
      <c r="T80" s="217"/>
      <c r="U80" s="121">
        <f>'2. Smart_Meter_Costs'!U187</f>
        <v>0</v>
      </c>
    </row>
    <row r="81" spans="2:22" x14ac:dyDescent="0.2">
      <c r="D81" s="31" t="s">
        <v>102</v>
      </c>
      <c r="G81" s="338"/>
      <c r="H81" s="123"/>
      <c r="I81" s="338"/>
      <c r="J81" s="123"/>
      <c r="K81" s="338"/>
      <c r="L81" s="123"/>
      <c r="M81" s="338"/>
      <c r="N81" s="123"/>
      <c r="O81" s="338"/>
      <c r="P81" s="59"/>
      <c r="Q81" s="338"/>
      <c r="R81" s="59"/>
      <c r="S81" s="338"/>
      <c r="T81" s="211"/>
      <c r="U81" s="338"/>
    </row>
    <row r="82" spans="2:22" ht="13.5" thickBot="1" x14ac:dyDescent="0.25">
      <c r="D82" s="31" t="s">
        <v>103</v>
      </c>
      <c r="G82" s="124">
        <f>G79+G80-G81</f>
        <v>0</v>
      </c>
      <c r="H82" s="121"/>
      <c r="I82" s="124">
        <f>I79+I80-I81</f>
        <v>0</v>
      </c>
      <c r="J82" s="121"/>
      <c r="K82" s="124">
        <f>K79+K80-K81</f>
        <v>0</v>
      </c>
      <c r="L82" s="121"/>
      <c r="M82" s="124">
        <f>M79+M80-M81</f>
        <v>0</v>
      </c>
      <c r="N82" s="121"/>
      <c r="O82" s="124">
        <f>O79+O80-O81</f>
        <v>0</v>
      </c>
      <c r="P82" s="121"/>
      <c r="Q82" s="124">
        <f>Q79+Q80-Q81</f>
        <v>0</v>
      </c>
      <c r="R82" s="121"/>
      <c r="S82" s="124">
        <f>S79+S80-S81</f>
        <v>0</v>
      </c>
      <c r="T82" s="19"/>
      <c r="U82" s="124">
        <f>U79+U80-U81</f>
        <v>0</v>
      </c>
    </row>
    <row r="83" spans="2:22" ht="13.5" thickTop="1" x14ac:dyDescent="0.2">
      <c r="G83" s="121"/>
      <c r="H83" s="121"/>
      <c r="I83" s="121"/>
      <c r="J83" s="121"/>
      <c r="K83" s="121"/>
      <c r="L83" s="121"/>
      <c r="M83" s="121"/>
      <c r="N83" s="121"/>
      <c r="O83" s="121"/>
      <c r="P83" s="121"/>
      <c r="Q83" s="121"/>
      <c r="R83" s="121"/>
      <c r="S83" s="121"/>
      <c r="T83" s="217"/>
      <c r="U83" s="121"/>
    </row>
    <row r="84" spans="2:22" x14ac:dyDescent="0.2">
      <c r="C84" s="39" t="s">
        <v>106</v>
      </c>
      <c r="G84" s="121"/>
      <c r="H84" s="121"/>
      <c r="I84" s="121"/>
      <c r="J84" s="121"/>
      <c r="K84" s="121"/>
      <c r="L84" s="121"/>
      <c r="M84" s="121"/>
      <c r="N84" s="121"/>
      <c r="O84" s="121"/>
      <c r="P84" s="121"/>
      <c r="Q84" s="121"/>
      <c r="R84" s="121"/>
      <c r="S84" s="121"/>
      <c r="T84" s="217"/>
      <c r="U84" s="121"/>
    </row>
    <row r="85" spans="2:22" ht="13.5" thickBot="1" x14ac:dyDescent="0.25">
      <c r="D85" s="31" t="s">
        <v>100</v>
      </c>
      <c r="G85" s="209">
        <v>0</v>
      </c>
      <c r="H85" s="121"/>
      <c r="I85" s="213">
        <f>G88</f>
        <v>0</v>
      </c>
      <c r="J85" s="121"/>
      <c r="K85" s="213">
        <f>I88</f>
        <v>0</v>
      </c>
      <c r="L85" s="121"/>
      <c r="M85" s="213">
        <f>K88</f>
        <v>0</v>
      </c>
      <c r="N85" s="121"/>
      <c r="O85" s="213">
        <f>M88</f>
        <v>0</v>
      </c>
      <c r="P85" s="121"/>
      <c r="Q85" s="213">
        <f>O88</f>
        <v>0</v>
      </c>
      <c r="R85" s="121"/>
      <c r="S85" s="213">
        <f>Q88</f>
        <v>0</v>
      </c>
      <c r="T85" s="19"/>
      <c r="U85" s="213">
        <f>S88</f>
        <v>0</v>
      </c>
    </row>
    <row r="86" spans="2:22" ht="13.5" thickBot="1" x14ac:dyDescent="0.25">
      <c r="D86" s="31" t="s">
        <v>125</v>
      </c>
      <c r="F86" s="110"/>
      <c r="G86" s="340">
        <f>IF(ISERROR(-G80/('3. Cost_of_Service_Parameters'!G51*2)), 0, -G80/('3. Cost_of_Service_Parameters'!G51*2))</f>
        <v>0</v>
      </c>
      <c r="H86" s="125"/>
      <c r="I86" s="340">
        <f>IF(ISERROR(-(I80/('3. Cost_of_Service_Parameters'!I51*2)+MIN((I79/'3. Cost_of_Service_Parameters'!I51),(I79+I85)))), 0, -(I80/('3. Cost_of_Service_Parameters'!I51*2)+MIN((I79/'3. Cost_of_Service_Parameters'!I51),(I79+I85))))</f>
        <v>0</v>
      </c>
      <c r="J86" s="125"/>
      <c r="K86" s="340">
        <f>IF(ISERROR(-(K80/('3. Cost_of_Service_Parameters'!K51*2)+MIN((K79/'3. Cost_of_Service_Parameters'!K51),(K79+K85)))), 0, -(K80/('3. Cost_of_Service_Parameters'!K51*2)+MIN((K79/'3. Cost_of_Service_Parameters'!K51),(K79+K85))))</f>
        <v>0</v>
      </c>
      <c r="L86" s="125"/>
      <c r="M86" s="340">
        <f>IF(ISERROR(-(M80/('3. Cost_of_Service_Parameters'!M51*2)+MIN((M79/'3. Cost_of_Service_Parameters'!M51),(M79+M85)))), 0,-(M80/('3. Cost_of_Service_Parameters'!M51*2)+MIN((M79/'3. Cost_of_Service_Parameters'!M51),(M79+M85))))</f>
        <v>0</v>
      </c>
      <c r="N86" s="125"/>
      <c r="O86" s="340">
        <f>IF(ISERROR(-(O80/('3. Cost_of_Service_Parameters'!O51*2)+MIN((O79/'3. Cost_of_Service_Parameters'!O51),(O79+O85)))), 0, -(O80/('3. Cost_of_Service_Parameters'!O51*2)+MIN((O79/'3. Cost_of_Service_Parameters'!O51),(O79+O85))))</f>
        <v>0</v>
      </c>
      <c r="P86" s="125"/>
      <c r="Q86" s="340">
        <f>IF(ISERROR(-(Q80/('3. Cost_of_Service_Parameters'!Q51*2)+MIN((Q79/'3. Cost_of_Service_Parameters'!Q51),(Q79+Q85)))), 0, -(Q80/('3. Cost_of_Service_Parameters'!Q51*2)+MIN((Q79/'3. Cost_of_Service_Parameters'!Q51),(Q79+Q85))))</f>
        <v>0</v>
      </c>
      <c r="R86" s="125"/>
      <c r="S86" s="340">
        <f>IF(ISERROR(-(S80/('3. Cost_of_Service_Parameters'!S51*2)+MIN((S79/'3. Cost_of_Service_Parameters'!S51),(S79+S85)))), 0, -(S80/('3. Cost_of_Service_Parameters'!S51*2)+MIN((S79/'3. Cost_of_Service_Parameters'!S51),(S79+S85))))</f>
        <v>0</v>
      </c>
      <c r="T86" s="211"/>
      <c r="U86" s="340">
        <f>IF(ISERROR(-(U80/('3. Cost_of_Service_Parameters'!U51*2)+MIN((U79/'3. Cost_of_Service_Parameters'!U51),(U79+U85)))), 0, -(U80/('3. Cost_of_Service_Parameters'!U51*2)+MIN((U79/'3. Cost_of_Service_Parameters'!U51),(U79+U85))))</f>
        <v>0</v>
      </c>
    </row>
    <row r="87" spans="2:22" x14ac:dyDescent="0.2">
      <c r="D87" s="31" t="s">
        <v>102</v>
      </c>
      <c r="G87" s="338"/>
      <c r="H87" s="123"/>
      <c r="I87" s="338"/>
      <c r="J87" s="123"/>
      <c r="K87" s="338"/>
      <c r="L87" s="123"/>
      <c r="M87" s="338"/>
      <c r="N87" s="123"/>
      <c r="O87" s="338"/>
      <c r="P87" s="59"/>
      <c r="Q87" s="338"/>
      <c r="R87" s="59"/>
      <c r="S87" s="338"/>
      <c r="T87" s="211"/>
      <c r="U87" s="338"/>
    </row>
    <row r="88" spans="2:22" ht="13.5" thickBot="1" x14ac:dyDescent="0.25">
      <c r="D88" s="31" t="s">
        <v>103</v>
      </c>
      <c r="G88" s="124">
        <f>G85+G86-G87</f>
        <v>0</v>
      </c>
      <c r="H88" s="121"/>
      <c r="I88" s="124">
        <f>I85+I86-I87</f>
        <v>0</v>
      </c>
      <c r="J88" s="121"/>
      <c r="K88" s="124">
        <f>K85+K86-K87</f>
        <v>0</v>
      </c>
      <c r="L88" s="121"/>
      <c r="M88" s="124">
        <f>M85+M86-M87</f>
        <v>0</v>
      </c>
      <c r="N88" s="121"/>
      <c r="O88" s="124">
        <f>O85+O86-O87</f>
        <v>0</v>
      </c>
      <c r="P88" s="121"/>
      <c r="Q88" s="124">
        <f>Q85+Q86-Q87</f>
        <v>0</v>
      </c>
      <c r="R88" s="121"/>
      <c r="S88" s="124">
        <f>S85+S86-S87</f>
        <v>0</v>
      </c>
      <c r="T88" s="19"/>
      <c r="U88" s="124">
        <f>U85+U86-U87</f>
        <v>0</v>
      </c>
    </row>
    <row r="89" spans="2:22" ht="13.5" thickTop="1" x14ac:dyDescent="0.2">
      <c r="G89" s="84"/>
      <c r="H89" s="121"/>
      <c r="I89" s="121"/>
      <c r="J89" s="121"/>
      <c r="K89" s="121"/>
      <c r="L89" s="121"/>
      <c r="M89" s="121"/>
      <c r="N89" s="121"/>
      <c r="O89" s="121"/>
      <c r="P89" s="121"/>
      <c r="Q89" s="121"/>
      <c r="R89" s="121"/>
      <c r="S89" s="121"/>
      <c r="T89" s="217"/>
      <c r="U89" s="121"/>
    </row>
    <row r="90" spans="2:22" x14ac:dyDescent="0.2">
      <c r="C90" s="39" t="s">
        <v>107</v>
      </c>
      <c r="G90" s="121"/>
      <c r="H90" s="121"/>
      <c r="I90" s="121"/>
      <c r="J90" s="121"/>
      <c r="K90" s="121"/>
      <c r="L90" s="121"/>
      <c r="M90" s="121"/>
      <c r="N90" s="121"/>
      <c r="O90" s="121"/>
      <c r="P90" s="121"/>
      <c r="Q90" s="121"/>
      <c r="R90" s="121"/>
      <c r="S90" s="121"/>
      <c r="T90" s="217"/>
      <c r="U90" s="121"/>
    </row>
    <row r="91" spans="2:22" x14ac:dyDescent="0.2">
      <c r="D91" s="31" t="s">
        <v>100</v>
      </c>
      <c r="G91" s="121">
        <f>G79+G85</f>
        <v>0</v>
      </c>
      <c r="H91" s="121"/>
      <c r="I91" s="121">
        <f>G92</f>
        <v>0</v>
      </c>
      <c r="J91" s="121"/>
      <c r="K91" s="121">
        <f>I92</f>
        <v>0</v>
      </c>
      <c r="L91" s="121"/>
      <c r="M91" s="121">
        <f>K92</f>
        <v>0</v>
      </c>
      <c r="N91" s="121"/>
      <c r="O91" s="121">
        <f>M92</f>
        <v>0</v>
      </c>
      <c r="P91" s="121"/>
      <c r="Q91" s="121">
        <f>O92</f>
        <v>0</v>
      </c>
      <c r="R91" s="121"/>
      <c r="S91" s="121">
        <f>Q92</f>
        <v>0</v>
      </c>
      <c r="T91" s="217"/>
      <c r="U91" s="121">
        <f>S92</f>
        <v>0</v>
      </c>
    </row>
    <row r="92" spans="2:22" ht="13.5" thickBot="1" x14ac:dyDescent="0.25">
      <c r="D92" s="31" t="s">
        <v>103</v>
      </c>
      <c r="G92" s="213">
        <f>G82+G88</f>
        <v>0</v>
      </c>
      <c r="H92" s="121"/>
      <c r="I92" s="213">
        <f>I82+I88</f>
        <v>0</v>
      </c>
      <c r="J92" s="121"/>
      <c r="K92" s="213">
        <f>K82+K88</f>
        <v>0</v>
      </c>
      <c r="L92" s="121"/>
      <c r="M92" s="213">
        <f>M82+M88</f>
        <v>0</v>
      </c>
      <c r="N92" s="121"/>
      <c r="O92" s="213">
        <f>O82+O88</f>
        <v>0</v>
      </c>
      <c r="P92" s="121"/>
      <c r="Q92" s="213">
        <f>Q82+Q88</f>
        <v>0</v>
      </c>
      <c r="R92" s="121"/>
      <c r="S92" s="213">
        <f>S82+S88</f>
        <v>0</v>
      </c>
      <c r="T92" s="19"/>
      <c r="U92" s="213">
        <f>U82+U88</f>
        <v>0</v>
      </c>
      <c r="V92" s="121"/>
    </row>
    <row r="93" spans="2:22" x14ac:dyDescent="0.2">
      <c r="D93" s="31" t="s">
        <v>108</v>
      </c>
      <c r="F93" s="110"/>
      <c r="G93" s="342">
        <f>AVERAGE(G91:G92)</f>
        <v>0</v>
      </c>
      <c r="H93" s="215"/>
      <c r="I93" s="342">
        <f>AVERAGE(I91:I92)</f>
        <v>0</v>
      </c>
      <c r="J93" s="215"/>
      <c r="K93" s="342">
        <f>AVERAGE(K91:K92)</f>
        <v>0</v>
      </c>
      <c r="L93" s="215"/>
      <c r="M93" s="342">
        <f>AVERAGE(M91:M92)</f>
        <v>0</v>
      </c>
      <c r="N93" s="215"/>
      <c r="O93" s="342">
        <f>AVERAGE(O91:O92)</f>
        <v>0</v>
      </c>
      <c r="P93" s="215"/>
      <c r="Q93" s="342">
        <f>AVERAGE(Q91:Q92)</f>
        <v>0</v>
      </c>
      <c r="R93" s="215"/>
      <c r="S93" s="342">
        <f>AVERAGE(S91:S92)</f>
        <v>0</v>
      </c>
      <c r="T93" s="218"/>
      <c r="U93" s="342">
        <f>AVERAGE(U91:U92)</f>
        <v>0</v>
      </c>
    </row>
    <row r="94" spans="2:22" x14ac:dyDescent="0.2">
      <c r="G94" s="121"/>
      <c r="H94" s="121"/>
      <c r="I94" s="121"/>
      <c r="J94" s="121"/>
      <c r="K94" s="121"/>
      <c r="L94" s="121"/>
      <c r="M94" s="121"/>
      <c r="N94" s="121"/>
      <c r="O94" s="121"/>
      <c r="P94" s="121"/>
      <c r="Q94" s="121"/>
      <c r="R94" s="121"/>
      <c r="S94" s="121"/>
      <c r="T94" s="217"/>
      <c r="U94" s="121"/>
    </row>
    <row r="95" spans="2:22" x14ac:dyDescent="0.2">
      <c r="B95" s="39" t="s">
        <v>110</v>
      </c>
      <c r="G95" s="121"/>
      <c r="H95" s="121"/>
      <c r="I95" s="121"/>
      <c r="J95" s="121"/>
      <c r="K95" s="121"/>
      <c r="L95" s="121"/>
      <c r="M95" s="121"/>
      <c r="N95" s="121"/>
      <c r="O95" s="121"/>
      <c r="P95" s="121"/>
      <c r="Q95" s="121"/>
      <c r="R95" s="121"/>
      <c r="S95" s="121"/>
      <c r="T95" s="217"/>
      <c r="U95" s="121"/>
    </row>
    <row r="96" spans="2:22" x14ac:dyDescent="0.2">
      <c r="G96" s="121"/>
      <c r="H96" s="121"/>
      <c r="I96" s="121"/>
      <c r="J96" s="121"/>
      <c r="K96" s="121"/>
      <c r="L96" s="121"/>
      <c r="M96" s="121"/>
      <c r="N96" s="121"/>
      <c r="O96" s="121"/>
      <c r="P96" s="121"/>
      <c r="Q96" s="121"/>
      <c r="R96" s="121"/>
      <c r="S96" s="121"/>
      <c r="T96" s="217"/>
      <c r="U96" s="121"/>
    </row>
    <row r="97" spans="3:22" ht="13.5" thickBot="1" x14ac:dyDescent="0.25">
      <c r="C97" s="39" t="s">
        <v>105</v>
      </c>
      <c r="G97" s="121"/>
      <c r="H97" s="121"/>
      <c r="I97" s="121"/>
      <c r="J97" s="121"/>
      <c r="K97" s="121"/>
      <c r="L97" s="121"/>
      <c r="M97" s="121"/>
      <c r="N97" s="121"/>
      <c r="O97" s="121"/>
      <c r="P97" s="121"/>
      <c r="Q97" s="121"/>
      <c r="R97" s="121"/>
      <c r="S97" s="121"/>
      <c r="T97" s="217"/>
      <c r="U97" s="121"/>
    </row>
    <row r="98" spans="3:22" x14ac:dyDescent="0.2">
      <c r="D98" s="31" t="s">
        <v>100</v>
      </c>
      <c r="G98" s="337"/>
      <c r="H98" s="121"/>
      <c r="I98" s="121">
        <f>G101</f>
        <v>0</v>
      </c>
      <c r="J98" s="121"/>
      <c r="K98" s="121">
        <f>I101</f>
        <v>0</v>
      </c>
      <c r="L98" s="121"/>
      <c r="M98" s="121">
        <f>K101</f>
        <v>0</v>
      </c>
      <c r="N98" s="121"/>
      <c r="O98" s="121">
        <f>M101</f>
        <v>1243</v>
      </c>
      <c r="P98" s="121"/>
      <c r="Q98" s="121">
        <f>O101</f>
        <v>1243</v>
      </c>
      <c r="R98" s="121"/>
      <c r="S98" s="121">
        <f>Q101</f>
        <v>1243</v>
      </c>
      <c r="T98" s="217"/>
      <c r="U98" s="121">
        <f>S101</f>
        <v>1243</v>
      </c>
    </row>
    <row r="99" spans="3:22" ht="13.5" thickBot="1" x14ac:dyDescent="0.25">
      <c r="D99" s="31" t="s">
        <v>101</v>
      </c>
      <c r="G99" s="121">
        <f>'2. Smart_Meter_Costs'!G189</f>
        <v>0</v>
      </c>
      <c r="H99" s="121"/>
      <c r="I99" s="121">
        <f>'2. Smart_Meter_Costs'!I189</f>
        <v>0</v>
      </c>
      <c r="J99" s="121"/>
      <c r="K99" s="121">
        <f>'2. Smart_Meter_Costs'!K189</f>
        <v>0</v>
      </c>
      <c r="L99" s="121"/>
      <c r="M99" s="121">
        <f>'2. Smart_Meter_Costs'!M189</f>
        <v>1243</v>
      </c>
      <c r="N99" s="121"/>
      <c r="O99" s="121">
        <f>'2. Smart_Meter_Costs'!O189</f>
        <v>0</v>
      </c>
      <c r="P99" s="121"/>
      <c r="Q99" s="121">
        <f>'2. Smart_Meter_Costs'!Q189</f>
        <v>0</v>
      </c>
      <c r="R99" s="121"/>
      <c r="S99" s="121">
        <f>'2. Smart_Meter_Costs'!S189</f>
        <v>0</v>
      </c>
      <c r="T99" s="217"/>
      <c r="U99" s="121">
        <f>'2. Smart_Meter_Costs'!U189</f>
        <v>0</v>
      </c>
    </row>
    <row r="100" spans="3:22" x14ac:dyDescent="0.2">
      <c r="D100" s="31" t="s">
        <v>102</v>
      </c>
      <c r="G100" s="338"/>
      <c r="H100" s="123"/>
      <c r="I100" s="338"/>
      <c r="J100" s="123"/>
      <c r="K100" s="338"/>
      <c r="L100" s="123"/>
      <c r="M100" s="338"/>
      <c r="N100" s="123"/>
      <c r="O100" s="338"/>
      <c r="P100" s="59"/>
      <c r="Q100" s="338"/>
      <c r="R100" s="59"/>
      <c r="S100" s="338"/>
      <c r="T100" s="211"/>
      <c r="U100" s="338"/>
    </row>
    <row r="101" spans="3:22" ht="13.5" thickBot="1" x14ac:dyDescent="0.25">
      <c r="D101" s="31" t="s">
        <v>103</v>
      </c>
      <c r="G101" s="124">
        <f>G98+G99-G100</f>
        <v>0</v>
      </c>
      <c r="H101" s="121"/>
      <c r="I101" s="124">
        <f>I98+I99-I100</f>
        <v>0</v>
      </c>
      <c r="J101" s="121"/>
      <c r="K101" s="124">
        <f>K98+K99-K100</f>
        <v>0</v>
      </c>
      <c r="L101" s="121"/>
      <c r="M101" s="124">
        <f>M98+M99-M100</f>
        <v>1243</v>
      </c>
      <c r="N101" s="121"/>
      <c r="O101" s="124">
        <f>O98+O99-O100</f>
        <v>1243</v>
      </c>
      <c r="P101" s="121"/>
      <c r="Q101" s="124">
        <f>Q98+Q99-Q100</f>
        <v>1243</v>
      </c>
      <c r="R101" s="121"/>
      <c r="S101" s="124">
        <f>S98+S99-S100</f>
        <v>1243</v>
      </c>
      <c r="T101" s="19"/>
      <c r="U101" s="124">
        <f>U98+U99-U100</f>
        <v>1243</v>
      </c>
    </row>
    <row r="102" spans="3:22" ht="13.5" thickTop="1" x14ac:dyDescent="0.2">
      <c r="G102" s="121"/>
      <c r="H102" s="121"/>
      <c r="I102" s="121"/>
      <c r="J102" s="121"/>
      <c r="K102" s="121"/>
      <c r="L102" s="121"/>
      <c r="M102" s="121"/>
      <c r="N102" s="121"/>
      <c r="O102" s="121"/>
      <c r="P102" s="121"/>
      <c r="Q102" s="121"/>
      <c r="R102" s="121"/>
      <c r="S102" s="121"/>
      <c r="T102" s="217"/>
      <c r="U102" s="121"/>
    </row>
    <row r="103" spans="3:22" x14ac:dyDescent="0.2">
      <c r="C103" s="39" t="s">
        <v>106</v>
      </c>
      <c r="G103" s="121"/>
      <c r="H103" s="121"/>
      <c r="I103" s="121"/>
      <c r="J103" s="121"/>
      <c r="K103" s="121"/>
      <c r="L103" s="121"/>
      <c r="M103" s="121"/>
      <c r="N103" s="121"/>
      <c r="O103" s="121"/>
      <c r="P103" s="121"/>
      <c r="Q103" s="121"/>
      <c r="R103" s="121"/>
      <c r="S103" s="121"/>
      <c r="T103" s="217"/>
      <c r="U103" s="121"/>
    </row>
    <row r="104" spans="3:22" ht="13.5" thickBot="1" x14ac:dyDescent="0.25">
      <c r="D104" s="31" t="s">
        <v>100</v>
      </c>
      <c r="G104" s="209">
        <v>0</v>
      </c>
      <c r="H104" s="121"/>
      <c r="I104" s="213">
        <f>G107</f>
        <v>0</v>
      </c>
      <c r="J104" s="121"/>
      <c r="K104" s="213">
        <f>I107</f>
        <v>0</v>
      </c>
      <c r="L104" s="121"/>
      <c r="M104" s="213">
        <f>K107</f>
        <v>0</v>
      </c>
      <c r="N104" s="121"/>
      <c r="O104" s="213">
        <f>M107</f>
        <v>124</v>
      </c>
      <c r="P104" s="121"/>
      <c r="Q104" s="213">
        <f>O107</f>
        <v>248</v>
      </c>
      <c r="R104" s="121"/>
      <c r="S104" s="213">
        <f>Q107</f>
        <v>372</v>
      </c>
      <c r="T104" s="19"/>
      <c r="U104" s="213">
        <f>S107</f>
        <v>496</v>
      </c>
    </row>
    <row r="105" spans="3:22" ht="13.5" thickBot="1" x14ac:dyDescent="0.25">
      <c r="D105" s="31" t="s">
        <v>125</v>
      </c>
      <c r="F105" s="110"/>
      <c r="G105" s="340">
        <f>IF(ISERROR(-G99/('3. Cost_of_Service_Parameters'!G53*2)), 0, -G99/('3. Cost_of_Service_Parameters'!G53*2))</f>
        <v>0</v>
      </c>
      <c r="H105" s="125"/>
      <c r="I105" s="340">
        <f>IF(ISERROR(-(I99/('3. Cost_of_Service_Parameters'!I53*2)+MIN((I98/'3. Cost_of_Service_Parameters'!I53),(I98+I104)))), 0, -(I99/('3. Cost_of_Service_Parameters'!I53*2)+MIN((I98/'3. Cost_of_Service_Parameters'!I53),(I98+I104))))</f>
        <v>0</v>
      </c>
      <c r="J105" s="125"/>
      <c r="K105" s="340">
        <f>IF(ISERROR(-(K99/('3. Cost_of_Service_Parameters'!K53*2)+MIN((K98/'3. Cost_of_Service_Parameters'!K53),(K98+K104)))), 0, -(K99/('3. Cost_of_Service_Parameters'!K53*2)+MIN((K98/'3. Cost_of_Service_Parameters'!K53),(K98+K104))))</f>
        <v>0</v>
      </c>
      <c r="L105" s="125"/>
      <c r="M105" s="340">
        <v>124</v>
      </c>
      <c r="N105" s="125"/>
      <c r="O105" s="340">
        <v>124</v>
      </c>
      <c r="P105" s="125"/>
      <c r="Q105" s="340">
        <v>124</v>
      </c>
      <c r="R105" s="125"/>
      <c r="S105" s="340">
        <v>124</v>
      </c>
      <c r="T105" s="211"/>
      <c r="U105" s="340">
        <v>124</v>
      </c>
    </row>
    <row r="106" spans="3:22" x14ac:dyDescent="0.2">
      <c r="D106" s="31" t="s">
        <v>102</v>
      </c>
      <c r="G106" s="338"/>
      <c r="H106" s="123"/>
      <c r="I106" s="338"/>
      <c r="J106" s="123"/>
      <c r="K106" s="338"/>
      <c r="L106" s="123"/>
      <c r="M106" s="338"/>
      <c r="N106" s="123"/>
      <c r="O106" s="338"/>
      <c r="P106" s="59"/>
      <c r="Q106" s="338"/>
      <c r="R106" s="59"/>
      <c r="S106" s="338"/>
      <c r="T106" s="211"/>
      <c r="U106" s="338"/>
    </row>
    <row r="107" spans="3:22" ht="13.5" thickBot="1" x14ac:dyDescent="0.25">
      <c r="D107" s="31" t="s">
        <v>103</v>
      </c>
      <c r="G107" s="124">
        <f>G104+G105-G106</f>
        <v>0</v>
      </c>
      <c r="H107" s="121"/>
      <c r="I107" s="124">
        <f>I104+I105-I106</f>
        <v>0</v>
      </c>
      <c r="J107" s="121"/>
      <c r="K107" s="124">
        <f>K104+K105-K106</f>
        <v>0</v>
      </c>
      <c r="L107" s="121"/>
      <c r="M107" s="124">
        <f>M104+M105-M106</f>
        <v>124</v>
      </c>
      <c r="N107" s="121"/>
      <c r="O107" s="124">
        <f>O104+O105-O106</f>
        <v>248</v>
      </c>
      <c r="P107" s="121"/>
      <c r="Q107" s="124">
        <f>Q104+Q105-Q106</f>
        <v>372</v>
      </c>
      <c r="R107" s="121"/>
      <c r="S107" s="124">
        <f>S104+S105-S106</f>
        <v>496</v>
      </c>
      <c r="T107" s="19"/>
      <c r="U107" s="124">
        <f>U104+U105-U106</f>
        <v>620</v>
      </c>
    </row>
    <row r="108" spans="3:22" ht="13.5" thickTop="1" x14ac:dyDescent="0.2">
      <c r="G108" s="121"/>
      <c r="H108" s="121"/>
      <c r="I108" s="121"/>
      <c r="J108" s="121"/>
      <c r="K108" s="121"/>
      <c r="L108" s="121"/>
      <c r="M108" s="121"/>
      <c r="N108" s="121"/>
      <c r="O108" s="121"/>
      <c r="P108" s="121"/>
      <c r="Q108" s="121"/>
      <c r="R108" s="121"/>
      <c r="S108" s="121"/>
      <c r="T108" s="217"/>
      <c r="U108" s="121"/>
    </row>
    <row r="109" spans="3:22" x14ac:dyDescent="0.2">
      <c r="C109" s="39" t="s">
        <v>107</v>
      </c>
      <c r="G109" s="121"/>
      <c r="H109" s="121"/>
      <c r="I109" s="121"/>
      <c r="J109" s="121"/>
      <c r="K109" s="121"/>
      <c r="L109" s="121"/>
      <c r="M109" s="121"/>
      <c r="N109" s="121"/>
      <c r="O109" s="121"/>
      <c r="P109" s="121"/>
      <c r="Q109" s="121"/>
      <c r="R109" s="121"/>
      <c r="S109" s="121"/>
      <c r="T109" s="217"/>
      <c r="U109" s="121"/>
    </row>
    <row r="110" spans="3:22" x14ac:dyDescent="0.2">
      <c r="D110" s="31" t="s">
        <v>100</v>
      </c>
      <c r="G110" s="121">
        <f>G98+G104</f>
        <v>0</v>
      </c>
      <c r="H110" s="121"/>
      <c r="I110" s="121">
        <f>G111</f>
        <v>0</v>
      </c>
      <c r="J110" s="121"/>
      <c r="K110" s="121">
        <f>I111</f>
        <v>0</v>
      </c>
      <c r="L110" s="121"/>
      <c r="M110" s="121">
        <f>K111</f>
        <v>0</v>
      </c>
      <c r="N110" s="121"/>
      <c r="O110" s="121">
        <f>M111</f>
        <v>1367</v>
      </c>
      <c r="P110" s="121"/>
      <c r="Q110" s="121">
        <f>O111</f>
        <v>1491</v>
      </c>
      <c r="R110" s="121"/>
      <c r="S110" s="121">
        <f>Q111</f>
        <v>1615</v>
      </c>
      <c r="T110" s="217"/>
      <c r="U110" s="121">
        <f>S111</f>
        <v>1739</v>
      </c>
    </row>
    <row r="111" spans="3:22" ht="13.5" thickBot="1" x14ac:dyDescent="0.25">
      <c r="D111" s="31" t="s">
        <v>103</v>
      </c>
      <c r="G111" s="213">
        <f>G101+G107</f>
        <v>0</v>
      </c>
      <c r="H111" s="121"/>
      <c r="I111" s="213">
        <f>I101+I107</f>
        <v>0</v>
      </c>
      <c r="J111" s="121"/>
      <c r="K111" s="213">
        <f>K101+K107</f>
        <v>0</v>
      </c>
      <c r="L111" s="121"/>
      <c r="M111" s="213">
        <f>M101+M107</f>
        <v>1367</v>
      </c>
      <c r="N111" s="121"/>
      <c r="O111" s="213">
        <f>O101+O107</f>
        <v>1491</v>
      </c>
      <c r="P111" s="121"/>
      <c r="Q111" s="213">
        <f>Q101+Q107</f>
        <v>1615</v>
      </c>
      <c r="R111" s="121"/>
      <c r="S111" s="213">
        <f>S101+S107</f>
        <v>1739</v>
      </c>
      <c r="T111" s="19"/>
      <c r="U111" s="213">
        <f>U101+U107</f>
        <v>1863</v>
      </c>
      <c r="V111" s="121"/>
    </row>
    <row r="112" spans="3:22" x14ac:dyDescent="0.2">
      <c r="D112" s="31" t="s">
        <v>108</v>
      </c>
      <c r="F112" s="110"/>
      <c r="G112" s="342">
        <f>AVERAGE(G110:G111)</f>
        <v>0</v>
      </c>
      <c r="H112" s="215"/>
      <c r="I112" s="342">
        <f>AVERAGE(I110:I111)</f>
        <v>0</v>
      </c>
      <c r="J112" s="215"/>
      <c r="K112" s="342">
        <f>AVERAGE(K110:K111)</f>
        <v>0</v>
      </c>
      <c r="L112" s="215"/>
      <c r="M112" s="342">
        <f>AVERAGE(M110:M111)</f>
        <v>683.5</v>
      </c>
      <c r="N112" s="215"/>
      <c r="O112" s="342">
        <f>AVERAGE(O110:O111)</f>
        <v>1429</v>
      </c>
      <c r="P112" s="215"/>
      <c r="Q112" s="342">
        <f>AVERAGE(Q110:Q111)</f>
        <v>1553</v>
      </c>
      <c r="R112" s="215"/>
      <c r="S112" s="342">
        <f>AVERAGE(S110:S111)</f>
        <v>1677</v>
      </c>
      <c r="T112" s="218"/>
      <c r="U112" s="342">
        <f>AVERAGE(U110:U111)</f>
        <v>1801</v>
      </c>
    </row>
  </sheetData>
  <sheetProtection password="C2FC" sheet="1" objects="1" scenarios="1"/>
  <phoneticPr fontId="7" type="noConversion"/>
  <pageMargins left="0.75" right="0.75" top="1" bottom="1" header="0.5" footer="0.5"/>
  <pageSetup scale="55" fitToHeight="0" orientation="landscape" r:id="rId1"/>
  <headerFooter alignWithMargins="0"/>
  <rowBreaks count="1" manualBreakCount="1">
    <brk id="56" max="20" man="1"/>
  </rowBreaks>
  <colBreaks count="1" manualBreakCount="1">
    <brk id="2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8:U72"/>
  <sheetViews>
    <sheetView showGridLines="0" topLeftCell="A28" zoomScale="80" zoomScaleNormal="100" workbookViewId="0">
      <selection activeCell="M53" sqref="M53"/>
    </sheetView>
  </sheetViews>
  <sheetFormatPr defaultColWidth="9.140625" defaultRowHeight="12.75" x14ac:dyDescent="0.2"/>
  <cols>
    <col min="1" max="2" width="2.7109375" style="31" customWidth="1"/>
    <col min="3" max="3" width="9.140625" style="31"/>
    <col min="4" max="4" width="17.7109375" style="31" customWidth="1"/>
    <col min="5" max="5" width="21.7109375" style="31" customWidth="1"/>
    <col min="6" max="6" width="2.7109375" style="31" customWidth="1"/>
    <col min="7" max="7" width="16.5703125" style="31" customWidth="1"/>
    <col min="8" max="8" width="2.7109375" style="31" customWidth="1"/>
    <col min="9" max="9" width="16.7109375" style="31" customWidth="1"/>
    <col min="10" max="10" width="2.7109375" style="31" customWidth="1"/>
    <col min="11" max="11" width="16.7109375" style="31" customWidth="1"/>
    <col min="12" max="12" width="2.7109375" style="31" customWidth="1"/>
    <col min="13" max="13" width="16.85546875" style="31" customWidth="1"/>
    <col min="14" max="14" width="2.7109375" style="31" customWidth="1"/>
    <col min="15" max="15" width="16.7109375" style="31" customWidth="1"/>
    <col min="16" max="16" width="2.7109375" style="31" customWidth="1"/>
    <col min="17" max="17" width="16.7109375" style="31" customWidth="1"/>
    <col min="18" max="18" width="2.7109375" style="31" customWidth="1"/>
    <col min="19" max="19" width="16.7109375" style="31" customWidth="1"/>
    <col min="20" max="20" width="2.7109375" style="31" customWidth="1"/>
    <col min="21" max="21" width="16.7109375" style="31" customWidth="1"/>
    <col min="22" max="22" width="2.7109375" style="31" customWidth="1"/>
    <col min="23" max="16384" width="9.140625" style="31"/>
  </cols>
  <sheetData>
    <row r="18" spans="2:21" x14ac:dyDescent="0.2">
      <c r="G18" s="126">
        <v>2006</v>
      </c>
      <c r="H18" s="126"/>
      <c r="I18" s="126">
        <v>2007</v>
      </c>
      <c r="J18" s="126"/>
      <c r="K18" s="126">
        <v>2008</v>
      </c>
      <c r="L18" s="126"/>
      <c r="M18" s="126">
        <v>2009</v>
      </c>
      <c r="N18" s="126"/>
      <c r="O18" s="126">
        <v>2010</v>
      </c>
      <c r="P18" s="126"/>
      <c r="Q18" s="126">
        <v>2011</v>
      </c>
      <c r="R18" s="126"/>
      <c r="S18" s="126">
        <v>2012</v>
      </c>
      <c r="U18" s="126">
        <v>2013</v>
      </c>
    </row>
    <row r="19" spans="2:21" x14ac:dyDescent="0.2">
      <c r="B19" s="39" t="s">
        <v>261</v>
      </c>
    </row>
    <row r="20" spans="2:21" x14ac:dyDescent="0.2">
      <c r="C20" s="374" t="s">
        <v>93</v>
      </c>
      <c r="D20" s="374"/>
      <c r="E20" s="374"/>
      <c r="G20" s="59">
        <f>'4. SM_Assets_and_Rate_Base'!G36</f>
        <v>0</v>
      </c>
      <c r="H20" s="121"/>
      <c r="I20" s="59">
        <f>'4. SM_Assets_and_Rate_Base'!I36</f>
        <v>0</v>
      </c>
      <c r="J20" s="121"/>
      <c r="K20" s="59">
        <f>'4. SM_Assets_and_Rate_Base'!K36</f>
        <v>0</v>
      </c>
      <c r="L20" s="121"/>
      <c r="M20" s="59">
        <f>'4. SM_Assets_and_Rate_Base'!M36</f>
        <v>163585.61666666667</v>
      </c>
      <c r="N20" s="121"/>
      <c r="O20" s="59">
        <f>'4. SM_Assets_and_Rate_Base'!O36</f>
        <v>405040.78333333333</v>
      </c>
      <c r="P20" s="121"/>
      <c r="Q20" s="59">
        <f>'4. SM_Assets_and_Rate_Base'!Q36</f>
        <v>467820.5</v>
      </c>
      <c r="R20" s="121"/>
      <c r="S20" s="59">
        <f>'4. SM_Assets_and_Rate_Base'!S36</f>
        <v>435139.1333333333</v>
      </c>
      <c r="U20" s="59">
        <f>'4. SM_Assets_and_Rate_Base'!U36</f>
        <v>399956.06666666665</v>
      </c>
    </row>
    <row r="21" spans="2:21" x14ac:dyDescent="0.2">
      <c r="C21" s="374" t="s">
        <v>15</v>
      </c>
      <c r="D21" s="374"/>
      <c r="E21" s="374"/>
      <c r="G21" s="59">
        <f>'4. SM_Assets_and_Rate_Base'!G55</f>
        <v>0</v>
      </c>
      <c r="H21" s="121"/>
      <c r="I21" s="59">
        <f>'4. SM_Assets_and_Rate_Base'!I55</f>
        <v>0</v>
      </c>
      <c r="J21" s="121"/>
      <c r="K21" s="59">
        <f>'4. SM_Assets_and_Rate_Base'!K55</f>
        <v>0</v>
      </c>
      <c r="L21" s="121"/>
      <c r="M21" s="59">
        <f>'4. SM_Assets_and_Rate_Base'!M55</f>
        <v>0</v>
      </c>
      <c r="N21" s="121"/>
      <c r="O21" s="59">
        <f>'4. SM_Assets_and_Rate_Base'!O55</f>
        <v>0</v>
      </c>
      <c r="P21" s="121"/>
      <c r="Q21" s="59">
        <f>'4. SM_Assets_and_Rate_Base'!Q55</f>
        <v>0</v>
      </c>
      <c r="R21" s="121"/>
      <c r="S21" s="59">
        <f>'4. SM_Assets_and_Rate_Base'!S55</f>
        <v>0</v>
      </c>
      <c r="U21" s="59">
        <f>'4. SM_Assets_and_Rate_Base'!U55</f>
        <v>0</v>
      </c>
    </row>
    <row r="22" spans="2:21" x14ac:dyDescent="0.2">
      <c r="C22" s="374" t="s">
        <v>16</v>
      </c>
      <c r="D22" s="374"/>
      <c r="E22" s="374"/>
      <c r="G22" s="59">
        <f>'4. SM_Assets_and_Rate_Base'!G74</f>
        <v>0</v>
      </c>
      <c r="H22" s="121"/>
      <c r="I22" s="59">
        <f>'4. SM_Assets_and_Rate_Base'!I74</f>
        <v>0</v>
      </c>
      <c r="J22" s="121"/>
      <c r="K22" s="59">
        <f>'4. SM_Assets_and_Rate_Base'!K74</f>
        <v>0</v>
      </c>
      <c r="L22" s="121"/>
      <c r="M22" s="59">
        <f>'4. SM_Assets_and_Rate_Base'!M74</f>
        <v>0</v>
      </c>
      <c r="N22" s="121"/>
      <c r="O22" s="59">
        <f>'4. SM_Assets_and_Rate_Base'!O74</f>
        <v>12543</v>
      </c>
      <c r="P22" s="121"/>
      <c r="Q22" s="59">
        <f>'4. SM_Assets_and_Rate_Base'!Q74</f>
        <v>33916</v>
      </c>
      <c r="R22" s="121"/>
      <c r="S22" s="59">
        <f>'4. SM_Assets_and_Rate_Base'!S74</f>
        <v>44585</v>
      </c>
      <c r="U22" s="59">
        <f>'4. SM_Assets_and_Rate_Base'!U74</f>
        <v>48263</v>
      </c>
    </row>
    <row r="23" spans="2:21" x14ac:dyDescent="0.2">
      <c r="C23" s="372" t="s">
        <v>18</v>
      </c>
      <c r="D23" s="372"/>
      <c r="E23" s="372"/>
      <c r="G23" s="59">
        <f>'4. SM_Assets_and_Rate_Base'!G93</f>
        <v>0</v>
      </c>
      <c r="H23" s="121"/>
      <c r="I23" s="59">
        <f>'4. SM_Assets_and_Rate_Base'!I93</f>
        <v>0</v>
      </c>
      <c r="J23" s="121"/>
      <c r="K23" s="59">
        <f>'4. SM_Assets_and_Rate_Base'!K93</f>
        <v>0</v>
      </c>
      <c r="L23" s="121"/>
      <c r="M23" s="59">
        <f>'4. SM_Assets_and_Rate_Base'!M93</f>
        <v>0</v>
      </c>
      <c r="N23" s="121"/>
      <c r="O23" s="59">
        <f>'4. SM_Assets_and_Rate_Base'!O93</f>
        <v>0</v>
      </c>
      <c r="P23" s="121"/>
      <c r="Q23" s="59">
        <f>'4. SM_Assets_and_Rate_Base'!Q93</f>
        <v>0</v>
      </c>
      <c r="R23" s="121"/>
      <c r="S23" s="59">
        <f>'4. SM_Assets_and_Rate_Base'!S93</f>
        <v>0</v>
      </c>
      <c r="U23" s="59">
        <f>'4. SM_Assets_and_Rate_Base'!U93</f>
        <v>0</v>
      </c>
    </row>
    <row r="24" spans="2:21" ht="13.5" thickBot="1" x14ac:dyDescent="0.25">
      <c r="C24" s="372" t="s">
        <v>17</v>
      </c>
      <c r="D24" s="372"/>
      <c r="E24" s="372"/>
      <c r="G24" s="127">
        <f>'4. SM_Assets_and_Rate_Base'!G112</f>
        <v>0</v>
      </c>
      <c r="H24" s="121"/>
      <c r="I24" s="127">
        <f>'4. SM_Assets_and_Rate_Base'!I112</f>
        <v>0</v>
      </c>
      <c r="J24" s="121"/>
      <c r="K24" s="59">
        <f>'4. SM_Assets_and_Rate_Base'!K112</f>
        <v>0</v>
      </c>
      <c r="L24" s="121"/>
      <c r="M24" s="127">
        <f>'4. SM_Assets_and_Rate_Base'!M112</f>
        <v>683.5</v>
      </c>
      <c r="N24" s="121"/>
      <c r="O24" s="59">
        <f>'4. SM_Assets_and_Rate_Base'!O112</f>
        <v>1429</v>
      </c>
      <c r="P24" s="121"/>
      <c r="Q24" s="127">
        <f>'4. SM_Assets_and_Rate_Base'!Q112</f>
        <v>1553</v>
      </c>
      <c r="R24" s="121"/>
      <c r="S24" s="127">
        <f>'4. SM_Assets_and_Rate_Base'!S112</f>
        <v>1677</v>
      </c>
      <c r="U24" s="127">
        <f>'4. SM_Assets_and_Rate_Base'!U112</f>
        <v>1801</v>
      </c>
    </row>
    <row r="25" spans="2:21" ht="13.5" thickTop="1" x14ac:dyDescent="0.2">
      <c r="C25" s="373" t="s">
        <v>126</v>
      </c>
      <c r="D25" s="373"/>
      <c r="E25" s="373"/>
      <c r="F25" s="39"/>
      <c r="G25" s="128">
        <f>SUM(G20:G24)</f>
        <v>0</v>
      </c>
      <c r="H25" s="128"/>
      <c r="I25" s="128">
        <f>SUM(I20:I24)</f>
        <v>0</v>
      </c>
      <c r="J25" s="128"/>
      <c r="K25" s="129">
        <f>SUM(K20:K24)</f>
        <v>0</v>
      </c>
      <c r="L25" s="128"/>
      <c r="M25" s="128">
        <f>SUM(M20:M24)</f>
        <v>164269.11666666667</v>
      </c>
      <c r="N25" s="128"/>
      <c r="O25" s="129">
        <f>SUM(O20:O24)</f>
        <v>419012.78333333333</v>
      </c>
      <c r="P25" s="128"/>
      <c r="Q25" s="128">
        <f>SUM(Q20:Q24)</f>
        <v>503289.5</v>
      </c>
      <c r="R25" s="128"/>
      <c r="S25" s="128">
        <f>SUM(S20:S24)</f>
        <v>481401.1333333333</v>
      </c>
      <c r="U25" s="128">
        <f>SUM(U20:U24)</f>
        <v>450020.06666666665</v>
      </c>
    </row>
    <row r="26" spans="2:21" x14ac:dyDescent="0.2">
      <c r="C26" s="29"/>
      <c r="D26" s="29"/>
      <c r="E26" s="29"/>
      <c r="G26" s="121"/>
      <c r="H26" s="121"/>
      <c r="I26" s="121"/>
      <c r="J26" s="121"/>
      <c r="K26" s="121"/>
      <c r="L26" s="121"/>
      <c r="M26" s="121"/>
      <c r="N26" s="121"/>
      <c r="O26" s="121"/>
      <c r="P26" s="121"/>
      <c r="Q26" s="121"/>
      <c r="R26" s="121"/>
      <c r="S26" s="121"/>
      <c r="U26" s="121"/>
    </row>
    <row r="27" spans="2:21" x14ac:dyDescent="0.2">
      <c r="B27" s="39" t="s">
        <v>127</v>
      </c>
      <c r="C27" s="29"/>
      <c r="D27" s="29"/>
      <c r="E27" s="29"/>
      <c r="G27" s="121"/>
      <c r="H27" s="121"/>
      <c r="I27" s="121"/>
      <c r="J27" s="121"/>
      <c r="K27" s="121"/>
      <c r="L27" s="121"/>
      <c r="M27" s="121"/>
      <c r="N27" s="121"/>
      <c r="O27" s="121"/>
      <c r="P27" s="121"/>
      <c r="Q27" s="121"/>
      <c r="R27" s="121"/>
      <c r="S27" s="121"/>
      <c r="U27" s="121"/>
    </row>
    <row r="28" spans="2:21" x14ac:dyDescent="0.2">
      <c r="C28" s="29" t="s">
        <v>262</v>
      </c>
      <c r="D28" s="29"/>
      <c r="E28" s="29"/>
      <c r="G28" s="59">
        <f>'2. Smart_Meter_Costs'!G174</f>
        <v>0</v>
      </c>
      <c r="H28" s="59"/>
      <c r="I28" s="59">
        <f>'2. Smart_Meter_Costs'!I174</f>
        <v>0</v>
      </c>
      <c r="J28" s="59"/>
      <c r="K28" s="59">
        <f>'2. Smart_Meter_Costs'!K174</f>
        <v>0</v>
      </c>
      <c r="L28" s="59"/>
      <c r="M28" s="59">
        <f>'2. Smart_Meter_Costs'!M174</f>
        <v>27633</v>
      </c>
      <c r="N28" s="59"/>
      <c r="O28" s="59">
        <f>'2. Smart_Meter_Costs'!O174</f>
        <v>3224</v>
      </c>
      <c r="P28" s="59"/>
      <c r="Q28" s="59">
        <f>'2. Smart_Meter_Costs'!Q174</f>
        <v>4126</v>
      </c>
      <c r="R28" s="59"/>
      <c r="S28" s="59">
        <f>'2. Smart_Meter_Costs'!S174</f>
        <v>0</v>
      </c>
      <c r="U28" s="59">
        <f>'2. Smart_Meter_Costs'!U174</f>
        <v>0</v>
      </c>
    </row>
    <row r="29" spans="2:21" x14ac:dyDescent="0.2">
      <c r="C29" s="29" t="s">
        <v>263</v>
      </c>
      <c r="D29" s="29"/>
      <c r="E29" s="29"/>
      <c r="G29" s="130">
        <f>'3. Cost_of_Service_Parameters'!G36</f>
        <v>0.15</v>
      </c>
      <c r="H29" s="65"/>
      <c r="I29" s="130">
        <f>'3. Cost_of_Service_Parameters'!I36</f>
        <v>0.15</v>
      </c>
      <c r="J29" s="65"/>
      <c r="K29" s="130">
        <f>'3. Cost_of_Service_Parameters'!K36</f>
        <v>0.15</v>
      </c>
      <c r="L29" s="65"/>
      <c r="M29" s="130">
        <f>'3. Cost_of_Service_Parameters'!M36</f>
        <v>0.15</v>
      </c>
      <c r="N29" s="65"/>
      <c r="O29" s="130">
        <f>'3. Cost_of_Service_Parameters'!O36</f>
        <v>0.15</v>
      </c>
      <c r="P29" s="65"/>
      <c r="Q29" s="130">
        <f>'3. Cost_of_Service_Parameters'!Q36</f>
        <v>0.15</v>
      </c>
      <c r="R29" s="65"/>
      <c r="S29" s="130">
        <f>'3. Cost_of_Service_Parameters'!S36</f>
        <v>0.15</v>
      </c>
      <c r="U29" s="130">
        <f>'3. Cost_of_Service_Parameters'!U36</f>
        <v>0.13</v>
      </c>
    </row>
    <row r="30" spans="2:21" x14ac:dyDescent="0.2">
      <c r="C30" s="29" t="s">
        <v>86</v>
      </c>
      <c r="D30" s="29"/>
      <c r="E30" s="29"/>
      <c r="G30" s="59">
        <f>G28*G29</f>
        <v>0</v>
      </c>
      <c r="H30" s="59"/>
      <c r="I30" s="59">
        <f>I28*I29</f>
        <v>0</v>
      </c>
      <c r="J30" s="59"/>
      <c r="K30" s="59">
        <f>K28*K29</f>
        <v>0</v>
      </c>
      <c r="L30" s="59"/>
      <c r="M30" s="59">
        <f>M28*M29</f>
        <v>4144.95</v>
      </c>
      <c r="N30" s="59"/>
      <c r="O30" s="59">
        <f>O28*O29</f>
        <v>483.59999999999997</v>
      </c>
      <c r="P30" s="59"/>
      <c r="Q30" s="59">
        <f>Q28*Q29</f>
        <v>618.9</v>
      </c>
      <c r="R30" s="59"/>
      <c r="S30" s="59">
        <f>S28*S29</f>
        <v>0</v>
      </c>
      <c r="U30" s="59">
        <f>U28*U29</f>
        <v>0</v>
      </c>
    </row>
    <row r="31" spans="2:21" ht="13.5" thickBot="1" x14ac:dyDescent="0.25">
      <c r="B31" s="29"/>
      <c r="C31" s="29"/>
      <c r="D31" s="29"/>
      <c r="E31" s="29"/>
      <c r="G31" s="131"/>
      <c r="H31" s="121"/>
      <c r="I31" s="121"/>
      <c r="J31" s="121"/>
      <c r="K31" s="131"/>
      <c r="L31" s="121"/>
      <c r="M31" s="131"/>
      <c r="N31" s="121"/>
      <c r="O31" s="121"/>
      <c r="P31" s="121"/>
      <c r="Q31" s="121"/>
      <c r="R31" s="121"/>
      <c r="S31" s="121"/>
      <c r="U31" s="121"/>
    </row>
    <row r="32" spans="2:21" ht="13.5" thickTop="1" x14ac:dyDescent="0.2">
      <c r="B32" s="39" t="s">
        <v>128</v>
      </c>
      <c r="C32" s="132"/>
      <c r="D32" s="132"/>
      <c r="E32" s="132"/>
      <c r="F32" s="39"/>
      <c r="G32" s="128">
        <f>G25+G30</f>
        <v>0</v>
      </c>
      <c r="H32" s="128"/>
      <c r="I32" s="129">
        <f>I25+I30</f>
        <v>0</v>
      </c>
      <c r="J32" s="128"/>
      <c r="K32" s="128">
        <f>K25+K30</f>
        <v>0</v>
      </c>
      <c r="L32" s="128"/>
      <c r="M32" s="128">
        <f>M25+M30</f>
        <v>168414.06666666668</v>
      </c>
      <c r="N32" s="128"/>
      <c r="O32" s="129">
        <f>O25+O30</f>
        <v>419496.3833333333</v>
      </c>
      <c r="P32" s="128"/>
      <c r="Q32" s="129">
        <f>Q25+Q30</f>
        <v>503908.4</v>
      </c>
      <c r="R32" s="128"/>
      <c r="S32" s="129">
        <f>S25+S30</f>
        <v>481401.1333333333</v>
      </c>
      <c r="U32" s="129">
        <f>U25+U30</f>
        <v>450020.06666666665</v>
      </c>
    </row>
    <row r="33" spans="2:21" x14ac:dyDescent="0.2">
      <c r="C33" s="29"/>
      <c r="D33" s="29"/>
      <c r="E33" s="29"/>
    </row>
    <row r="34" spans="2:21" x14ac:dyDescent="0.2">
      <c r="B34" s="39" t="s">
        <v>129</v>
      </c>
      <c r="C34" s="29"/>
      <c r="D34" s="29"/>
      <c r="E34" s="29"/>
    </row>
    <row r="35" spans="2:21" x14ac:dyDescent="0.2">
      <c r="C35" s="133" t="s">
        <v>77</v>
      </c>
      <c r="D35" s="29"/>
      <c r="E35" s="29"/>
    </row>
    <row r="36" spans="2:21" x14ac:dyDescent="0.2">
      <c r="C36" s="29" t="s">
        <v>130</v>
      </c>
      <c r="D36" s="29"/>
      <c r="E36" s="29"/>
      <c r="G36" s="121">
        <f>G$32*'3. Cost_of_Service_Parameters'!G22</f>
        <v>0</v>
      </c>
      <c r="I36" s="121">
        <f>I$32*'3. Cost_of_Service_Parameters'!I22</f>
        <v>0</v>
      </c>
      <c r="K36" s="121">
        <f>K$32*'3. Cost_of_Service_Parameters'!K22</f>
        <v>0</v>
      </c>
      <c r="M36" s="121">
        <f>M$32*'3. Cost_of_Service_Parameters'!M22</f>
        <v>6736.5626666666676</v>
      </c>
      <c r="O36" s="121">
        <f>O$32*'3. Cost_of_Service_Parameters'!O22</f>
        <v>16779.855333333333</v>
      </c>
      <c r="Q36" s="121">
        <f>Q$32*'3. Cost_of_Service_Parameters'!Q22</f>
        <v>20156.336000000003</v>
      </c>
      <c r="S36" s="121">
        <f>S$32*'3. Cost_of_Service_Parameters'!S22</f>
        <v>19256.045333333332</v>
      </c>
      <c r="U36" s="121">
        <f>U$32*'3. Cost_of_Service_Parameters'!U22</f>
        <v>18000.802666666666</v>
      </c>
    </row>
    <row r="37" spans="2:21" x14ac:dyDescent="0.2">
      <c r="C37" s="29" t="s">
        <v>131</v>
      </c>
      <c r="D37" s="29"/>
      <c r="E37" s="29"/>
      <c r="G37" s="121">
        <f>G$32*'3. Cost_of_Service_Parameters'!G23</f>
        <v>0</v>
      </c>
      <c r="I37" s="121">
        <f>I$32*'3. Cost_of_Service_Parameters'!I23</f>
        <v>0</v>
      </c>
      <c r="K37" s="121">
        <f>K$32*'3. Cost_of_Service_Parameters'!K23</f>
        <v>0</v>
      </c>
      <c r="M37" s="121">
        <f>M$32*'3. Cost_of_Service_Parameters'!M23</f>
        <v>88754.213133333338</v>
      </c>
      <c r="O37" s="121">
        <f>O$32*'3. Cost_of_Service_Parameters'!O23</f>
        <v>234917.97466666662</v>
      </c>
      <c r="Q37" s="121">
        <f>Q$32*'3. Cost_of_Service_Parameters'!Q23</f>
        <v>282188.70399999997</v>
      </c>
      <c r="S37" s="121">
        <f>S$32*'3. Cost_of_Service_Parameters'!S23</f>
        <v>269584.63466666662</v>
      </c>
      <c r="U37" s="121">
        <f>U$32*'3. Cost_of_Service_Parameters'!U23</f>
        <v>252011.23733333329</v>
      </c>
    </row>
    <row r="38" spans="2:21" x14ac:dyDescent="0.2">
      <c r="C38" s="29" t="s">
        <v>132</v>
      </c>
      <c r="D38" s="29"/>
      <c r="E38" s="29"/>
      <c r="G38" s="121">
        <f>G$32*'3. Cost_of_Service_Parameters'!G24</f>
        <v>0</v>
      </c>
      <c r="I38" s="121">
        <f>I$32*'3. Cost_of_Service_Parameters'!I24</f>
        <v>0</v>
      </c>
      <c r="K38" s="121">
        <f>K$32*'3. Cost_of_Service_Parameters'!K24</f>
        <v>0</v>
      </c>
      <c r="M38" s="121">
        <f>M$32*'3. Cost_of_Service_Parameters'!M24</f>
        <v>72923.290866666677</v>
      </c>
      <c r="O38" s="121">
        <f>O$32*'3. Cost_of_Service_Parameters'!O24</f>
        <v>167798.55333333334</v>
      </c>
      <c r="Q38" s="121">
        <f>Q$32*'3. Cost_of_Service_Parameters'!Q24</f>
        <v>201563.36000000004</v>
      </c>
      <c r="S38" s="121">
        <f>S$32*'3. Cost_of_Service_Parameters'!S24</f>
        <v>192560.45333333337</v>
      </c>
      <c r="U38" s="121">
        <f>U$32*'3. Cost_of_Service_Parameters'!U24</f>
        <v>180008.0266666667</v>
      </c>
    </row>
    <row r="39" spans="2:21" ht="13.5" thickBot="1" x14ac:dyDescent="0.25">
      <c r="C39" s="29" t="s">
        <v>81</v>
      </c>
      <c r="D39" s="29"/>
      <c r="E39" s="29"/>
      <c r="G39" s="131">
        <f>G$32*'3. Cost_of_Service_Parameters'!G25</f>
        <v>0</v>
      </c>
      <c r="I39" s="121">
        <f>I$32*'3. Cost_of_Service_Parameters'!I25</f>
        <v>0</v>
      </c>
      <c r="K39" s="131">
        <f>K$32*'3. Cost_of_Service_Parameters'!K25</f>
        <v>0</v>
      </c>
      <c r="M39" s="121">
        <f>M$32*'3. Cost_of_Service_Parameters'!M25</f>
        <v>0</v>
      </c>
      <c r="O39" s="131">
        <f>O$32*'3. Cost_of_Service_Parameters'!O25</f>
        <v>0</v>
      </c>
      <c r="Q39" s="121">
        <f>Q$32*'3. Cost_of_Service_Parameters'!Q25</f>
        <v>0</v>
      </c>
      <c r="S39" s="131">
        <f>S$32*'3. Cost_of_Service_Parameters'!S25</f>
        <v>0</v>
      </c>
      <c r="U39" s="131">
        <f>U$32*'3. Cost_of_Service_Parameters'!U25</f>
        <v>0</v>
      </c>
    </row>
    <row r="40" spans="2:21" ht="13.5" thickTop="1" x14ac:dyDescent="0.2">
      <c r="C40" s="29" t="s">
        <v>133</v>
      </c>
      <c r="D40" s="29"/>
      <c r="E40" s="29"/>
      <c r="G40" s="121">
        <f>SUM(G36:G39)</f>
        <v>0</v>
      </c>
      <c r="I40" s="84">
        <f>SUM(I36:I39)</f>
        <v>0</v>
      </c>
      <c r="K40" s="121">
        <f>SUM(K36:K39)</f>
        <v>0</v>
      </c>
      <c r="M40" s="84">
        <f>SUM(M36:M39)</f>
        <v>168414.06666666668</v>
      </c>
      <c r="O40" s="121">
        <f>SUM(O36:O39)</f>
        <v>419496.3833333333</v>
      </c>
      <c r="Q40" s="84">
        <f>SUM(Q36:Q39)</f>
        <v>503908.4</v>
      </c>
      <c r="S40" s="121">
        <f>SUM(S36:S39)</f>
        <v>481401.1333333333</v>
      </c>
      <c r="U40" s="121">
        <f>SUM(U36:U39)</f>
        <v>450020.06666666665</v>
      </c>
    </row>
    <row r="41" spans="2:21" x14ac:dyDescent="0.2">
      <c r="C41" s="29"/>
      <c r="D41" s="29"/>
      <c r="E41" s="29"/>
      <c r="G41" s="31" t="str">
        <f>IF(G40=G32,"","Error")</f>
        <v/>
      </c>
      <c r="I41" s="31" t="str">
        <f>IF(I40=I32,"","Error")</f>
        <v/>
      </c>
      <c r="K41" s="31" t="str">
        <f>IF(K40=K32,"","Error")</f>
        <v/>
      </c>
      <c r="M41" s="31" t="str">
        <f>IF(M40=M32,"","Error")</f>
        <v/>
      </c>
      <c r="O41" s="31" t="str">
        <f>IF(O40=O32,"","Error")</f>
        <v/>
      </c>
      <c r="Q41" s="31" t="str">
        <f>IF(Q40=Q32,"","Error")</f>
        <v/>
      </c>
      <c r="S41" s="31" t="str">
        <f>IF(S40=S32,"","Error")</f>
        <v/>
      </c>
      <c r="U41" s="31" t="str">
        <f>IF(U40=U32,"","Error")</f>
        <v/>
      </c>
    </row>
    <row r="42" spans="2:21" x14ac:dyDescent="0.2">
      <c r="C42" s="133" t="s">
        <v>134</v>
      </c>
      <c r="D42" s="29"/>
      <c r="E42" s="29"/>
    </row>
    <row r="43" spans="2:21" x14ac:dyDescent="0.2">
      <c r="C43" s="29" t="s">
        <v>130</v>
      </c>
      <c r="D43" s="29"/>
      <c r="E43" s="29"/>
      <c r="G43" s="121">
        <f>G36*'3. Cost_of_Service_Parameters'!G29</f>
        <v>0</v>
      </c>
      <c r="I43" s="121">
        <f>I36*'3. Cost_of_Service_Parameters'!I29</f>
        <v>0</v>
      </c>
      <c r="K43" s="121">
        <f>K36*'3. Cost_of_Service_Parameters'!K29</f>
        <v>0</v>
      </c>
      <c r="M43" s="121">
        <f>M36*'3. Cost_of_Service_Parameters'!M29</f>
        <v>89.596283466666677</v>
      </c>
      <c r="O43" s="121">
        <f>O36*'3. Cost_of_Service_Parameters'!O29</f>
        <v>347.34300539999998</v>
      </c>
      <c r="Q43" s="121">
        <f>Q36*'3. Cost_of_Service_Parameters'!Q29</f>
        <v>489.79896480000002</v>
      </c>
      <c r="S43" s="121">
        <f>S36*'3. Cost_of_Service_Parameters'!S29</f>
        <v>400.52574293333328</v>
      </c>
      <c r="U43" s="121">
        <f>U36*'3. Cost_of_Service_Parameters'!U29</f>
        <v>374.41669546666662</v>
      </c>
    </row>
    <row r="44" spans="2:21" x14ac:dyDescent="0.2">
      <c r="C44" s="29" t="s">
        <v>131</v>
      </c>
      <c r="D44" s="29"/>
      <c r="E44" s="29"/>
      <c r="G44" s="121">
        <f>G37*'3. Cost_of_Service_Parameters'!G30</f>
        <v>0</v>
      </c>
      <c r="I44" s="121">
        <f>I37*'3. Cost_of_Service_Parameters'!I30</f>
        <v>0</v>
      </c>
      <c r="K44" s="121">
        <f>K37*'3. Cost_of_Service_Parameters'!K30</f>
        <v>0</v>
      </c>
      <c r="M44" s="121">
        <f>M37*'3. Cost_of_Service_Parameters'!M30</f>
        <v>6763.0710407600009</v>
      </c>
      <c r="O44" s="121">
        <f>O37*'3. Cost_of_Service_Parameters'!O30</f>
        <v>13789.685112933332</v>
      </c>
      <c r="Q44" s="121">
        <f>Q37*'3. Cost_of_Service_Parameters'!Q30</f>
        <v>15463.940979199999</v>
      </c>
      <c r="S44" s="121">
        <f>S37*'3. Cost_of_Service_Parameters'!S30</f>
        <v>11888.682388799998</v>
      </c>
      <c r="U44" s="121">
        <f>U37*'3. Cost_of_Service_Parameters'!U30</f>
        <v>9274.013533866666</v>
      </c>
    </row>
    <row r="45" spans="2:21" x14ac:dyDescent="0.2">
      <c r="C45" s="29" t="s">
        <v>132</v>
      </c>
      <c r="D45" s="29"/>
      <c r="E45" s="29"/>
      <c r="G45" s="121">
        <f>G38*'3. Cost_of_Service_Parameters'!G31</f>
        <v>0</v>
      </c>
      <c r="I45" s="121">
        <f>I38*'3. Cost_of_Service_Parameters'!I31</f>
        <v>0</v>
      </c>
      <c r="K45" s="121">
        <f>K38*'3. Cost_of_Service_Parameters'!K31</f>
        <v>0</v>
      </c>
      <c r="M45" s="121">
        <f>M38*'3. Cost_of_Service_Parameters'!M31</f>
        <v>5841.1555984200013</v>
      </c>
      <c r="O45" s="121">
        <f>O38*'3. Cost_of_Service_Parameters'!O31</f>
        <v>16528.157503333336</v>
      </c>
      <c r="Q45" s="121">
        <f>Q38*'3. Cost_of_Service_Parameters'!Q31</f>
        <v>19471.020576000006</v>
      </c>
      <c r="S45" s="121">
        <f>S38*'3. Cost_of_Service_Parameters'!S31</f>
        <v>17561.513344000003</v>
      </c>
      <c r="U45" s="121">
        <f>U38*'3. Cost_of_Service_Parameters'!U31</f>
        <v>16164.720794666671</v>
      </c>
    </row>
    <row r="46" spans="2:21" ht="13.5" thickBot="1" x14ac:dyDescent="0.25">
      <c r="C46" s="29" t="s">
        <v>81</v>
      </c>
      <c r="D46" s="29"/>
      <c r="E46" s="29"/>
      <c r="G46" s="121">
        <f>G39*'3. Cost_of_Service_Parameters'!G32</f>
        <v>0</v>
      </c>
      <c r="I46" s="121">
        <f>I39*'3. Cost_of_Service_Parameters'!I32</f>
        <v>0</v>
      </c>
      <c r="K46" s="121">
        <f>K39*'3. Cost_of_Service_Parameters'!K32</f>
        <v>0</v>
      </c>
      <c r="M46" s="131">
        <f>M39*'3. Cost_of_Service_Parameters'!M32</f>
        <v>0</v>
      </c>
      <c r="O46" s="131">
        <f>O39*'3. Cost_of_Service_Parameters'!O32</f>
        <v>0</v>
      </c>
      <c r="Q46" s="131">
        <f>Q39*'3. Cost_of_Service_Parameters'!Q32</f>
        <v>0</v>
      </c>
      <c r="S46" s="131">
        <f>S39*'3. Cost_of_Service_Parameters'!S32</f>
        <v>0</v>
      </c>
      <c r="U46" s="131">
        <f>U39*'3. Cost_of_Service_Parameters'!U32</f>
        <v>0</v>
      </c>
    </row>
    <row r="47" spans="2:21" ht="13.5" thickTop="1" x14ac:dyDescent="0.2">
      <c r="C47" s="132" t="s">
        <v>135</v>
      </c>
      <c r="D47" s="29"/>
      <c r="E47" s="29"/>
      <c r="G47" s="84">
        <f>SUM(G43:G46)</f>
        <v>0</v>
      </c>
      <c r="I47" s="84">
        <f>SUM(I43:I46)</f>
        <v>0</v>
      </c>
      <c r="K47" s="84">
        <f>SUM(K43:K46)</f>
        <v>0</v>
      </c>
      <c r="M47" s="121">
        <f>SUM(M43:M46)</f>
        <v>12693.822922646668</v>
      </c>
      <c r="O47" s="121">
        <f>SUM(O43:O46)</f>
        <v>30665.185621666667</v>
      </c>
      <c r="Q47" s="121">
        <f>SUM(Q43:Q46)</f>
        <v>35424.760520000003</v>
      </c>
      <c r="S47" s="121">
        <f>SUM(S43:S46)</f>
        <v>29850.721475733335</v>
      </c>
      <c r="U47" s="121">
        <f>SUM(U43:U46)</f>
        <v>25813.151024000006</v>
      </c>
    </row>
    <row r="48" spans="2:21" x14ac:dyDescent="0.2">
      <c r="C48" s="29"/>
      <c r="D48" s="29"/>
      <c r="E48" s="29"/>
      <c r="G48" s="134"/>
      <c r="H48" s="65"/>
      <c r="I48" s="134"/>
      <c r="J48" s="65"/>
      <c r="K48" s="134"/>
      <c r="L48" s="65"/>
      <c r="M48" s="134"/>
      <c r="N48" s="65"/>
      <c r="O48" s="134"/>
      <c r="P48" s="65"/>
      <c r="Q48" s="134"/>
      <c r="R48" s="65"/>
      <c r="S48" s="134"/>
      <c r="U48" s="134"/>
    </row>
    <row r="49" spans="2:21" x14ac:dyDescent="0.2">
      <c r="C49" s="29"/>
      <c r="D49" s="29"/>
      <c r="E49" s="29"/>
      <c r="G49" s="135"/>
      <c r="I49" s="135"/>
      <c r="K49" s="135"/>
      <c r="M49" s="135"/>
      <c r="N49" s="135"/>
      <c r="O49" s="135"/>
      <c r="Q49" s="135"/>
      <c r="S49" s="135"/>
      <c r="U49" s="135"/>
    </row>
    <row r="50" spans="2:21" x14ac:dyDescent="0.2">
      <c r="B50" s="39" t="s">
        <v>308</v>
      </c>
      <c r="C50" s="29"/>
      <c r="D50" s="29"/>
      <c r="E50" s="29"/>
      <c r="G50" s="121">
        <f>G28</f>
        <v>0</v>
      </c>
      <c r="I50" s="121">
        <f>I28</f>
        <v>0</v>
      </c>
      <c r="K50" s="121">
        <f>K28</f>
        <v>0</v>
      </c>
      <c r="M50" s="121">
        <f>M28</f>
        <v>27633</v>
      </c>
      <c r="O50" s="121">
        <f>O28</f>
        <v>3224</v>
      </c>
      <c r="Q50" s="121">
        <f>Q28</f>
        <v>4126</v>
      </c>
      <c r="S50" s="121">
        <f>S28</f>
        <v>0</v>
      </c>
      <c r="U50" s="121">
        <f>U28</f>
        <v>0</v>
      </c>
    </row>
    <row r="51" spans="2:21" x14ac:dyDescent="0.2">
      <c r="C51" s="29"/>
      <c r="D51" s="29"/>
      <c r="E51" s="29"/>
    </row>
    <row r="52" spans="2:21" x14ac:dyDescent="0.2">
      <c r="B52" s="39" t="s">
        <v>264</v>
      </c>
      <c r="C52" s="29"/>
      <c r="D52" s="29"/>
      <c r="E52" s="29"/>
    </row>
    <row r="53" spans="2:21" x14ac:dyDescent="0.2">
      <c r="C53" s="29" t="s">
        <v>93</v>
      </c>
      <c r="D53" s="29"/>
      <c r="E53" s="29"/>
      <c r="G53" s="59">
        <f>-'4. SM_Assets_and_Rate_Base'!G29</f>
        <v>0</v>
      </c>
      <c r="I53" s="59">
        <f>-'4. SM_Assets_and_Rate_Base'!I29</f>
        <v>0</v>
      </c>
      <c r="K53" s="59">
        <f>-'4. SM_Assets_and_Rate_Base'!K29</f>
        <v>0</v>
      </c>
      <c r="M53" s="59">
        <f>-'4. SM_Assets_and_Rate_Base'!M29</f>
        <v>11281.766666666666</v>
      </c>
      <c r="O53" s="59">
        <f>-'4. SM_Assets_and_Rate_Base'!O29</f>
        <v>28711.9</v>
      </c>
      <c r="Q53" s="59">
        <f>-'4. SM_Assets_and_Rate_Base'!Q29</f>
        <v>35021.666666666672</v>
      </c>
      <c r="S53" s="59">
        <f>-'4. SM_Assets_and_Rate_Base'!S29</f>
        <v>35183.066666666666</v>
      </c>
      <c r="U53" s="59">
        <f>-'4. SM_Assets_and_Rate_Base'!U29</f>
        <v>35183.066666666666</v>
      </c>
    </row>
    <row r="54" spans="2:21" x14ac:dyDescent="0.2">
      <c r="C54" s="29" t="s">
        <v>15</v>
      </c>
      <c r="D54" s="29"/>
      <c r="E54" s="29"/>
      <c r="G54" s="59">
        <f>-'4. SM_Assets_and_Rate_Base'!G48</f>
        <v>0</v>
      </c>
      <c r="I54" s="59">
        <f>-'4. SM_Assets_and_Rate_Base'!I48</f>
        <v>0</v>
      </c>
      <c r="K54" s="59">
        <f>-'4. SM_Assets_and_Rate_Base'!K48</f>
        <v>0</v>
      </c>
      <c r="M54" s="59">
        <f>-'4. SM_Assets_and_Rate_Base'!M48</f>
        <v>0</v>
      </c>
      <c r="O54" s="59">
        <f>-'4. SM_Assets_and_Rate_Base'!O48</f>
        <v>0</v>
      </c>
      <c r="Q54" s="59">
        <f>-'4. SM_Assets_and_Rate_Base'!Q48</f>
        <v>0</v>
      </c>
      <c r="S54" s="59">
        <f>-'4. SM_Assets_and_Rate_Base'!S48</f>
        <v>0</v>
      </c>
      <c r="U54" s="59">
        <f>-'4. SM_Assets_and_Rate_Base'!U48</f>
        <v>0</v>
      </c>
    </row>
    <row r="55" spans="2:21" x14ac:dyDescent="0.2">
      <c r="C55" s="29" t="s">
        <v>16</v>
      </c>
      <c r="D55" s="29"/>
      <c r="E55" s="29"/>
      <c r="G55" s="59">
        <f>-'4. SM_Assets_and_Rate_Base'!G67</f>
        <v>0</v>
      </c>
      <c r="I55" s="59">
        <f>-'4. SM_Assets_and_Rate_Base'!I67</f>
        <v>0</v>
      </c>
      <c r="K55" s="59">
        <f>-'4. SM_Assets_and_Rate_Base'!K67</f>
        <v>0</v>
      </c>
      <c r="M55" s="59">
        <f>-'4. SM_Assets_and_Rate_Base'!M67</f>
        <v>0</v>
      </c>
      <c r="O55" s="59">
        <f>-'4. SM_Assets_and_Rate_Base'!O67</f>
        <v>-2280</v>
      </c>
      <c r="Q55" s="59">
        <f>-'4. SM_Assets_and_Rate_Base'!Q67</f>
        <v>-3678</v>
      </c>
      <c r="S55" s="59">
        <f>-'4. SM_Assets_and_Rate_Base'!S67</f>
        <v>-3678</v>
      </c>
      <c r="U55" s="59">
        <f>-'4. SM_Assets_and_Rate_Base'!U67</f>
        <v>-3678</v>
      </c>
    </row>
    <row r="56" spans="2:21" x14ac:dyDescent="0.2">
      <c r="C56" s="29" t="s">
        <v>18</v>
      </c>
      <c r="D56" s="29"/>
      <c r="E56" s="29"/>
      <c r="G56" s="59">
        <f>-'4. SM_Assets_and_Rate_Base'!G86</f>
        <v>0</v>
      </c>
      <c r="I56" s="59">
        <f>-'4. SM_Assets_and_Rate_Base'!I86</f>
        <v>0</v>
      </c>
      <c r="K56" s="59">
        <f>-'4. SM_Assets_and_Rate_Base'!K86</f>
        <v>0</v>
      </c>
      <c r="M56" s="59">
        <f>-'4. SM_Assets_and_Rate_Base'!M86</f>
        <v>0</v>
      </c>
      <c r="O56" s="59">
        <f>-'4. SM_Assets_and_Rate_Base'!O86</f>
        <v>0</v>
      </c>
      <c r="Q56" s="59">
        <f>-'4. SM_Assets_and_Rate_Base'!Q86</f>
        <v>0</v>
      </c>
      <c r="S56" s="59">
        <f>-'4. SM_Assets_and_Rate_Base'!S86</f>
        <v>0</v>
      </c>
      <c r="U56" s="59">
        <f>-'4. SM_Assets_and_Rate_Base'!U86</f>
        <v>0</v>
      </c>
    </row>
    <row r="57" spans="2:21" ht="13.5" thickBot="1" x14ac:dyDescent="0.25">
      <c r="C57" s="29" t="s">
        <v>17</v>
      </c>
      <c r="D57" s="29"/>
      <c r="E57" s="29"/>
      <c r="G57" s="127">
        <f>-'4. SM_Assets_and_Rate_Base'!G105</f>
        <v>0</v>
      </c>
      <c r="I57" s="127">
        <f>-'4. SM_Assets_and_Rate_Base'!I105</f>
        <v>0</v>
      </c>
      <c r="K57" s="59">
        <f>-'4. SM_Assets_and_Rate_Base'!K105</f>
        <v>0</v>
      </c>
      <c r="M57" s="59">
        <f>-'4. SM_Assets_and_Rate_Base'!M105</f>
        <v>-124</v>
      </c>
      <c r="O57" s="59">
        <f>-'4. SM_Assets_and_Rate_Base'!O105</f>
        <v>-124</v>
      </c>
      <c r="Q57" s="127">
        <f>-'4. SM_Assets_and_Rate_Base'!Q105</f>
        <v>-124</v>
      </c>
      <c r="S57" s="127">
        <f>-'4. SM_Assets_and_Rate_Base'!S105</f>
        <v>-124</v>
      </c>
      <c r="U57" s="127">
        <f>-'4. SM_Assets_and_Rate_Base'!U105</f>
        <v>-124</v>
      </c>
    </row>
    <row r="58" spans="2:21" ht="13.5" thickTop="1" x14ac:dyDescent="0.2">
      <c r="C58" s="132" t="s">
        <v>136</v>
      </c>
      <c r="D58" s="29"/>
      <c r="E58" s="29"/>
      <c r="G58" s="59">
        <f>SUM(G53:G57)</f>
        <v>0</v>
      </c>
      <c r="I58" s="59">
        <f>SUM(I53:I57)</f>
        <v>0</v>
      </c>
      <c r="K58" s="63">
        <f>SUM(K53:K57)</f>
        <v>0</v>
      </c>
      <c r="M58" s="63">
        <f>SUM(M53:M57)</f>
        <v>11157.766666666666</v>
      </c>
      <c r="O58" s="63">
        <f>SUM(O53:O57)</f>
        <v>26307.9</v>
      </c>
      <c r="Q58" s="59">
        <f>SUM(Q53:Q57)</f>
        <v>31219.666666666672</v>
      </c>
      <c r="S58" s="59">
        <f>SUM(S53:S57)</f>
        <v>31381.066666666666</v>
      </c>
      <c r="U58" s="59">
        <f>SUM(U53:U57)</f>
        <v>31381.066666666666</v>
      </c>
    </row>
    <row r="59" spans="2:21" ht="13.5" thickBot="1" x14ac:dyDescent="0.25">
      <c r="B59" s="29"/>
      <c r="C59" s="29"/>
      <c r="D59" s="29"/>
      <c r="E59" s="29"/>
      <c r="G59" s="136"/>
      <c r="K59" s="136"/>
      <c r="Q59" s="136"/>
    </row>
    <row r="60" spans="2:21" ht="13.5" thickTop="1" x14ac:dyDescent="0.2">
      <c r="B60" s="39" t="s">
        <v>137</v>
      </c>
      <c r="C60" s="29"/>
      <c r="D60" s="29"/>
      <c r="E60" s="29"/>
      <c r="G60" s="121">
        <f>G47+G50+G58</f>
        <v>0</v>
      </c>
      <c r="I60" s="84">
        <f>I47+I50+I58</f>
        <v>0</v>
      </c>
      <c r="K60" s="121">
        <f>K47+K50+K58</f>
        <v>0</v>
      </c>
      <c r="M60" s="84">
        <f>M47+M50+M58</f>
        <v>51484.589589313327</v>
      </c>
      <c r="O60" s="84">
        <f>O47+O50+O58</f>
        <v>60197.085621666665</v>
      </c>
      <c r="Q60" s="121">
        <f>Q47+Q50+Q58</f>
        <v>70770.427186666668</v>
      </c>
      <c r="S60" s="84">
        <f>S47+S50+S58</f>
        <v>61231.788142400001</v>
      </c>
      <c r="U60" s="84">
        <f>U47+U50+U58</f>
        <v>57194.217690666672</v>
      </c>
    </row>
    <row r="61" spans="2:21" x14ac:dyDescent="0.2">
      <c r="C61" s="29"/>
      <c r="D61" s="29"/>
      <c r="E61" s="29"/>
    </row>
    <row r="62" spans="2:21" x14ac:dyDescent="0.2">
      <c r="B62" s="39" t="s">
        <v>138</v>
      </c>
      <c r="C62" s="29"/>
      <c r="D62" s="29"/>
      <c r="E62" s="29"/>
    </row>
    <row r="63" spans="2:21" x14ac:dyDescent="0.2">
      <c r="C63" s="29" t="s">
        <v>139</v>
      </c>
      <c r="D63" s="29"/>
      <c r="E63" s="29"/>
      <c r="G63" s="121">
        <f>G50</f>
        <v>0</v>
      </c>
      <c r="I63" s="121">
        <f>I50</f>
        <v>0</v>
      </c>
      <c r="K63" s="121">
        <f>K50</f>
        <v>0</v>
      </c>
      <c r="M63" s="121">
        <f>M50</f>
        <v>27633</v>
      </c>
      <c r="O63" s="121">
        <f>O50</f>
        <v>3224</v>
      </c>
      <c r="Q63" s="121">
        <f>Q50</f>
        <v>4126</v>
      </c>
      <c r="S63" s="121">
        <f>S50</f>
        <v>0</v>
      </c>
      <c r="U63" s="121">
        <f>U50</f>
        <v>0</v>
      </c>
    </row>
    <row r="64" spans="2:21" x14ac:dyDescent="0.2">
      <c r="C64" s="29" t="s">
        <v>140</v>
      </c>
      <c r="D64" s="29"/>
      <c r="E64" s="29"/>
      <c r="G64" s="121">
        <f>G58</f>
        <v>0</v>
      </c>
      <c r="I64" s="121">
        <f>I58</f>
        <v>0</v>
      </c>
      <c r="K64" s="121">
        <f>K58</f>
        <v>0</v>
      </c>
      <c r="M64" s="121">
        <f>M58</f>
        <v>11157.766666666666</v>
      </c>
      <c r="O64" s="121">
        <f>O58</f>
        <v>26307.9</v>
      </c>
      <c r="Q64" s="121">
        <f>Q58</f>
        <v>31219.666666666672</v>
      </c>
      <c r="S64" s="121">
        <f>S58</f>
        <v>31381.066666666666</v>
      </c>
      <c r="U64" s="121">
        <f>U58</f>
        <v>31381.066666666666</v>
      </c>
    </row>
    <row r="65" spans="2:21" ht="13.5" thickBot="1" x14ac:dyDescent="0.25">
      <c r="C65" s="29" t="s">
        <v>141</v>
      </c>
      <c r="D65" s="29"/>
      <c r="E65" s="29"/>
      <c r="G65" s="131">
        <f>G43+G44</f>
        <v>0</v>
      </c>
      <c r="I65" s="131">
        <f>I43+I44</f>
        <v>0</v>
      </c>
      <c r="K65" s="131">
        <f>K43+K44</f>
        <v>0</v>
      </c>
      <c r="M65" s="131">
        <f>M43+M44</f>
        <v>6852.6673242266679</v>
      </c>
      <c r="O65" s="131">
        <f>O43+O44</f>
        <v>14137.028118333332</v>
      </c>
      <c r="Q65" s="131">
        <f>Q43+Q44</f>
        <v>15953.739943999999</v>
      </c>
      <c r="S65" s="131">
        <f>S43+S44</f>
        <v>12289.208131733332</v>
      </c>
      <c r="U65" s="131">
        <f>U43+U44</f>
        <v>9648.430229333333</v>
      </c>
    </row>
    <row r="66" spans="2:21" ht="13.5" thickTop="1" x14ac:dyDescent="0.2">
      <c r="C66" s="132" t="s">
        <v>333</v>
      </c>
      <c r="D66" s="29"/>
      <c r="E66" s="29"/>
      <c r="G66" s="121">
        <f>G60-SUM(G63:G65)</f>
        <v>0</v>
      </c>
      <c r="I66" s="121">
        <f>I60-SUM(I63:I65)</f>
        <v>0</v>
      </c>
      <c r="K66" s="121">
        <f>K60-SUM(K63:K65)</f>
        <v>0</v>
      </c>
      <c r="M66" s="121">
        <f>M60-SUM(M63:M65)</f>
        <v>5841.1555984199949</v>
      </c>
      <c r="O66" s="121">
        <f>O60-SUM(O63:O65)</f>
        <v>16528.157503333328</v>
      </c>
      <c r="Q66" s="121">
        <f>Q60-SUM(Q63:Q65)</f>
        <v>19471.020575999995</v>
      </c>
      <c r="S66" s="121">
        <f>S60-SUM(S63:S65)</f>
        <v>17561.513343999999</v>
      </c>
      <c r="U66" s="121">
        <f>U60-SUM(U63:U65)</f>
        <v>16164.720794666675</v>
      </c>
    </row>
    <row r="67" spans="2:21" x14ac:dyDescent="0.2">
      <c r="C67" s="29"/>
      <c r="D67" s="29"/>
      <c r="E67" s="29"/>
    </row>
    <row r="68" spans="2:21" x14ac:dyDescent="0.2">
      <c r="B68" s="39" t="s">
        <v>309</v>
      </c>
      <c r="C68" s="29"/>
      <c r="D68" s="29"/>
      <c r="E68" s="29"/>
      <c r="G68" s="137">
        <f>'7_Taxes_PILs'!C59</f>
        <v>0</v>
      </c>
      <c r="I68" s="137">
        <f>'7_Taxes_PILs'!E59</f>
        <v>0</v>
      </c>
      <c r="K68" s="137">
        <f>'7_Taxes_PILs'!G59</f>
        <v>0</v>
      </c>
      <c r="M68" s="137">
        <f>'7_Taxes_PILs'!I59</f>
        <v>1423.0821312746098</v>
      </c>
      <c r="O68" s="137">
        <f>'7_Taxes_PILs'!K59</f>
        <v>1929.1543641790158</v>
      </c>
      <c r="Q68" s="137">
        <f>'7_Taxes_PILs'!M59</f>
        <v>826.2885415069029</v>
      </c>
      <c r="S68" s="137">
        <f>'7_Taxes_PILs'!O59</f>
        <v>1124.0432762107928</v>
      </c>
      <c r="U68" s="137">
        <f>'7_Taxes_PILs'!Q59</f>
        <v>1833.8523229748841</v>
      </c>
    </row>
    <row r="69" spans="2:21" x14ac:dyDescent="0.2">
      <c r="C69" s="29"/>
      <c r="D69" s="29"/>
      <c r="E69" s="29"/>
    </row>
    <row r="70" spans="2:21" x14ac:dyDescent="0.2">
      <c r="B70" s="39" t="s">
        <v>142</v>
      </c>
      <c r="C70" s="29"/>
      <c r="D70" s="29"/>
      <c r="E70" s="29"/>
      <c r="G70" s="121">
        <f>G60+G68</f>
        <v>0</v>
      </c>
      <c r="I70" s="121">
        <f>I60+I68</f>
        <v>0</v>
      </c>
      <c r="K70" s="121">
        <f>K60+K68</f>
        <v>0</v>
      </c>
      <c r="M70" s="121">
        <f>M60+M68</f>
        <v>52907.671720587939</v>
      </c>
      <c r="O70" s="121">
        <f>O60+O68</f>
        <v>62126.239985845677</v>
      </c>
      <c r="Q70" s="121">
        <f>Q60+Q68</f>
        <v>71596.715728173571</v>
      </c>
      <c r="S70" s="121">
        <f>S60+S68</f>
        <v>62355.831418610796</v>
      </c>
      <c r="U70" s="121">
        <f>U60+U68</f>
        <v>59028.070013641554</v>
      </c>
    </row>
    <row r="71" spans="2:21" x14ac:dyDescent="0.2">
      <c r="C71" s="29"/>
      <c r="D71" s="29"/>
      <c r="E71" s="29"/>
    </row>
    <row r="72" spans="2:21" x14ac:dyDescent="0.2">
      <c r="C72" s="29"/>
      <c r="D72" s="29"/>
      <c r="E72" s="29"/>
    </row>
  </sheetData>
  <sheetProtection password="C2FC" sheet="1" objects="1" scenarios="1"/>
  <mergeCells count="6">
    <mergeCell ref="C23:E23"/>
    <mergeCell ref="C24:E24"/>
    <mergeCell ref="C25:E25"/>
    <mergeCell ref="C20:E20"/>
    <mergeCell ref="C21:E21"/>
    <mergeCell ref="C22:E22"/>
  </mergeCells>
  <phoneticPr fontId="7" type="noConversion"/>
  <pageMargins left="0.75" right="0.75" top="1" bottom="1" header="0.5" footer="0.5"/>
  <pageSetup scale="52"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8:Q95"/>
  <sheetViews>
    <sheetView showGridLines="0" topLeftCell="A49" zoomScale="80" zoomScaleNormal="100" workbookViewId="0">
      <selection activeCell="P76" sqref="A18:P76"/>
    </sheetView>
  </sheetViews>
  <sheetFormatPr defaultColWidth="9.140625" defaultRowHeight="12.75" x14ac:dyDescent="0.2"/>
  <cols>
    <col min="1" max="1" width="40.85546875" style="31" bestFit="1" customWidth="1"/>
    <col min="2" max="2" width="18.7109375" style="31" customWidth="1"/>
    <col min="3" max="3" width="2.7109375" style="31" customWidth="1"/>
    <col min="4" max="4" width="18.7109375" style="31" customWidth="1"/>
    <col min="5" max="5" width="2.7109375" style="31" customWidth="1"/>
    <col min="6" max="6" width="18.7109375" style="31" customWidth="1"/>
    <col min="7" max="7" width="2.7109375" style="31" customWidth="1"/>
    <col min="8" max="8" width="18.7109375" style="31" customWidth="1"/>
    <col min="9" max="9" width="2.7109375" style="31" customWidth="1"/>
    <col min="10" max="10" width="18.7109375" style="31" customWidth="1"/>
    <col min="11" max="11" width="2.7109375" style="31" customWidth="1"/>
    <col min="12" max="12" width="18.7109375" style="31" customWidth="1"/>
    <col min="13" max="13" width="2.7109375" style="31" customWidth="1"/>
    <col min="14" max="14" width="18.7109375" style="31" customWidth="1"/>
    <col min="15" max="15" width="2.28515625" style="31" customWidth="1"/>
    <col min="16" max="16" width="18.7109375" style="31" customWidth="1"/>
    <col min="17" max="16384" width="9.140625" style="31"/>
  </cols>
  <sheetData>
    <row r="18" spans="1:17" ht="26.25" x14ac:dyDescent="0.4">
      <c r="A18" s="2" t="s">
        <v>277</v>
      </c>
      <c r="B18" s="19"/>
      <c r="C18" s="19"/>
      <c r="D18" s="19"/>
      <c r="E18" s="19"/>
      <c r="F18" s="1"/>
      <c r="G18" s="1"/>
      <c r="H18" s="1"/>
      <c r="I18" s="1"/>
      <c r="J18" s="1"/>
      <c r="K18" s="1"/>
      <c r="L18" s="1"/>
      <c r="M18" s="1"/>
    </row>
    <row r="19" spans="1:17" x14ac:dyDescent="0.2">
      <c r="A19" s="1"/>
      <c r="B19" s="19"/>
      <c r="C19" s="19"/>
      <c r="D19" s="19"/>
      <c r="E19" s="19"/>
      <c r="F19" s="1"/>
      <c r="G19" s="1"/>
      <c r="H19" s="1"/>
      <c r="I19" s="1"/>
      <c r="J19" s="1"/>
      <c r="K19" s="1"/>
      <c r="L19" s="1"/>
      <c r="M19" s="1"/>
    </row>
    <row r="20" spans="1:17" ht="18" x14ac:dyDescent="0.25">
      <c r="A20" s="20" t="s">
        <v>278</v>
      </c>
      <c r="B20" s="6">
        <f>'2. Smart_Meter_Costs'!G18</f>
        <v>2006</v>
      </c>
      <c r="C20" s="6"/>
      <c r="D20" s="6">
        <f>'2. Smart_Meter_Costs'!I18</f>
        <v>2007</v>
      </c>
      <c r="E20" s="6"/>
      <c r="F20" s="6">
        <f>'2. Smart_Meter_Costs'!K18</f>
        <v>2008</v>
      </c>
      <c r="G20" s="6"/>
      <c r="H20" s="6">
        <f>'2. Smart_Meter_Costs'!M18</f>
        <v>2009</v>
      </c>
      <c r="I20" s="6"/>
      <c r="J20" s="6">
        <f>'2. Smart_Meter_Costs'!O18</f>
        <v>2010</v>
      </c>
      <c r="K20" s="6"/>
      <c r="L20" s="6">
        <f>'2. Smart_Meter_Costs'!Q18</f>
        <v>2011</v>
      </c>
      <c r="M20" s="6"/>
      <c r="N20" s="6">
        <f>'2. Smart_Meter_Costs'!S18</f>
        <v>2012</v>
      </c>
      <c r="P20" s="6">
        <f>'2. Smart_Meter_Costs'!U18</f>
        <v>2013</v>
      </c>
    </row>
    <row r="21" spans="1:17" x14ac:dyDescent="0.2">
      <c r="A21" s="1"/>
      <c r="B21" s="6" t="str">
        <f>'2. Smart_Meter_Costs'!G19</f>
        <v>Audited Actual</v>
      </c>
      <c r="C21" s="6"/>
      <c r="D21" s="6" t="str">
        <f>'2. Smart_Meter_Costs'!I19</f>
        <v>Audited Actual</v>
      </c>
      <c r="E21" s="6"/>
      <c r="F21" s="6" t="str">
        <f>'2. Smart_Meter_Costs'!K19</f>
        <v>Audited Actual</v>
      </c>
      <c r="G21" s="6"/>
      <c r="H21" s="6" t="str">
        <f>'2. Smart_Meter_Costs'!M19</f>
        <v>Audited Actual</v>
      </c>
      <c r="I21" s="6"/>
      <c r="J21" s="6" t="str">
        <f>'2. Smart_Meter_Costs'!O19</f>
        <v>Audited Actual</v>
      </c>
      <c r="K21" s="6"/>
      <c r="L21" s="6" t="str">
        <f>'2. Smart_Meter_Costs'!Q19</f>
        <v>Audited Actual</v>
      </c>
      <c r="M21" s="6"/>
      <c r="N21" s="6" t="str">
        <f>'2. Smart_Meter_Costs'!S19</f>
        <v>Forecast</v>
      </c>
      <c r="P21" s="6" t="str">
        <f>'2. Smart_Meter_Costs'!U19</f>
        <v>Forecast</v>
      </c>
    </row>
    <row r="22" spans="1:17" x14ac:dyDescent="0.2">
      <c r="A22" s="1"/>
      <c r="B22" s="1"/>
      <c r="C22" s="1"/>
      <c r="D22" s="1"/>
      <c r="E22" s="1"/>
      <c r="F22" s="1"/>
      <c r="G22" s="1"/>
      <c r="H22" s="1"/>
      <c r="I22" s="1"/>
      <c r="J22" s="1"/>
      <c r="K22" s="1"/>
      <c r="L22" s="1"/>
      <c r="M22" s="1"/>
    </row>
    <row r="23" spans="1:17" x14ac:dyDescent="0.2">
      <c r="A23" s="1" t="s">
        <v>279</v>
      </c>
      <c r="B23" s="18">
        <v>0</v>
      </c>
      <c r="C23" s="18"/>
      <c r="D23" s="18">
        <f>B26-B31</f>
        <v>0</v>
      </c>
      <c r="E23" s="18"/>
      <c r="F23" s="18">
        <f>D26-D31</f>
        <v>0</v>
      </c>
      <c r="G23" s="18"/>
      <c r="H23" s="18">
        <f>F26-F31</f>
        <v>0</v>
      </c>
      <c r="I23" s="18"/>
      <c r="J23" s="18">
        <f>H26-H31</f>
        <v>324914.88</v>
      </c>
      <c r="K23" s="18"/>
      <c r="L23" s="18">
        <f>J26-J31</f>
        <v>475994.6496</v>
      </c>
      <c r="M23" s="18"/>
      <c r="N23" s="18">
        <f>L26-L31</f>
        <v>442563.39763199998</v>
      </c>
      <c r="O23" s="18"/>
      <c r="P23" s="18">
        <f>N26-N31</f>
        <v>407158.32582143997</v>
      </c>
      <c r="Q23" s="18"/>
    </row>
    <row r="24" spans="1:17" x14ac:dyDescent="0.2">
      <c r="A24" s="1" t="s">
        <v>280</v>
      </c>
      <c r="B24" s="18">
        <f>'4. SM_Assets_and_Rate_Base'!G23</f>
        <v>0</v>
      </c>
      <c r="C24" s="18"/>
      <c r="D24" s="18">
        <f>'4. SM_Assets_and_Rate_Base'!I23</f>
        <v>0</v>
      </c>
      <c r="E24" s="18"/>
      <c r="F24" s="18">
        <f>'4. SM_Assets_and_Rate_Base'!K23</f>
        <v>0</v>
      </c>
      <c r="G24" s="18"/>
      <c r="H24" s="18">
        <f>'4. SM_Assets_and_Rate_Base'!M23</f>
        <v>338453</v>
      </c>
      <c r="I24" s="18"/>
      <c r="J24" s="18">
        <f>'4. SM_Assets_and_Rate_Base'!O23</f>
        <v>184451</v>
      </c>
      <c r="K24" s="18"/>
      <c r="L24" s="18">
        <f>'4. SM_Assets_and_Rate_Base'!Q23</f>
        <v>4842</v>
      </c>
      <c r="M24" s="18"/>
      <c r="N24" s="18">
        <f>'4. SM_Assets_and_Rate_Base'!S23</f>
        <v>0</v>
      </c>
      <c r="O24" s="18"/>
      <c r="P24" s="18">
        <f>'4. SM_Assets_and_Rate_Base'!U23</f>
        <v>0</v>
      </c>
      <c r="Q24" s="18"/>
    </row>
    <row r="25" spans="1:17" x14ac:dyDescent="0.2">
      <c r="A25" s="31" t="s">
        <v>102</v>
      </c>
      <c r="B25" s="343"/>
      <c r="C25" s="18"/>
      <c r="D25" s="343"/>
      <c r="E25" s="18"/>
      <c r="F25" s="343"/>
      <c r="G25" s="18"/>
      <c r="H25" s="343"/>
      <c r="I25" s="18"/>
      <c r="J25" s="343"/>
      <c r="K25" s="18"/>
      <c r="L25" s="343"/>
      <c r="M25" s="18"/>
      <c r="N25" s="343"/>
      <c r="O25" s="18"/>
      <c r="P25" s="343"/>
      <c r="Q25" s="18"/>
    </row>
    <row r="26" spans="1:17" x14ac:dyDescent="0.2">
      <c r="A26" s="1" t="s">
        <v>281</v>
      </c>
      <c r="B26" s="9">
        <f>SUM(B23:B24)-B25</f>
        <v>0</v>
      </c>
      <c r="C26" s="18"/>
      <c r="D26" s="9">
        <f>SUM(D23:D24)-D25</f>
        <v>0</v>
      </c>
      <c r="E26" s="18"/>
      <c r="F26" s="9">
        <f>SUM(F23:F24)-F25</f>
        <v>0</v>
      </c>
      <c r="G26" s="18"/>
      <c r="H26" s="9">
        <f>SUM(H23:H24)-H25</f>
        <v>338453</v>
      </c>
      <c r="I26" s="18"/>
      <c r="J26" s="9">
        <f>SUM(J23:J24)-J25</f>
        <v>509365.88</v>
      </c>
      <c r="K26" s="18"/>
      <c r="L26" s="9">
        <f>SUM(L23:L24)-L25</f>
        <v>480836.6496</v>
      </c>
      <c r="M26" s="18"/>
      <c r="N26" s="9">
        <f>SUM(N23:N24)-N25</f>
        <v>442563.39763199998</v>
      </c>
      <c r="O26" s="18"/>
      <c r="P26" s="9">
        <f>SUM(P23:P24)-P25</f>
        <v>407158.32582143997</v>
      </c>
      <c r="Q26" s="18"/>
    </row>
    <row r="27" spans="1:17" x14ac:dyDescent="0.2">
      <c r="A27" s="1" t="s">
        <v>282</v>
      </c>
      <c r="B27" s="18">
        <f>IF(((B24-B25)/2)&lt;0, 0, (B24-B25)/2)</f>
        <v>0</v>
      </c>
      <c r="C27" s="18"/>
      <c r="D27" s="18">
        <f>IF(((D24-D25)/2)&lt;0, 0, (D24-D25)/2)</f>
        <v>0</v>
      </c>
      <c r="E27" s="18"/>
      <c r="F27" s="18">
        <f>IF(((F24-F25)/2)&lt;0, 0, (F24-F25)/2)</f>
        <v>0</v>
      </c>
      <c r="G27" s="18"/>
      <c r="H27" s="18">
        <f>IF(((H24-H25)/2)&lt;0, 0, (H24-H25)/2)</f>
        <v>169226.5</v>
      </c>
      <c r="I27" s="18"/>
      <c r="J27" s="18">
        <f>IF(((J24-J25)/2)&lt;0, 0, (J24-J25)/2)</f>
        <v>92225.5</v>
      </c>
      <c r="K27" s="18"/>
      <c r="L27" s="18">
        <f>IF(((L24-L25)/2)&lt;0, 0, (L24-L25)/2)</f>
        <v>2421</v>
      </c>
      <c r="M27" s="18"/>
      <c r="N27" s="18">
        <f>IF(((N24-N25)/2)&lt;0, 0, (N24-N25)/2)</f>
        <v>0</v>
      </c>
      <c r="O27" s="18"/>
      <c r="P27" s="18">
        <f>IF(((P24-P25)/2)&lt;0, 0, (P24-P25)/2)</f>
        <v>0</v>
      </c>
      <c r="Q27" s="18"/>
    </row>
    <row r="28" spans="1:17" x14ac:dyDescent="0.2">
      <c r="A28" s="1" t="s">
        <v>283</v>
      </c>
      <c r="B28" s="18">
        <f>B27+B23</f>
        <v>0</v>
      </c>
      <c r="C28" s="18"/>
      <c r="D28" s="18">
        <f>D27+D23</f>
        <v>0</v>
      </c>
      <c r="E28" s="18"/>
      <c r="F28" s="18">
        <f>F27+F23</f>
        <v>0</v>
      </c>
      <c r="G28" s="18"/>
      <c r="H28" s="18">
        <f>H27+H23</f>
        <v>169226.5</v>
      </c>
      <c r="I28" s="18"/>
      <c r="J28" s="18">
        <f>J27+J23</f>
        <v>417140.38</v>
      </c>
      <c r="K28" s="18"/>
      <c r="L28" s="18">
        <f>L27+L23</f>
        <v>478415.6496</v>
      </c>
      <c r="M28" s="18"/>
      <c r="N28" s="18">
        <f>N27+N23</f>
        <v>442563.39763199998</v>
      </c>
      <c r="O28" s="18"/>
      <c r="P28" s="18">
        <f>P27+P23</f>
        <v>407158.32582143997</v>
      </c>
      <c r="Q28" s="18"/>
    </row>
    <row r="29" spans="1:17" x14ac:dyDescent="0.2">
      <c r="A29" s="1" t="s">
        <v>284</v>
      </c>
      <c r="B29" s="21">
        <f>'3. Cost_of_Service_Parameters'!G57</f>
        <v>0</v>
      </c>
      <c r="C29" s="21"/>
      <c r="D29" s="21">
        <f>'3. Cost_of_Service_Parameters'!I57</f>
        <v>0</v>
      </c>
      <c r="E29" s="21"/>
      <c r="F29" s="21">
        <f>'3. Cost_of_Service_Parameters'!K57</f>
        <v>0</v>
      </c>
      <c r="G29" s="21"/>
      <c r="H29" s="21">
        <f>'3. Cost_of_Service_Parameters'!M57</f>
        <v>47</v>
      </c>
      <c r="I29" s="21"/>
      <c r="J29" s="21">
        <f>'3. Cost_of_Service_Parameters'!O57</f>
        <v>47</v>
      </c>
      <c r="K29" s="21"/>
      <c r="L29" s="21">
        <f>'3. Cost_of_Service_Parameters'!Q57</f>
        <v>47</v>
      </c>
      <c r="M29" s="21"/>
      <c r="N29" s="21">
        <f>'3. Cost_of_Service_Parameters'!S57</f>
        <v>47</v>
      </c>
      <c r="O29" s="21"/>
      <c r="P29" s="21">
        <f>'3. Cost_of_Service_Parameters'!U57</f>
        <v>47</v>
      </c>
      <c r="Q29" s="21"/>
    </row>
    <row r="30" spans="1:17" x14ac:dyDescent="0.2">
      <c r="A30" s="1" t="s">
        <v>285</v>
      </c>
      <c r="B30" s="22">
        <f>'3. Cost_of_Service_Parameters'!G58</f>
        <v>0</v>
      </c>
      <c r="C30" s="22"/>
      <c r="D30" s="22">
        <f>'3. Cost_of_Service_Parameters'!I58</f>
        <v>0</v>
      </c>
      <c r="E30" s="22"/>
      <c r="F30" s="22">
        <f>'3. Cost_of_Service_Parameters'!K58</f>
        <v>0</v>
      </c>
      <c r="G30" s="22"/>
      <c r="H30" s="22">
        <f>'3. Cost_of_Service_Parameters'!M58</f>
        <v>0.08</v>
      </c>
      <c r="I30" s="22"/>
      <c r="J30" s="22">
        <f>'3. Cost_of_Service_Parameters'!O58</f>
        <v>0.08</v>
      </c>
      <c r="K30" s="22"/>
      <c r="L30" s="22">
        <f>'3. Cost_of_Service_Parameters'!Q58</f>
        <v>0.08</v>
      </c>
      <c r="M30" s="22"/>
      <c r="N30" s="22">
        <f>'3. Cost_of_Service_Parameters'!S58</f>
        <v>0.08</v>
      </c>
      <c r="O30" s="22"/>
      <c r="P30" s="22">
        <f>'3. Cost_of_Service_Parameters'!U58</f>
        <v>0.08</v>
      </c>
      <c r="Q30" s="22"/>
    </row>
    <row r="31" spans="1:17" x14ac:dyDescent="0.2">
      <c r="A31" s="1" t="s">
        <v>286</v>
      </c>
      <c r="B31" s="18">
        <f>B28*B30</f>
        <v>0</v>
      </c>
      <c r="C31" s="18"/>
      <c r="D31" s="18">
        <f>D28*D30</f>
        <v>0</v>
      </c>
      <c r="E31" s="18"/>
      <c r="F31" s="18">
        <f>F28*F30</f>
        <v>0</v>
      </c>
      <c r="G31" s="18"/>
      <c r="H31" s="18">
        <f>H28*H30</f>
        <v>13538.12</v>
      </c>
      <c r="I31" s="18"/>
      <c r="J31" s="18">
        <f>J28*J30</f>
        <v>33371.2304</v>
      </c>
      <c r="K31" s="18"/>
      <c r="L31" s="18">
        <f>L28*L30</f>
        <v>38273.251968000004</v>
      </c>
      <c r="M31" s="18"/>
      <c r="N31" s="18">
        <f>N28*N30</f>
        <v>35405.071810560003</v>
      </c>
      <c r="O31" s="18"/>
      <c r="P31" s="18">
        <f>P28*P30</f>
        <v>32572.666065715199</v>
      </c>
      <c r="Q31" s="18"/>
    </row>
    <row r="32" spans="1:17" ht="13.5" thickBot="1" x14ac:dyDescent="0.25">
      <c r="A32" s="1" t="s">
        <v>287</v>
      </c>
      <c r="B32" s="25">
        <f>IF((B26-B31)&lt;0, 0, B26-B31)</f>
        <v>0</v>
      </c>
      <c r="C32" s="18"/>
      <c r="D32" s="25">
        <f>IF((D26-D31)&lt;0, 0, D26-D31)</f>
        <v>0</v>
      </c>
      <c r="E32" s="18"/>
      <c r="F32" s="25">
        <f>IF((F26-F31)&lt;0, 0, F26-F31)</f>
        <v>0</v>
      </c>
      <c r="G32" s="18"/>
      <c r="H32" s="25">
        <f>IF((H26-H31)&lt;0, 0, H26-H31)</f>
        <v>324914.88</v>
      </c>
      <c r="I32" s="18"/>
      <c r="J32" s="25">
        <f>IF((J26-J31)&lt;0, 0, J26-J31)</f>
        <v>475994.6496</v>
      </c>
      <c r="K32" s="18"/>
      <c r="L32" s="25">
        <f>IF((L26-L31)&lt;0, 0, L26-L31)</f>
        <v>442563.39763199998</v>
      </c>
      <c r="M32" s="18"/>
      <c r="N32" s="25">
        <f>IF((N26-N31)&lt;0, 0, N26-N31)</f>
        <v>407158.32582143997</v>
      </c>
      <c r="O32" s="18"/>
      <c r="P32" s="25">
        <f>IF((P26-P31)&lt;0, 0, P26-P31)</f>
        <v>374585.65975572477</v>
      </c>
      <c r="Q32" s="18"/>
    </row>
    <row r="33" spans="1:17" ht="13.5" thickTop="1" x14ac:dyDescent="0.2">
      <c r="A33" s="1"/>
      <c r="B33" s="1"/>
      <c r="C33" s="1"/>
      <c r="D33" s="1"/>
      <c r="E33" s="1"/>
      <c r="F33" s="1"/>
      <c r="G33" s="1"/>
      <c r="H33" s="1"/>
      <c r="I33" s="1"/>
      <c r="J33" s="1"/>
      <c r="K33" s="1"/>
      <c r="L33" s="1"/>
      <c r="M33" s="1"/>
    </row>
    <row r="34" spans="1:17" ht="18" x14ac:dyDescent="0.25">
      <c r="A34" s="20" t="s">
        <v>288</v>
      </c>
      <c r="B34" s="6">
        <f t="shared" ref="B34:L35" si="0">B20</f>
        <v>2006</v>
      </c>
      <c r="C34" s="6"/>
      <c r="D34" s="6">
        <f t="shared" si="0"/>
        <v>2007</v>
      </c>
      <c r="E34" s="6"/>
      <c r="F34" s="6">
        <f t="shared" si="0"/>
        <v>2008</v>
      </c>
      <c r="G34" s="6"/>
      <c r="H34" s="6">
        <f t="shared" si="0"/>
        <v>2009</v>
      </c>
      <c r="I34" s="6"/>
      <c r="J34" s="6">
        <f t="shared" si="0"/>
        <v>2010</v>
      </c>
      <c r="K34" s="6"/>
      <c r="L34" s="6">
        <f t="shared" si="0"/>
        <v>2011</v>
      </c>
      <c r="M34" s="1"/>
      <c r="N34" s="6">
        <f>N20</f>
        <v>2012</v>
      </c>
      <c r="P34" s="6">
        <f>P20</f>
        <v>2013</v>
      </c>
    </row>
    <row r="35" spans="1:17" x14ac:dyDescent="0.2">
      <c r="A35" s="1"/>
      <c r="B35" s="6" t="str">
        <f t="shared" si="0"/>
        <v>Audited Actual</v>
      </c>
      <c r="C35" s="6"/>
      <c r="D35" s="6" t="str">
        <f t="shared" si="0"/>
        <v>Audited Actual</v>
      </c>
      <c r="E35" s="6"/>
      <c r="F35" s="6" t="str">
        <f t="shared" si="0"/>
        <v>Audited Actual</v>
      </c>
      <c r="G35" s="6"/>
      <c r="H35" s="6" t="str">
        <f t="shared" si="0"/>
        <v>Audited Actual</v>
      </c>
      <c r="I35" s="6"/>
      <c r="J35" s="6" t="str">
        <f t="shared" si="0"/>
        <v>Audited Actual</v>
      </c>
      <c r="K35" s="6"/>
      <c r="L35" s="6" t="str">
        <f t="shared" si="0"/>
        <v>Audited Actual</v>
      </c>
      <c r="M35" s="1"/>
      <c r="N35" s="6" t="str">
        <f>N21</f>
        <v>Forecast</v>
      </c>
      <c r="P35" s="6" t="str">
        <f>P21</f>
        <v>Forecast</v>
      </c>
    </row>
    <row r="36" spans="1:17" x14ac:dyDescent="0.2">
      <c r="A36" s="1"/>
      <c r="B36" s="1"/>
      <c r="C36" s="1"/>
      <c r="D36" s="1"/>
      <c r="E36" s="1"/>
      <c r="F36" s="1"/>
      <c r="G36" s="1"/>
      <c r="H36" s="1"/>
      <c r="I36" s="1"/>
      <c r="J36" s="1"/>
      <c r="K36" s="1"/>
      <c r="L36" s="1"/>
      <c r="M36" s="1"/>
    </row>
    <row r="37" spans="1:17" x14ac:dyDescent="0.2">
      <c r="A37" s="1" t="s">
        <v>279</v>
      </c>
      <c r="B37" s="18">
        <v>0</v>
      </c>
      <c r="C37" s="18"/>
      <c r="D37" s="24">
        <f>B41-B46</f>
        <v>0</v>
      </c>
      <c r="E37" s="24"/>
      <c r="F37" s="24">
        <f>D41-D46</f>
        <v>0</v>
      </c>
      <c r="G37" s="24"/>
      <c r="H37" s="24">
        <f>F41-F46</f>
        <v>0</v>
      </c>
      <c r="I37" s="24"/>
      <c r="J37" s="24">
        <f>H41-H46</f>
        <v>0</v>
      </c>
      <c r="K37" s="24"/>
      <c r="L37" s="24">
        <f>J41-J46</f>
        <v>0</v>
      </c>
      <c r="M37" s="24"/>
      <c r="N37" s="24">
        <f>L41-L46</f>
        <v>0</v>
      </c>
      <c r="O37" s="24"/>
      <c r="P37" s="24">
        <f>N41-N46</f>
        <v>0</v>
      </c>
      <c r="Q37" s="24"/>
    </row>
    <row r="38" spans="1:17" x14ac:dyDescent="0.2">
      <c r="A38" s="1" t="s">
        <v>289</v>
      </c>
      <c r="B38" s="23">
        <f>'2. Smart_Meter_Costs'!G183</f>
        <v>0</v>
      </c>
      <c r="C38" s="18"/>
      <c r="D38" s="23">
        <f>'2. Smart_Meter_Costs'!I183</f>
        <v>0</v>
      </c>
      <c r="E38" s="18"/>
      <c r="F38" s="23">
        <f>'2. Smart_Meter_Costs'!K183</f>
        <v>0</v>
      </c>
      <c r="G38" s="18"/>
      <c r="H38" s="23">
        <f>'2. Smart_Meter_Costs'!M183</f>
        <v>0</v>
      </c>
      <c r="I38" s="18"/>
      <c r="J38" s="23">
        <f>'2. Smart_Meter_Costs'!O183</f>
        <v>0</v>
      </c>
      <c r="K38" s="18"/>
      <c r="L38" s="23">
        <f>'2. Smart_Meter_Costs'!Q183</f>
        <v>0</v>
      </c>
      <c r="M38" s="18"/>
      <c r="N38" s="23">
        <f>'2. Smart_Meter_Costs'!S183</f>
        <v>0</v>
      </c>
      <c r="O38" s="18"/>
      <c r="P38" s="23">
        <f>'2. Smart_Meter_Costs'!U183</f>
        <v>0</v>
      </c>
      <c r="Q38" s="18"/>
    </row>
    <row r="39" spans="1:17" x14ac:dyDescent="0.2">
      <c r="A39" s="1" t="s">
        <v>290</v>
      </c>
      <c r="B39" s="23">
        <f>'2. Smart_Meter_Costs'!G185</f>
        <v>0</v>
      </c>
      <c r="C39" s="18"/>
      <c r="D39" s="23">
        <f>'2. Smart_Meter_Costs'!I185</f>
        <v>0</v>
      </c>
      <c r="E39" s="18"/>
      <c r="F39" s="23">
        <f>'2. Smart_Meter_Costs'!K185</f>
        <v>0</v>
      </c>
      <c r="G39" s="18"/>
      <c r="H39" s="23">
        <f>'2. Smart_Meter_Costs'!M185</f>
        <v>0</v>
      </c>
      <c r="I39" s="18"/>
      <c r="J39" s="23">
        <f>'2. Smart_Meter_Costs'!O185</f>
        <v>0</v>
      </c>
      <c r="K39" s="18"/>
      <c r="L39" s="23">
        <f>'2. Smart_Meter_Costs'!Q185</f>
        <v>0</v>
      </c>
      <c r="M39" s="18"/>
      <c r="N39" s="23">
        <f>'2. Smart_Meter_Costs'!S185</f>
        <v>0</v>
      </c>
      <c r="O39" s="18"/>
      <c r="P39" s="23">
        <f>'2. Smart_Meter_Costs'!U185</f>
        <v>0</v>
      </c>
      <c r="Q39" s="18"/>
    </row>
    <row r="40" spans="1:17" x14ac:dyDescent="0.2">
      <c r="A40" s="31" t="s">
        <v>102</v>
      </c>
      <c r="B40" s="344"/>
      <c r="C40" s="18"/>
      <c r="D40" s="344"/>
      <c r="E40" s="18"/>
      <c r="F40" s="344"/>
      <c r="G40" s="18"/>
      <c r="H40" s="344"/>
      <c r="I40" s="18"/>
      <c r="J40" s="344"/>
      <c r="K40" s="18"/>
      <c r="L40" s="344"/>
      <c r="M40" s="18"/>
      <c r="N40" s="344"/>
      <c r="O40" s="18"/>
      <c r="P40" s="344"/>
      <c r="Q40" s="18"/>
    </row>
    <row r="41" spans="1:17" x14ac:dyDescent="0.2">
      <c r="A41" s="1" t="s">
        <v>281</v>
      </c>
      <c r="B41" s="9">
        <f>SUM(B37:B39)-B40</f>
        <v>0</v>
      </c>
      <c r="C41" s="18"/>
      <c r="D41" s="9">
        <f>SUM(D37:D39)-D40</f>
        <v>0</v>
      </c>
      <c r="E41" s="18"/>
      <c r="F41" s="9">
        <f>SUM(F37:F39)-F40</f>
        <v>0</v>
      </c>
      <c r="G41" s="18"/>
      <c r="H41" s="9">
        <f>SUM(H37:H39)-H40</f>
        <v>0</v>
      </c>
      <c r="I41" s="18"/>
      <c r="J41" s="9">
        <f>SUM(J37:J39)-J40</f>
        <v>0</v>
      </c>
      <c r="K41" s="18"/>
      <c r="L41" s="9">
        <f>SUM(L37:L39)-L40</f>
        <v>0</v>
      </c>
      <c r="M41" s="18"/>
      <c r="N41" s="9">
        <f>SUM(N37:N39)-N40</f>
        <v>0</v>
      </c>
      <c r="O41" s="18"/>
      <c r="P41" s="9">
        <f>SUM(P37:P39)-P40</f>
        <v>0</v>
      </c>
      <c r="Q41" s="18"/>
    </row>
    <row r="42" spans="1:17" x14ac:dyDescent="0.2">
      <c r="A42" s="1" t="s">
        <v>282</v>
      </c>
      <c r="B42" s="18">
        <f>IF((SUM(B38:B39)/2)&lt;0, 0, SUM(B38:B39)/2)</f>
        <v>0</v>
      </c>
      <c r="C42" s="18"/>
      <c r="D42" s="18">
        <f>IF((SUM(D38:D39)/2)&lt;0, 0, SUM(D38:D39)/2)</f>
        <v>0</v>
      </c>
      <c r="E42" s="18"/>
      <c r="F42" s="18">
        <f>IF((SUM(F38:F39)/2)&lt;0, 0, SUM(F38:F39)/2)</f>
        <v>0</v>
      </c>
      <c r="G42" s="18"/>
      <c r="H42" s="18">
        <f>IF((SUM(H38:H39)/2)&lt;0, 0, SUM(H38:H39)/2)</f>
        <v>0</v>
      </c>
      <c r="I42" s="18"/>
      <c r="J42" s="18">
        <f>IF((SUM(J38:J39)/2)&lt;0, 0, SUM(J38:J39)/2)</f>
        <v>0</v>
      </c>
      <c r="K42" s="18"/>
      <c r="L42" s="18">
        <f>IF((SUM(L38:L39)/2)&lt;0, 0, SUM(L38:L39)/2)</f>
        <v>0</v>
      </c>
      <c r="M42" s="18"/>
      <c r="N42" s="18">
        <f>IF((SUM(N38:N39)/2)&lt;0, 0, SUM(N38:N39)/2)</f>
        <v>0</v>
      </c>
      <c r="O42" s="18"/>
      <c r="P42" s="18">
        <f>IF((SUM(P38:P39)/2)&lt;0, 0, SUM(P38:P39)/2)</f>
        <v>0</v>
      </c>
      <c r="Q42" s="18"/>
    </row>
    <row r="43" spans="1:17" x14ac:dyDescent="0.2">
      <c r="A43" s="1" t="s">
        <v>283</v>
      </c>
      <c r="B43" s="18">
        <f>B42+B37</f>
        <v>0</v>
      </c>
      <c r="C43" s="18"/>
      <c r="D43" s="18">
        <f>D42+D37</f>
        <v>0</v>
      </c>
      <c r="E43" s="18"/>
      <c r="F43" s="18">
        <f>F42+F37</f>
        <v>0</v>
      </c>
      <c r="G43" s="18"/>
      <c r="H43" s="18">
        <f>H42+H37</f>
        <v>0</v>
      </c>
      <c r="I43" s="18"/>
      <c r="J43" s="18">
        <f>J42+J37</f>
        <v>0</v>
      </c>
      <c r="K43" s="18"/>
      <c r="L43" s="18">
        <f>L42+L37</f>
        <v>0</v>
      </c>
      <c r="M43" s="18"/>
      <c r="N43" s="18">
        <f>N42+N37</f>
        <v>0</v>
      </c>
      <c r="O43" s="18"/>
      <c r="P43" s="18">
        <f>P42+P37</f>
        <v>0</v>
      </c>
      <c r="Q43" s="18"/>
    </row>
    <row r="44" spans="1:17" x14ac:dyDescent="0.2">
      <c r="A44" s="1" t="s">
        <v>284</v>
      </c>
      <c r="B44" s="21">
        <f>'3. Cost_of_Service_Parameters'!G60</f>
        <v>0</v>
      </c>
      <c r="C44" s="21"/>
      <c r="D44" s="21">
        <f>'3. Cost_of_Service_Parameters'!I60</f>
        <v>0</v>
      </c>
      <c r="E44" s="21"/>
      <c r="F44" s="21">
        <f>'3. Cost_of_Service_Parameters'!K60</f>
        <v>0</v>
      </c>
      <c r="G44" s="21"/>
      <c r="H44" s="21">
        <f>'3. Cost_of_Service_Parameters'!M60</f>
        <v>10</v>
      </c>
      <c r="I44" s="21"/>
      <c r="J44" s="21">
        <f>'3. Cost_of_Service_Parameters'!O60</f>
        <v>10</v>
      </c>
      <c r="K44" s="21"/>
      <c r="L44" s="21">
        <f>'3. Cost_of_Service_Parameters'!Q60</f>
        <v>10</v>
      </c>
      <c r="M44" s="21"/>
      <c r="N44" s="21">
        <f>'3. Cost_of_Service_Parameters'!S60</f>
        <v>10</v>
      </c>
      <c r="O44" s="21"/>
      <c r="P44" s="21">
        <f>'3. Cost_of_Service_Parameters'!U60</f>
        <v>10</v>
      </c>
      <c r="Q44" s="21"/>
    </row>
    <row r="45" spans="1:17" x14ac:dyDescent="0.2">
      <c r="A45" s="1" t="s">
        <v>285</v>
      </c>
      <c r="B45" s="22">
        <f>'3. Cost_of_Service_Parameters'!G61</f>
        <v>0</v>
      </c>
      <c r="C45" s="22"/>
      <c r="D45" s="22">
        <f>'3. Cost_of_Service_Parameters'!I61</f>
        <v>0</v>
      </c>
      <c r="E45" s="22"/>
      <c r="F45" s="22">
        <f>'3. Cost_of_Service_Parameters'!K61</f>
        <v>0</v>
      </c>
      <c r="G45" s="22"/>
      <c r="H45" s="22">
        <f>'3. Cost_of_Service_Parameters'!M61</f>
        <v>0.3</v>
      </c>
      <c r="I45" s="22"/>
      <c r="J45" s="22">
        <f>'3. Cost_of_Service_Parameters'!O61</f>
        <v>0.3</v>
      </c>
      <c r="K45" s="22"/>
      <c r="L45" s="22">
        <f>'3. Cost_of_Service_Parameters'!Q61</f>
        <v>0.3</v>
      </c>
      <c r="M45" s="22"/>
      <c r="N45" s="22">
        <f>'3. Cost_of_Service_Parameters'!S61</f>
        <v>0.3</v>
      </c>
      <c r="O45" s="22"/>
      <c r="P45" s="22">
        <f>'3. Cost_of_Service_Parameters'!U61</f>
        <v>0.3</v>
      </c>
      <c r="Q45" s="22"/>
    </row>
    <row r="46" spans="1:17" x14ac:dyDescent="0.2">
      <c r="A46" s="1" t="s">
        <v>286</v>
      </c>
      <c r="B46" s="18">
        <f>B45*B43</f>
        <v>0</v>
      </c>
      <c r="C46" s="18"/>
      <c r="D46" s="18">
        <f>D45*D43</f>
        <v>0</v>
      </c>
      <c r="E46" s="18"/>
      <c r="F46" s="18">
        <f>F45*F43</f>
        <v>0</v>
      </c>
      <c r="G46" s="18"/>
      <c r="H46" s="18">
        <f>H45*H43</f>
        <v>0</v>
      </c>
      <c r="I46" s="18"/>
      <c r="J46" s="18">
        <f>J45*J43</f>
        <v>0</v>
      </c>
      <c r="K46" s="18"/>
      <c r="L46" s="18">
        <f>L45*L43</f>
        <v>0</v>
      </c>
      <c r="M46" s="18"/>
      <c r="N46" s="18">
        <f>N45*N43</f>
        <v>0</v>
      </c>
      <c r="O46" s="18"/>
      <c r="P46" s="18">
        <f>P45*P43</f>
        <v>0</v>
      </c>
      <c r="Q46" s="18"/>
    </row>
    <row r="47" spans="1:17" ht="13.5" thickBot="1" x14ac:dyDescent="0.25">
      <c r="A47" s="1" t="s">
        <v>287</v>
      </c>
      <c r="B47" s="25">
        <f>IF((B41-B46)&lt;0, 0, B41-B46)</f>
        <v>0</v>
      </c>
      <c r="C47" s="18"/>
      <c r="D47" s="25">
        <f>IF((D41-D46)&lt;0, 0, D41-D46)</f>
        <v>0</v>
      </c>
      <c r="E47" s="18"/>
      <c r="F47" s="25">
        <f>IF((F41-F46)&lt;0, 0, F41-F46)</f>
        <v>0</v>
      </c>
      <c r="G47" s="18"/>
      <c r="H47" s="25">
        <f>IF((H41-H46)&lt;0, 0, H41-H46)</f>
        <v>0</v>
      </c>
      <c r="I47" s="18"/>
      <c r="J47" s="25">
        <f>IF((J41-J46)&lt;0, 0, J41-J46)</f>
        <v>0</v>
      </c>
      <c r="K47" s="18"/>
      <c r="L47" s="25">
        <f>IF((L41-L46)&lt;0, 0, L41-L46)</f>
        <v>0</v>
      </c>
      <c r="M47" s="18"/>
      <c r="N47" s="25">
        <f>IF((N41-N46)&lt;0, 0, N41-N46)</f>
        <v>0</v>
      </c>
      <c r="O47" s="18"/>
      <c r="P47" s="25">
        <f>IF((P41-P46)&lt;0, 0, P41-P46)</f>
        <v>0</v>
      </c>
      <c r="Q47" s="18"/>
    </row>
    <row r="48" spans="1:17" ht="13.5" thickTop="1" x14ac:dyDescent="0.2">
      <c r="A48" s="1"/>
      <c r="B48" s="1"/>
      <c r="C48" s="1"/>
      <c r="D48" s="1"/>
      <c r="E48" s="1"/>
      <c r="F48" s="1"/>
      <c r="G48" s="1"/>
      <c r="H48" s="1"/>
      <c r="I48" s="1"/>
      <c r="J48" s="1"/>
      <c r="K48" s="1"/>
      <c r="L48" s="1"/>
      <c r="M48" s="1"/>
    </row>
    <row r="49" spans="1:17" ht="18" x14ac:dyDescent="0.25">
      <c r="A49" s="20" t="s">
        <v>291</v>
      </c>
      <c r="B49" s="6">
        <f t="shared" ref="B49:L50" si="1">B34</f>
        <v>2006</v>
      </c>
      <c r="C49" s="6"/>
      <c r="D49" s="6">
        <f t="shared" si="1"/>
        <v>2007</v>
      </c>
      <c r="E49" s="6"/>
      <c r="F49" s="6">
        <f t="shared" si="1"/>
        <v>2008</v>
      </c>
      <c r="G49" s="6"/>
      <c r="H49" s="6">
        <f t="shared" si="1"/>
        <v>2009</v>
      </c>
      <c r="I49" s="6"/>
      <c r="J49" s="6">
        <f t="shared" si="1"/>
        <v>2010</v>
      </c>
      <c r="K49" s="6"/>
      <c r="L49" s="6">
        <f t="shared" si="1"/>
        <v>2011</v>
      </c>
      <c r="M49" s="1"/>
      <c r="N49" s="6">
        <f>N34</f>
        <v>2012</v>
      </c>
      <c r="P49" s="6">
        <f>P34</f>
        <v>2013</v>
      </c>
    </row>
    <row r="50" spans="1:17" x14ac:dyDescent="0.2">
      <c r="A50" s="1"/>
      <c r="B50" s="6" t="str">
        <f t="shared" si="1"/>
        <v>Audited Actual</v>
      </c>
      <c r="C50" s="6"/>
      <c r="D50" s="6" t="str">
        <f t="shared" si="1"/>
        <v>Audited Actual</v>
      </c>
      <c r="E50" s="6"/>
      <c r="F50" s="6" t="str">
        <f t="shared" si="1"/>
        <v>Audited Actual</v>
      </c>
      <c r="G50" s="6"/>
      <c r="H50" s="6" t="str">
        <f t="shared" si="1"/>
        <v>Audited Actual</v>
      </c>
      <c r="I50" s="6"/>
      <c r="J50" s="6" t="str">
        <f t="shared" si="1"/>
        <v>Audited Actual</v>
      </c>
      <c r="K50" s="6"/>
      <c r="L50" s="6" t="str">
        <f t="shared" si="1"/>
        <v>Audited Actual</v>
      </c>
      <c r="M50" s="1"/>
      <c r="N50" s="6" t="str">
        <f>N35</f>
        <v>Forecast</v>
      </c>
      <c r="P50" s="6" t="str">
        <f>P35</f>
        <v>Forecast</v>
      </c>
    </row>
    <row r="51" spans="1:17" x14ac:dyDescent="0.2">
      <c r="A51" s="1"/>
      <c r="B51" s="1"/>
      <c r="C51" s="1"/>
      <c r="D51" s="1"/>
      <c r="E51" s="1"/>
      <c r="F51" s="1"/>
      <c r="G51" s="1"/>
      <c r="H51" s="1"/>
      <c r="I51" s="1"/>
      <c r="J51" s="1"/>
      <c r="K51" s="1"/>
      <c r="L51" s="1"/>
      <c r="M51" s="1"/>
    </row>
    <row r="52" spans="1:17" x14ac:dyDescent="0.2">
      <c r="A52" s="1" t="s">
        <v>279</v>
      </c>
      <c r="B52" s="18">
        <v>0</v>
      </c>
      <c r="C52" s="18"/>
      <c r="D52" s="24">
        <f>B56-B61</f>
        <v>0</v>
      </c>
      <c r="E52" s="24"/>
      <c r="F52" s="24">
        <f>D56-D61</f>
        <v>0</v>
      </c>
      <c r="G52" s="24"/>
      <c r="H52" s="24">
        <f>F56-F61</f>
        <v>0</v>
      </c>
      <c r="I52" s="24"/>
      <c r="J52" s="24">
        <f>H56-H61</f>
        <v>1243</v>
      </c>
      <c r="K52" s="24"/>
      <c r="L52" s="24">
        <f>J56-J61</f>
        <v>1243</v>
      </c>
      <c r="M52" s="24"/>
      <c r="N52" s="24">
        <f>L56-L61</f>
        <v>1243</v>
      </c>
      <c r="O52" s="24"/>
      <c r="P52" s="24">
        <f>N56-N61</f>
        <v>1243</v>
      </c>
      <c r="Q52" s="24"/>
    </row>
    <row r="53" spans="1:17" x14ac:dyDescent="0.2">
      <c r="A53" s="1" t="s">
        <v>292</v>
      </c>
      <c r="B53" s="23">
        <f>'2. Smart_Meter_Costs'!G187</f>
        <v>0</v>
      </c>
      <c r="C53" s="18"/>
      <c r="D53" s="23">
        <f>'2. Smart_Meter_Costs'!I187</f>
        <v>0</v>
      </c>
      <c r="E53" s="18"/>
      <c r="F53" s="23">
        <f>'2. Smart_Meter_Costs'!K187</f>
        <v>0</v>
      </c>
      <c r="G53" s="18"/>
      <c r="H53" s="23">
        <f>'2. Smart_Meter_Costs'!M187</f>
        <v>0</v>
      </c>
      <c r="I53" s="18"/>
      <c r="J53" s="23">
        <f>'2. Smart_Meter_Costs'!O187</f>
        <v>0</v>
      </c>
      <c r="K53" s="18"/>
      <c r="L53" s="23">
        <f>'2. Smart_Meter_Costs'!Q187</f>
        <v>0</v>
      </c>
      <c r="M53" s="18"/>
      <c r="N53" s="23">
        <f>'2. Smart_Meter_Costs'!S187</f>
        <v>0</v>
      </c>
      <c r="O53" s="18"/>
      <c r="P53" s="23">
        <f>'2. Smart_Meter_Costs'!U187</f>
        <v>0</v>
      </c>
      <c r="Q53" s="18"/>
    </row>
    <row r="54" spans="1:17" x14ac:dyDescent="0.2">
      <c r="A54" s="1" t="s">
        <v>293</v>
      </c>
      <c r="B54" s="23">
        <f>'2. Smart_Meter_Costs'!G189</f>
        <v>0</v>
      </c>
      <c r="C54" s="18"/>
      <c r="D54" s="23">
        <f>'2. Smart_Meter_Costs'!I189</f>
        <v>0</v>
      </c>
      <c r="E54" s="18"/>
      <c r="F54" s="23">
        <f>'2. Smart_Meter_Costs'!K189</f>
        <v>0</v>
      </c>
      <c r="G54" s="18"/>
      <c r="H54" s="23">
        <f>'2. Smart_Meter_Costs'!M189</f>
        <v>1243</v>
      </c>
      <c r="I54" s="18"/>
      <c r="J54" s="23">
        <f>'2. Smart_Meter_Costs'!O189</f>
        <v>0</v>
      </c>
      <c r="K54" s="18"/>
      <c r="L54" s="23">
        <f>'2. Smart_Meter_Costs'!Q189</f>
        <v>0</v>
      </c>
      <c r="M54" s="18"/>
      <c r="N54" s="23">
        <f>'2. Smart_Meter_Costs'!S189</f>
        <v>0</v>
      </c>
      <c r="O54" s="18"/>
      <c r="P54" s="23">
        <f>'2. Smart_Meter_Costs'!U189</f>
        <v>0</v>
      </c>
      <c r="Q54" s="18"/>
    </row>
    <row r="55" spans="1:17" x14ac:dyDescent="0.2">
      <c r="A55" s="31" t="s">
        <v>102</v>
      </c>
      <c r="B55" s="344"/>
      <c r="C55" s="18"/>
      <c r="D55" s="344"/>
      <c r="E55" s="18"/>
      <c r="F55" s="344"/>
      <c r="G55" s="18"/>
      <c r="H55" s="344"/>
      <c r="I55" s="18"/>
      <c r="J55" s="344"/>
      <c r="K55" s="18"/>
      <c r="L55" s="344"/>
      <c r="M55" s="18"/>
      <c r="N55" s="344"/>
      <c r="O55" s="18"/>
      <c r="P55" s="344"/>
      <c r="Q55" s="18"/>
    </row>
    <row r="56" spans="1:17" x14ac:dyDescent="0.2">
      <c r="A56" s="1" t="s">
        <v>281</v>
      </c>
      <c r="B56" s="9">
        <f>SUM(B52:B54)-B55</f>
        <v>0</v>
      </c>
      <c r="C56" s="18"/>
      <c r="D56" s="9">
        <f>SUM(D52:D54)-D55</f>
        <v>0</v>
      </c>
      <c r="E56" s="18"/>
      <c r="F56" s="9">
        <f>SUM(F52:F54)-F55</f>
        <v>0</v>
      </c>
      <c r="G56" s="18"/>
      <c r="H56" s="9">
        <f>SUM(H52:H54)-H55</f>
        <v>1243</v>
      </c>
      <c r="I56" s="18"/>
      <c r="J56" s="9">
        <f>SUM(J52:J54)-J55</f>
        <v>1243</v>
      </c>
      <c r="K56" s="18"/>
      <c r="L56" s="9">
        <f>SUM(L52:L54)-L55</f>
        <v>1243</v>
      </c>
      <c r="M56" s="18"/>
      <c r="N56" s="9">
        <f>SUM(N52:N54)-N55</f>
        <v>1243</v>
      </c>
      <c r="O56" s="18"/>
      <c r="P56" s="9">
        <f>SUM(P52:P54)-P55</f>
        <v>1243</v>
      </c>
      <c r="Q56" s="18"/>
    </row>
    <row r="57" spans="1:17" x14ac:dyDescent="0.2">
      <c r="A57" s="1" t="s">
        <v>282</v>
      </c>
      <c r="B57" s="18">
        <f>IF(((SUM(B53:B54)-B55)/2)&lt;0, 0, (SUM(B53:B54)-B55)/2)</f>
        <v>0</v>
      </c>
      <c r="C57" s="18"/>
      <c r="D57" s="18">
        <f>IF(((SUM(D53:D54)-D55)/2)&lt;0, 0, (SUM(D53:D54)-D55)/2)</f>
        <v>0</v>
      </c>
      <c r="E57" s="18"/>
      <c r="F57" s="18">
        <f>IF(((SUM(F53:F54)-F55)/2)&lt;0, 0, (SUM(F53:F54)-F55)/2)</f>
        <v>0</v>
      </c>
      <c r="G57" s="18"/>
      <c r="H57" s="18">
        <f>IF(((SUM(H53:H54)-H55)/2)&lt;0, 0, (SUM(H53:H54)-H55)/2)</f>
        <v>621.5</v>
      </c>
      <c r="I57" s="18"/>
      <c r="J57" s="18">
        <f>IF(((SUM(J53:J54)-J55)/2)&lt;0, 0, (SUM(J53:J54)-J55)/2)</f>
        <v>0</v>
      </c>
      <c r="K57" s="18"/>
      <c r="L57" s="18">
        <f>IF(((SUM(L53:L54)-L55)/2)&lt;0, 0, (SUM(L53:L54)-L55)/2)</f>
        <v>0</v>
      </c>
      <c r="M57" s="18"/>
      <c r="N57" s="18">
        <f>IF(((SUM(N53:N54)-N55)/2)&lt;0, 0, (SUM(N53:N54)-N55)/2)</f>
        <v>0</v>
      </c>
      <c r="O57" s="18"/>
      <c r="P57" s="18">
        <f>IF(((SUM(P53:P54)-P55)/2)&lt;0, 0, (SUM(P53:P54)-P55)/2)</f>
        <v>0</v>
      </c>
      <c r="Q57" s="18"/>
    </row>
    <row r="58" spans="1:17" x14ac:dyDescent="0.2">
      <c r="A58" s="1" t="s">
        <v>283</v>
      </c>
      <c r="B58" s="18">
        <f>B57+B52</f>
        <v>0</v>
      </c>
      <c r="C58" s="18"/>
      <c r="D58" s="18">
        <f>D57+D52</f>
        <v>0</v>
      </c>
      <c r="E58" s="18"/>
      <c r="F58" s="18">
        <f>F57+F52</f>
        <v>0</v>
      </c>
      <c r="G58" s="18"/>
      <c r="H58" s="18">
        <f>H57+H52</f>
        <v>621.5</v>
      </c>
      <c r="I58" s="18"/>
      <c r="J58" s="18">
        <f>J57+J52</f>
        <v>1243</v>
      </c>
      <c r="K58" s="18"/>
      <c r="L58" s="18">
        <f>L57+L52</f>
        <v>1243</v>
      </c>
      <c r="M58" s="18"/>
      <c r="N58" s="18">
        <f>N57+N52</f>
        <v>1243</v>
      </c>
      <c r="P58" s="18">
        <f>P57+P52</f>
        <v>1243</v>
      </c>
    </row>
    <row r="59" spans="1:17" x14ac:dyDescent="0.2">
      <c r="A59" s="1" t="s">
        <v>284</v>
      </c>
      <c r="B59" s="21">
        <f>'3. Cost_of_Service_Parameters'!G63</f>
        <v>0</v>
      </c>
      <c r="C59" s="21"/>
      <c r="D59" s="21">
        <f>'3. Cost_of_Service_Parameters'!I63</f>
        <v>0</v>
      </c>
      <c r="E59" s="21"/>
      <c r="F59" s="21">
        <f>'3. Cost_of_Service_Parameters'!K63</f>
        <v>0</v>
      </c>
      <c r="G59" s="21"/>
      <c r="H59" s="21">
        <f>'3. Cost_of_Service_Parameters'!M63</f>
        <v>0</v>
      </c>
      <c r="I59" s="21"/>
      <c r="J59" s="21">
        <f>'3. Cost_of_Service_Parameters'!O63</f>
        <v>0</v>
      </c>
      <c r="K59" s="21"/>
      <c r="L59" s="21">
        <f>'3. Cost_of_Service_Parameters'!Q63</f>
        <v>0</v>
      </c>
      <c r="M59" s="21"/>
      <c r="N59" s="21">
        <f>'3. Cost_of_Service_Parameters'!S63</f>
        <v>0</v>
      </c>
      <c r="O59" s="21"/>
      <c r="P59" s="21">
        <f>'3. Cost_of_Service_Parameters'!U63</f>
        <v>0</v>
      </c>
      <c r="Q59" s="21"/>
    </row>
    <row r="60" spans="1:17" x14ac:dyDescent="0.2">
      <c r="A60" s="1" t="s">
        <v>285</v>
      </c>
      <c r="B60" s="22">
        <f>'3. Cost_of_Service_Parameters'!G64</f>
        <v>0</v>
      </c>
      <c r="C60" s="22"/>
      <c r="D60" s="22">
        <f>'3. Cost_of_Service_Parameters'!I64</f>
        <v>0</v>
      </c>
      <c r="E60" s="22"/>
      <c r="F60" s="22">
        <f>'3. Cost_of_Service_Parameters'!K64</f>
        <v>0</v>
      </c>
      <c r="G60" s="22"/>
      <c r="H60" s="22">
        <f>'3. Cost_of_Service_Parameters'!M64</f>
        <v>0</v>
      </c>
      <c r="I60" s="22"/>
      <c r="J60" s="22">
        <f>'3. Cost_of_Service_Parameters'!O64</f>
        <v>0</v>
      </c>
      <c r="K60" s="22"/>
      <c r="L60" s="22">
        <f>'3. Cost_of_Service_Parameters'!Q64</f>
        <v>0</v>
      </c>
      <c r="M60" s="22"/>
      <c r="N60" s="22">
        <f>'3. Cost_of_Service_Parameters'!S64</f>
        <v>0</v>
      </c>
      <c r="O60" s="22"/>
      <c r="P60" s="22">
        <f>'3. Cost_of_Service_Parameters'!U64</f>
        <v>0</v>
      </c>
      <c r="Q60" s="22"/>
    </row>
    <row r="61" spans="1:17" x14ac:dyDescent="0.2">
      <c r="A61" s="1" t="s">
        <v>286</v>
      </c>
      <c r="B61" s="18">
        <f>B60*B58</f>
        <v>0</v>
      </c>
      <c r="C61" s="18"/>
      <c r="D61" s="18">
        <f>D60*D58</f>
        <v>0</v>
      </c>
      <c r="E61" s="18"/>
      <c r="F61" s="18">
        <f>F60*F58</f>
        <v>0</v>
      </c>
      <c r="G61" s="18"/>
      <c r="H61" s="18">
        <f>H60*H58</f>
        <v>0</v>
      </c>
      <c r="I61" s="18"/>
      <c r="J61" s="18">
        <f>J60*J58</f>
        <v>0</v>
      </c>
      <c r="K61" s="18"/>
      <c r="L61" s="18">
        <f>L60*L58</f>
        <v>0</v>
      </c>
      <c r="M61" s="18"/>
      <c r="N61" s="18">
        <f>N60*N58</f>
        <v>0</v>
      </c>
      <c r="P61" s="18">
        <f>P60*P58</f>
        <v>0</v>
      </c>
    </row>
    <row r="62" spans="1:17" ht="13.5" thickBot="1" x14ac:dyDescent="0.25">
      <c r="A62" s="1" t="s">
        <v>287</v>
      </c>
      <c r="B62" s="25">
        <f>IF((B56-B61)&lt;0, 0, B56-B61)</f>
        <v>0</v>
      </c>
      <c r="C62" s="18"/>
      <c r="D62" s="25">
        <f>IF((D56-D61)&lt;0, 0, D56-D61)</f>
        <v>0</v>
      </c>
      <c r="E62" s="18"/>
      <c r="F62" s="25">
        <f>IF((F56-F61)&lt;0, 0, F56-F61)</f>
        <v>0</v>
      </c>
      <c r="G62" s="18"/>
      <c r="H62" s="25">
        <f>IF((H56-H61)&lt;0, 0, H56-H61)</f>
        <v>1243</v>
      </c>
      <c r="I62" s="18"/>
      <c r="J62" s="25">
        <f>IF((J56-J61)&lt;0, 0, J56-J61)</f>
        <v>1243</v>
      </c>
      <c r="K62" s="18"/>
      <c r="L62" s="25">
        <f>IF((L56-L61)&lt;0, 0, L56-L61)</f>
        <v>1243</v>
      </c>
      <c r="M62" s="18"/>
      <c r="N62" s="25">
        <f>IF((N56-N61)&lt;0, 0, N56-N61)</f>
        <v>1243</v>
      </c>
      <c r="P62" s="25">
        <f>IF((P56-P61)&lt;0, 0, P56-P61)</f>
        <v>1243</v>
      </c>
    </row>
    <row r="63" spans="1:17" ht="13.5" thickTop="1" x14ac:dyDescent="0.2">
      <c r="A63" s="1"/>
      <c r="B63" s="1"/>
      <c r="C63" s="1"/>
      <c r="D63" s="1"/>
      <c r="E63" s="1"/>
      <c r="F63" s="1"/>
      <c r="G63" s="1"/>
      <c r="H63" s="1"/>
      <c r="I63" s="1"/>
      <c r="J63" s="1"/>
      <c r="K63" s="1"/>
      <c r="L63" s="1"/>
      <c r="M63" s="1"/>
    </row>
    <row r="64" spans="1:17" ht="18" x14ac:dyDescent="0.25">
      <c r="A64" s="20" t="s">
        <v>363</v>
      </c>
      <c r="B64" s="6">
        <f>B49</f>
        <v>2006</v>
      </c>
      <c r="C64" s="6"/>
      <c r="D64" s="6">
        <f>D49</f>
        <v>2007</v>
      </c>
      <c r="E64" s="6"/>
      <c r="F64" s="6">
        <f>F49</f>
        <v>2008</v>
      </c>
      <c r="G64" s="6"/>
      <c r="H64" s="6">
        <f>H49</f>
        <v>2009</v>
      </c>
      <c r="I64" s="6"/>
      <c r="J64" s="6">
        <f>J49</f>
        <v>2010</v>
      </c>
      <c r="K64" s="6"/>
      <c r="L64" s="6">
        <f>L49</f>
        <v>2011</v>
      </c>
      <c r="M64" s="1"/>
      <c r="N64" s="6">
        <f>N49</f>
        <v>2012</v>
      </c>
      <c r="P64" s="6">
        <f>P49</f>
        <v>2013</v>
      </c>
    </row>
    <row r="65" spans="1:16" x14ac:dyDescent="0.2">
      <c r="A65" s="1"/>
      <c r="B65" s="6" t="str">
        <f>B50</f>
        <v>Audited Actual</v>
      </c>
      <c r="C65" s="6"/>
      <c r="D65" s="6" t="str">
        <f>D50</f>
        <v>Audited Actual</v>
      </c>
      <c r="E65" s="6"/>
      <c r="F65" s="6" t="str">
        <f>F50</f>
        <v>Audited Actual</v>
      </c>
      <c r="G65" s="6"/>
      <c r="H65" s="6" t="str">
        <f>H50</f>
        <v>Audited Actual</v>
      </c>
      <c r="I65" s="6"/>
      <c r="J65" s="6" t="str">
        <f>J50</f>
        <v>Audited Actual</v>
      </c>
      <c r="K65" s="6"/>
      <c r="L65" s="6" t="str">
        <f>L50</f>
        <v>Audited Actual</v>
      </c>
      <c r="M65" s="1"/>
      <c r="N65" s="6" t="str">
        <f>N50</f>
        <v>Forecast</v>
      </c>
      <c r="P65" s="6" t="str">
        <f>P50</f>
        <v>Forecast</v>
      </c>
    </row>
    <row r="66" spans="1:16" x14ac:dyDescent="0.2">
      <c r="A66" s="1"/>
      <c r="B66" s="1"/>
      <c r="C66" s="1"/>
      <c r="D66" s="1"/>
      <c r="E66" s="1"/>
      <c r="F66" s="1"/>
      <c r="G66" s="1"/>
      <c r="H66" s="1"/>
      <c r="I66" s="1"/>
      <c r="J66" s="1"/>
      <c r="K66" s="1"/>
      <c r="L66" s="1"/>
      <c r="M66" s="1"/>
    </row>
    <row r="67" spans="1:16" x14ac:dyDescent="0.2">
      <c r="A67" s="1" t="s">
        <v>279</v>
      </c>
      <c r="B67" s="18">
        <v>0</v>
      </c>
      <c r="C67" s="18"/>
      <c r="D67" s="24">
        <f>B70-B75</f>
        <v>0</v>
      </c>
      <c r="E67" s="24"/>
      <c r="F67" s="24">
        <f>D70-D75</f>
        <v>0</v>
      </c>
      <c r="G67" s="24"/>
      <c r="H67" s="24">
        <f>F70-F75</f>
        <v>0</v>
      </c>
      <c r="I67" s="24"/>
      <c r="J67" s="24">
        <f>H70-H75</f>
        <v>0</v>
      </c>
      <c r="K67" s="24"/>
      <c r="L67" s="24">
        <f>J70-J75</f>
        <v>19385.099999999999</v>
      </c>
      <c r="M67" s="24"/>
      <c r="N67" s="24">
        <f>L70-L75</f>
        <v>25454.27</v>
      </c>
      <c r="P67" s="24">
        <f>N70-N75</f>
        <v>17817.989000000001</v>
      </c>
    </row>
    <row r="68" spans="1:16" x14ac:dyDescent="0.2">
      <c r="A68" s="1" t="s">
        <v>366</v>
      </c>
      <c r="B68" s="23">
        <f>'2. Smart_Meter_Costs'!G191</f>
        <v>0</v>
      </c>
      <c r="C68" s="18"/>
      <c r="D68" s="23">
        <f>'2. Smart_Meter_Costs'!I191</f>
        <v>0</v>
      </c>
      <c r="E68" s="18"/>
      <c r="F68" s="23">
        <f>'2. Smart_Meter_Costs'!K191</f>
        <v>0</v>
      </c>
      <c r="G68" s="18"/>
      <c r="H68" s="23">
        <f>'2. Smart_Meter_Costs'!M191</f>
        <v>0</v>
      </c>
      <c r="I68" s="18"/>
      <c r="J68" s="23">
        <f>'2. Smart_Meter_Costs'!O191</f>
        <v>22806</v>
      </c>
      <c r="K68" s="18"/>
      <c r="L68" s="23">
        <f>'2. Smart_Meter_Costs'!Q191</f>
        <v>13982</v>
      </c>
      <c r="M68" s="18"/>
      <c r="N68" s="23">
        <f>'2. Smart_Meter_Costs'!S191</f>
        <v>0</v>
      </c>
      <c r="P68" s="23">
        <f>'2. Smart_Meter_Costs'!U191</f>
        <v>0</v>
      </c>
    </row>
    <row r="69" spans="1:16" x14ac:dyDescent="0.2">
      <c r="A69" s="31" t="s">
        <v>102</v>
      </c>
      <c r="B69" s="344"/>
      <c r="C69" s="18"/>
      <c r="D69" s="344"/>
      <c r="E69" s="18"/>
      <c r="F69" s="344"/>
      <c r="G69" s="18"/>
      <c r="H69" s="344"/>
      <c r="I69" s="18"/>
      <c r="J69" s="344"/>
      <c r="K69" s="18"/>
      <c r="L69" s="344"/>
      <c r="M69" s="18"/>
      <c r="N69" s="344"/>
      <c r="P69" s="344"/>
    </row>
    <row r="70" spans="1:16" x14ac:dyDescent="0.2">
      <c r="A70" s="1" t="s">
        <v>281</v>
      </c>
      <c r="B70" s="9">
        <f>SUM(B67:B68)-B69</f>
        <v>0</v>
      </c>
      <c r="C70" s="18"/>
      <c r="D70" s="9">
        <f>SUM(D67:D68)-D69</f>
        <v>0</v>
      </c>
      <c r="E70" s="18"/>
      <c r="F70" s="9">
        <f>SUM(F67:F68)-F69</f>
        <v>0</v>
      </c>
      <c r="G70" s="18"/>
      <c r="H70" s="9">
        <f>SUM(H67:H68)-H69</f>
        <v>0</v>
      </c>
      <c r="I70" s="18"/>
      <c r="J70" s="9">
        <f>SUM(J67:J68)-J69</f>
        <v>22806</v>
      </c>
      <c r="K70" s="18"/>
      <c r="L70" s="9">
        <f>SUM(L67:L68)-L69</f>
        <v>33367.1</v>
      </c>
      <c r="M70" s="18"/>
      <c r="N70" s="9">
        <f>SUM(N67:N68)-N69</f>
        <v>25454.27</v>
      </c>
      <c r="P70" s="9">
        <f>SUM(P67:P68)-P69</f>
        <v>17817.989000000001</v>
      </c>
    </row>
    <row r="71" spans="1:16" x14ac:dyDescent="0.2">
      <c r="A71" s="1" t="s">
        <v>282</v>
      </c>
      <c r="B71" s="18">
        <f>IF(((SUM(B68:B68)-B69)/2)&lt;0, 0, (SUM(B68:B68)-B69)/2)</f>
        <v>0</v>
      </c>
      <c r="C71" s="18"/>
      <c r="D71" s="18">
        <f>IF(((SUM(D68:D68)-D69)/2)&lt;0, 0, (SUM(D68:D68)-D69)/2)</f>
        <v>0</v>
      </c>
      <c r="E71" s="18"/>
      <c r="F71" s="18">
        <f>IF(((SUM(F68:F68)-F69)/2)&lt;0, 0, (SUM(F68:F68)-F69)/2)</f>
        <v>0</v>
      </c>
      <c r="G71" s="18"/>
      <c r="H71" s="18">
        <f>IF(((SUM(H68:H68)-H69)/2)&lt;0, 0, (SUM(H68:H68)-H69)/2)</f>
        <v>0</v>
      </c>
      <c r="I71" s="18"/>
      <c r="J71" s="18">
        <f>IF(((SUM(J68:J68)-J69)/2)&lt;0, 0, (SUM(J68:J68)-J69)/2)</f>
        <v>11403</v>
      </c>
      <c r="K71" s="18"/>
      <c r="L71" s="18">
        <f>IF(((SUM(L68:L68)-L69)/2)&lt;0, 0, (SUM(L68:L68)-L69)/2)</f>
        <v>6991</v>
      </c>
      <c r="M71" s="18"/>
      <c r="N71" s="18">
        <f>IF(((SUM(N68:N68)-N69)/2)&lt;0, 0, (SUM(N68:N68)-N69)/2)</f>
        <v>0</v>
      </c>
      <c r="P71" s="18">
        <f>IF(((SUM(P68:P68)-P69)/2)&lt;0, 0, (SUM(P68:P68)-P69)/2)</f>
        <v>0</v>
      </c>
    </row>
    <row r="72" spans="1:16" x14ac:dyDescent="0.2">
      <c r="A72" s="1" t="s">
        <v>283</v>
      </c>
      <c r="B72" s="18">
        <f>B71+B67</f>
        <v>0</v>
      </c>
      <c r="C72" s="18"/>
      <c r="D72" s="18">
        <f>D71+D67</f>
        <v>0</v>
      </c>
      <c r="E72" s="18"/>
      <c r="F72" s="18">
        <f>F71+F67</f>
        <v>0</v>
      </c>
      <c r="G72" s="18"/>
      <c r="H72" s="18">
        <f>H71+H67</f>
        <v>0</v>
      </c>
      <c r="I72" s="18"/>
      <c r="J72" s="18">
        <f>J71+J67</f>
        <v>11403</v>
      </c>
      <c r="K72" s="18"/>
      <c r="L72" s="18">
        <f>L71+L67</f>
        <v>26376.1</v>
      </c>
      <c r="M72" s="18"/>
      <c r="N72" s="18">
        <f>N71+N67</f>
        <v>25454.27</v>
      </c>
      <c r="P72" s="18">
        <f>P71+P67</f>
        <v>17817.989000000001</v>
      </c>
    </row>
    <row r="73" spans="1:16" x14ac:dyDescent="0.2">
      <c r="A73" s="1" t="s">
        <v>284</v>
      </c>
      <c r="B73" s="21">
        <f>'3. Cost_of_Service_Parameters'!G66</f>
        <v>0</v>
      </c>
      <c r="C73" s="21"/>
      <c r="D73" s="21">
        <f>'3. Cost_of_Service_Parameters'!I66</f>
        <v>0</v>
      </c>
      <c r="E73" s="21"/>
      <c r="F73" s="21">
        <f>'3. Cost_of_Service_Parameters'!K66</f>
        <v>0</v>
      </c>
      <c r="G73" s="21"/>
      <c r="H73" s="21">
        <f>'3. Cost_of_Service_Parameters'!M66</f>
        <v>10</v>
      </c>
      <c r="I73" s="21"/>
      <c r="J73" s="21">
        <f>'3. Cost_of_Service_Parameters'!O66</f>
        <v>10</v>
      </c>
      <c r="K73" s="21"/>
      <c r="L73" s="21">
        <f>'3. Cost_of_Service_Parameters'!Q66</f>
        <v>10</v>
      </c>
      <c r="M73" s="21"/>
      <c r="N73" s="21">
        <f>'3. Cost_of_Service_Parameters'!S66</f>
        <v>10</v>
      </c>
      <c r="P73" s="21">
        <f>'3. Cost_of_Service_Parameters'!U66</f>
        <v>10</v>
      </c>
    </row>
    <row r="74" spans="1:16" x14ac:dyDescent="0.2">
      <c r="A74" s="1" t="s">
        <v>285</v>
      </c>
      <c r="B74" s="22">
        <f>'3. Cost_of_Service_Parameters'!G67</f>
        <v>0</v>
      </c>
      <c r="C74" s="22"/>
      <c r="D74" s="22">
        <f>'3. Cost_of_Service_Parameters'!I67</f>
        <v>0</v>
      </c>
      <c r="E74" s="22"/>
      <c r="F74" s="22">
        <f>'3. Cost_of_Service_Parameters'!K67</f>
        <v>0</v>
      </c>
      <c r="G74" s="22"/>
      <c r="H74" s="22">
        <f>'3. Cost_of_Service_Parameters'!M67</f>
        <v>0.3</v>
      </c>
      <c r="I74" s="22"/>
      <c r="J74" s="22">
        <f>'3. Cost_of_Service_Parameters'!O67</f>
        <v>0.3</v>
      </c>
      <c r="K74" s="22"/>
      <c r="L74" s="22">
        <f>'3. Cost_of_Service_Parameters'!Q67</f>
        <v>0.3</v>
      </c>
      <c r="M74" s="22"/>
      <c r="N74" s="22">
        <f>'3. Cost_of_Service_Parameters'!S67</f>
        <v>0.3</v>
      </c>
      <c r="P74" s="22">
        <f>'3. Cost_of_Service_Parameters'!U67</f>
        <v>0.3</v>
      </c>
    </row>
    <row r="75" spans="1:16" x14ac:dyDescent="0.2">
      <c r="A75" s="1" t="s">
        <v>286</v>
      </c>
      <c r="B75" s="18">
        <f>B74*B72</f>
        <v>0</v>
      </c>
      <c r="C75" s="18"/>
      <c r="D75" s="18">
        <f>D74*D72</f>
        <v>0</v>
      </c>
      <c r="E75" s="18"/>
      <c r="F75" s="18">
        <f>F74*F72</f>
        <v>0</v>
      </c>
      <c r="G75" s="18"/>
      <c r="H75" s="18">
        <f>H74*H72</f>
        <v>0</v>
      </c>
      <c r="I75" s="18"/>
      <c r="J75" s="18">
        <f>J74*J72</f>
        <v>3420.9</v>
      </c>
      <c r="K75" s="18"/>
      <c r="L75" s="18">
        <f>L74*L72</f>
        <v>7912.829999999999</v>
      </c>
      <c r="M75" s="18"/>
      <c r="N75" s="18">
        <f>N74*N72</f>
        <v>7636.2809999999999</v>
      </c>
      <c r="P75" s="18">
        <f>P74*P72</f>
        <v>5345.3967000000002</v>
      </c>
    </row>
    <row r="76" spans="1:16" ht="13.5" thickBot="1" x14ac:dyDescent="0.25">
      <c r="A76" s="1" t="s">
        <v>287</v>
      </c>
      <c r="B76" s="25">
        <f>IF((B70-B75)&lt;0, 0, B70-B75)</f>
        <v>0</v>
      </c>
      <c r="C76" s="18"/>
      <c r="D76" s="25">
        <f>IF((D70-D75)&lt;0, 0, D70-D75)</f>
        <v>0</v>
      </c>
      <c r="E76" s="18"/>
      <c r="F76" s="25">
        <f>IF((F70-F75)&lt;0, 0, F70-F75)</f>
        <v>0</v>
      </c>
      <c r="G76" s="18"/>
      <c r="H76" s="25">
        <f>IF((H70-H75)&lt;0, 0, H70-H75)</f>
        <v>0</v>
      </c>
      <c r="I76" s="18"/>
      <c r="J76" s="25">
        <f>IF((J70-J75)&lt;0, 0, J70-J75)</f>
        <v>19385.099999999999</v>
      </c>
      <c r="K76" s="18"/>
      <c r="L76" s="25">
        <f>IF((L70-L75)&lt;0, 0, L70-L75)</f>
        <v>25454.27</v>
      </c>
      <c r="M76" s="18"/>
      <c r="N76" s="25">
        <f>IF((N70-N75)&lt;0, 0, N70-N75)</f>
        <v>17817.989000000001</v>
      </c>
      <c r="P76" s="25">
        <f>IF((P70-P75)&lt;0, 0, P70-P75)</f>
        <v>12472.5923</v>
      </c>
    </row>
    <row r="77" spans="1:16" ht="13.5" thickTop="1" x14ac:dyDescent="0.2">
      <c r="A77" s="1"/>
      <c r="B77" s="1"/>
      <c r="C77" s="1"/>
      <c r="D77" s="1"/>
      <c r="E77" s="1"/>
      <c r="F77" s="1"/>
      <c r="G77" s="1"/>
      <c r="H77" s="1"/>
      <c r="I77" s="1"/>
      <c r="J77" s="1"/>
      <c r="K77" s="1"/>
      <c r="L77" s="1"/>
      <c r="M77" s="1"/>
    </row>
    <row r="78" spans="1:16" x14ac:dyDescent="0.2">
      <c r="A78" s="1"/>
      <c r="B78" s="1"/>
      <c r="C78" s="1"/>
      <c r="D78" s="1"/>
      <c r="E78" s="1"/>
      <c r="F78" s="1"/>
      <c r="G78" s="1"/>
      <c r="H78" s="1"/>
      <c r="I78" s="1"/>
      <c r="J78" s="1"/>
      <c r="K78" s="1"/>
      <c r="L78" s="1"/>
      <c r="M78" s="1"/>
    </row>
    <row r="79" spans="1:16" x14ac:dyDescent="0.2">
      <c r="A79" s="1"/>
      <c r="B79" s="1"/>
      <c r="C79" s="1"/>
      <c r="D79" s="1"/>
      <c r="E79" s="1"/>
      <c r="F79" s="1"/>
      <c r="G79" s="1"/>
      <c r="H79" s="1"/>
      <c r="I79" s="1"/>
      <c r="J79" s="1"/>
      <c r="K79" s="1"/>
      <c r="L79" s="1"/>
      <c r="M79" s="1"/>
    </row>
    <row r="80" spans="1:16" x14ac:dyDescent="0.2">
      <c r="A80" s="1"/>
      <c r="B80" s="1"/>
      <c r="C80" s="1"/>
      <c r="D80" s="1"/>
      <c r="E80" s="1"/>
      <c r="F80" s="1"/>
      <c r="G80" s="1"/>
      <c r="H80" s="1"/>
      <c r="I80" s="1"/>
      <c r="J80" s="1"/>
      <c r="K80" s="1"/>
      <c r="L80" s="1"/>
      <c r="M80" s="1"/>
    </row>
    <row r="81" spans="1:13" x14ac:dyDescent="0.2">
      <c r="A81" s="1"/>
      <c r="B81" s="1"/>
      <c r="C81" s="1"/>
      <c r="D81" s="1"/>
      <c r="E81" s="1"/>
      <c r="F81" s="1"/>
      <c r="G81" s="1"/>
      <c r="H81" s="1"/>
      <c r="I81" s="1"/>
      <c r="J81" s="1"/>
      <c r="K81" s="1"/>
      <c r="L81" s="1"/>
      <c r="M81" s="1"/>
    </row>
    <row r="82" spans="1:13" x14ac:dyDescent="0.2">
      <c r="A82" s="1"/>
      <c r="B82" s="1"/>
      <c r="C82" s="1"/>
      <c r="D82" s="1"/>
      <c r="E82" s="1"/>
      <c r="F82" s="1"/>
      <c r="G82" s="1"/>
      <c r="H82" s="1"/>
      <c r="I82" s="1"/>
      <c r="J82" s="1"/>
      <c r="K82" s="1"/>
      <c r="L82" s="1"/>
      <c r="M82" s="1"/>
    </row>
    <row r="83" spans="1:13" x14ac:dyDescent="0.2">
      <c r="A83" s="1"/>
      <c r="B83" s="1"/>
      <c r="C83" s="1"/>
      <c r="D83" s="1"/>
      <c r="E83" s="1"/>
      <c r="F83" s="1"/>
      <c r="G83" s="1"/>
      <c r="H83" s="1"/>
      <c r="I83" s="1"/>
      <c r="J83" s="1"/>
      <c r="K83" s="1"/>
      <c r="L83" s="1"/>
      <c r="M83" s="1"/>
    </row>
    <row r="84" spans="1:13" x14ac:dyDescent="0.2">
      <c r="A84" s="1"/>
      <c r="B84" s="1"/>
      <c r="C84" s="1"/>
      <c r="D84" s="1"/>
      <c r="E84" s="1"/>
      <c r="F84" s="1"/>
      <c r="G84" s="1"/>
      <c r="H84" s="1"/>
      <c r="I84" s="1"/>
      <c r="J84" s="1"/>
      <c r="K84" s="1"/>
      <c r="L84" s="1"/>
      <c r="M84" s="1"/>
    </row>
    <row r="85" spans="1:13" x14ac:dyDescent="0.2">
      <c r="A85" s="1"/>
      <c r="B85" s="1"/>
      <c r="C85" s="1"/>
      <c r="D85" s="1"/>
      <c r="E85" s="1"/>
      <c r="F85" s="1"/>
      <c r="G85" s="1"/>
      <c r="H85" s="1"/>
      <c r="I85" s="1"/>
      <c r="J85" s="1"/>
      <c r="K85" s="1"/>
      <c r="L85" s="1"/>
      <c r="M85" s="1"/>
    </row>
    <row r="86" spans="1:13" x14ac:dyDescent="0.2">
      <c r="A86" s="1"/>
      <c r="B86" s="1"/>
      <c r="C86" s="1"/>
      <c r="D86" s="1"/>
      <c r="E86" s="1"/>
      <c r="F86" s="1"/>
      <c r="G86" s="1"/>
      <c r="H86" s="1"/>
      <c r="I86" s="1"/>
      <c r="J86" s="1"/>
      <c r="K86" s="1"/>
      <c r="L86" s="1"/>
      <c r="M86" s="1"/>
    </row>
    <row r="87" spans="1:13" x14ac:dyDescent="0.2">
      <c r="A87" s="1"/>
      <c r="B87" s="1"/>
      <c r="C87" s="1"/>
      <c r="D87" s="1"/>
      <c r="E87" s="1"/>
      <c r="F87" s="1"/>
      <c r="G87" s="1"/>
      <c r="H87" s="1"/>
      <c r="I87" s="1"/>
      <c r="J87" s="1"/>
      <c r="K87" s="1"/>
      <c r="L87" s="1"/>
      <c r="M87" s="1"/>
    </row>
    <row r="88" spans="1:13" x14ac:dyDescent="0.2">
      <c r="A88" s="1"/>
      <c r="B88" s="1"/>
      <c r="C88" s="1"/>
      <c r="D88" s="1"/>
      <c r="E88" s="1"/>
      <c r="F88" s="1"/>
      <c r="G88" s="1"/>
      <c r="H88" s="1"/>
      <c r="I88" s="1"/>
      <c r="J88" s="1"/>
      <c r="K88" s="1"/>
      <c r="L88" s="1"/>
      <c r="M88" s="1"/>
    </row>
    <row r="89" spans="1:13" x14ac:dyDescent="0.2">
      <c r="A89" s="1"/>
      <c r="B89" s="1"/>
      <c r="C89" s="1"/>
      <c r="D89" s="1"/>
      <c r="E89" s="1"/>
      <c r="F89" s="1"/>
      <c r="G89" s="1"/>
      <c r="H89" s="1"/>
      <c r="I89" s="1"/>
      <c r="J89" s="1"/>
      <c r="K89" s="1"/>
      <c r="L89" s="1"/>
      <c r="M89" s="1"/>
    </row>
    <row r="90" spans="1:13" x14ac:dyDescent="0.2">
      <c r="A90" s="1"/>
      <c r="B90" s="1"/>
      <c r="C90" s="1"/>
      <c r="D90" s="1"/>
      <c r="E90" s="1"/>
      <c r="F90" s="1"/>
      <c r="G90" s="1"/>
      <c r="H90" s="1"/>
      <c r="I90" s="1"/>
      <c r="J90" s="1"/>
      <c r="K90" s="1"/>
      <c r="L90" s="1"/>
      <c r="M90" s="1"/>
    </row>
    <row r="91" spans="1:13" x14ac:dyDescent="0.2">
      <c r="A91" s="1"/>
      <c r="B91" s="1"/>
      <c r="C91" s="1"/>
      <c r="D91" s="1"/>
      <c r="E91" s="1"/>
      <c r="F91" s="1"/>
      <c r="G91" s="1"/>
      <c r="H91" s="1"/>
      <c r="I91" s="1"/>
      <c r="J91" s="1"/>
      <c r="K91" s="1"/>
      <c r="L91" s="1"/>
      <c r="M91" s="1"/>
    </row>
    <row r="92" spans="1:13" x14ac:dyDescent="0.2">
      <c r="A92" s="1"/>
      <c r="B92" s="1"/>
      <c r="C92" s="1"/>
      <c r="D92" s="1"/>
      <c r="E92" s="1"/>
      <c r="F92" s="1"/>
      <c r="G92" s="1"/>
      <c r="H92" s="1"/>
      <c r="I92" s="1"/>
      <c r="J92" s="1"/>
      <c r="K92" s="1"/>
      <c r="L92" s="1"/>
      <c r="M92" s="1"/>
    </row>
    <row r="93" spans="1:13" x14ac:dyDescent="0.2">
      <c r="A93" s="1"/>
      <c r="B93" s="1"/>
      <c r="C93" s="1"/>
      <c r="D93" s="1"/>
      <c r="E93" s="1"/>
      <c r="F93" s="1"/>
      <c r="G93" s="1"/>
      <c r="H93" s="1"/>
      <c r="I93" s="1"/>
      <c r="J93" s="1"/>
      <c r="K93" s="1"/>
      <c r="L93" s="1"/>
      <c r="M93" s="1"/>
    </row>
    <row r="94" spans="1:13" x14ac:dyDescent="0.2">
      <c r="A94" s="1"/>
      <c r="B94" s="1"/>
      <c r="C94" s="1"/>
      <c r="D94" s="1"/>
      <c r="E94" s="1"/>
      <c r="F94" s="1"/>
      <c r="G94" s="1"/>
      <c r="H94" s="1"/>
      <c r="I94" s="1"/>
      <c r="J94" s="1"/>
      <c r="K94" s="1"/>
      <c r="L94" s="1"/>
      <c r="M94" s="1"/>
    </row>
    <row r="95" spans="1:13" x14ac:dyDescent="0.2">
      <c r="A95" s="1"/>
      <c r="B95" s="1"/>
      <c r="C95" s="1"/>
      <c r="D95" s="1"/>
      <c r="E95" s="1"/>
      <c r="F95" s="1"/>
      <c r="G95" s="1"/>
      <c r="H95" s="1"/>
      <c r="I95" s="1"/>
      <c r="J95" s="1"/>
      <c r="K95" s="1"/>
      <c r="L95" s="1"/>
      <c r="M95" s="1"/>
    </row>
  </sheetData>
  <sheetProtection password="C2FC" sheet="1" objects="1" scenarios="1"/>
  <phoneticPr fontId="7" type="noConversion"/>
  <pageMargins left="0.75" right="0.75" top="1" bottom="1" header="0.5" footer="0.5"/>
  <pageSetup scale="59" fitToHeight="0" orientation="landscape" r:id="rId1"/>
  <headerFooter alignWithMargins="0"/>
  <rowBreaks count="1" manualBreakCount="1">
    <brk id="48" max="15" man="1"/>
  </rowBreaks>
  <colBreaks count="1" manualBreakCount="1">
    <brk id="14" max="92"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8:R59"/>
  <sheetViews>
    <sheetView showGridLines="0" zoomScale="80" zoomScaleNormal="100" workbookViewId="0">
      <selection activeCell="A18" sqref="A18:Q60"/>
    </sheetView>
  </sheetViews>
  <sheetFormatPr defaultColWidth="9.140625" defaultRowHeight="12.75" x14ac:dyDescent="0.2"/>
  <cols>
    <col min="1" max="1" width="9.140625" style="31"/>
    <col min="2" max="2" width="34.5703125" style="1" customWidth="1"/>
    <col min="3" max="3" width="17.7109375" style="1" customWidth="1"/>
    <col min="4" max="4" width="2.7109375" style="1" customWidth="1"/>
    <col min="5" max="5" width="17.7109375" style="1" customWidth="1"/>
    <col min="6" max="6" width="2.7109375" style="1" customWidth="1"/>
    <col min="7" max="7" width="17.7109375" style="1" customWidth="1"/>
    <col min="8" max="8" width="2.7109375" style="1" customWidth="1"/>
    <col min="9" max="9" width="17.7109375" style="1" customWidth="1"/>
    <col min="10" max="10" width="2.7109375" style="1" customWidth="1"/>
    <col min="11" max="11" width="17.7109375" style="1" customWidth="1"/>
    <col min="12" max="12" width="2.7109375" style="1" customWidth="1"/>
    <col min="13" max="13" width="17.7109375" style="1" customWidth="1"/>
    <col min="14" max="14" width="2.7109375" style="1" customWidth="1"/>
    <col min="15" max="15" width="17.7109375" style="1" customWidth="1"/>
    <col min="16" max="16" width="2.7109375" style="1" customWidth="1"/>
    <col min="17" max="17" width="17.7109375" style="1" customWidth="1"/>
    <col min="18" max="18" width="2.7109375" style="1" customWidth="1"/>
    <col min="19" max="16384" width="9.140625" style="31"/>
  </cols>
  <sheetData>
    <row r="18" spans="1:18" ht="26.25" x14ac:dyDescent="0.4">
      <c r="A18" s="2" t="s">
        <v>246</v>
      </c>
    </row>
    <row r="20" spans="1:18" ht="25.5" x14ac:dyDescent="0.2">
      <c r="C20" s="26" t="str">
        <f>'2. Smart_Meter_Costs'!G18&amp; " " &amp;'2. Smart_Meter_Costs'!G19</f>
        <v>2006 Audited Actual</v>
      </c>
      <c r="D20" s="26"/>
      <c r="E20" s="26" t="str">
        <f>'2. Smart_Meter_Costs'!I18&amp; " " &amp;'2. Smart_Meter_Costs'!I19</f>
        <v>2007 Audited Actual</v>
      </c>
      <c r="F20" s="26"/>
      <c r="G20" s="26" t="str">
        <f>'2. Smart_Meter_Costs'!K18&amp; " " &amp;'2. Smart_Meter_Costs'!K19</f>
        <v>2008 Audited Actual</v>
      </c>
      <c r="H20" s="26"/>
      <c r="I20" s="26" t="str">
        <f>'2. Smart_Meter_Costs'!M18&amp; " " &amp;'2. Smart_Meter_Costs'!M19</f>
        <v>2009 Audited Actual</v>
      </c>
      <c r="J20" s="26"/>
      <c r="K20" s="26" t="str">
        <f>'2. Smart_Meter_Costs'!O18&amp; " " &amp;'2. Smart_Meter_Costs'!O19</f>
        <v>2010 Audited Actual</v>
      </c>
      <c r="L20" s="26"/>
      <c r="M20" s="26" t="str">
        <f>'2. Smart_Meter_Costs'!Q18&amp; " " &amp;'2. Smart_Meter_Costs'!Q19</f>
        <v>2011 Audited Actual</v>
      </c>
      <c r="N20" s="26"/>
      <c r="O20" s="26" t="str">
        <f>'2. Smart_Meter_Costs'!S18&amp; " " &amp;'2. Smart_Meter_Costs'!S19</f>
        <v>2012 Forecast</v>
      </c>
      <c r="Q20" s="26" t="str">
        <f>'2. Smart_Meter_Costs'!U18&amp; " " &amp;'2. Smart_Meter_Costs'!U19</f>
        <v>2013 Forecast</v>
      </c>
    </row>
    <row r="21" spans="1:18" x14ac:dyDescent="0.2">
      <c r="C21" s="7"/>
      <c r="D21" s="7"/>
      <c r="E21" s="7"/>
      <c r="F21" s="7"/>
      <c r="G21" s="7"/>
      <c r="H21" s="7"/>
      <c r="I21" s="7"/>
      <c r="J21" s="7"/>
      <c r="K21" s="7"/>
      <c r="L21" s="7"/>
      <c r="M21" s="7"/>
      <c r="N21" s="7"/>
      <c r="O21" s="7"/>
      <c r="Q21" s="7"/>
    </row>
    <row r="22" spans="1:18" x14ac:dyDescent="0.2">
      <c r="A22" s="3" t="s">
        <v>247</v>
      </c>
      <c r="C22" s="6"/>
      <c r="D22" s="6"/>
      <c r="E22" s="6"/>
      <c r="F22" s="6"/>
      <c r="G22" s="6"/>
      <c r="H22" s="6"/>
      <c r="I22" s="6"/>
      <c r="J22" s="6"/>
      <c r="K22" s="6"/>
      <c r="L22" s="6"/>
      <c r="M22" s="6"/>
      <c r="N22" s="6"/>
      <c r="O22" s="6"/>
      <c r="Q22" s="6"/>
    </row>
    <row r="23" spans="1:18" x14ac:dyDescent="0.2">
      <c r="B23" s="1" t="s">
        <v>248</v>
      </c>
      <c r="C23" s="8">
        <f>'5. SM_Rev_Reqt'!G$66</f>
        <v>0</v>
      </c>
      <c r="D23" s="8"/>
      <c r="E23" s="8">
        <f>'5. SM_Rev_Reqt'!I$66</f>
        <v>0</v>
      </c>
      <c r="F23" s="8"/>
      <c r="G23" s="8">
        <f>'5. SM_Rev_Reqt'!K$66</f>
        <v>0</v>
      </c>
      <c r="H23" s="8"/>
      <c r="I23" s="8">
        <f>'5. SM_Rev_Reqt'!M$66</f>
        <v>5841.1555984199949</v>
      </c>
      <c r="J23" s="8"/>
      <c r="K23" s="8">
        <f>'5. SM_Rev_Reqt'!O$66</f>
        <v>16528.157503333328</v>
      </c>
      <c r="L23" s="8"/>
      <c r="M23" s="8">
        <f>'5. SM_Rev_Reqt'!Q$66</f>
        <v>19471.020575999995</v>
      </c>
      <c r="N23" s="8"/>
      <c r="O23" s="8">
        <f>'5. SM_Rev_Reqt'!S$66</f>
        <v>17561.513343999999</v>
      </c>
      <c r="P23" s="8"/>
      <c r="Q23" s="8">
        <f>'5. SM_Rev_Reqt'!U$66</f>
        <v>16164.720794666675</v>
      </c>
      <c r="R23" s="8"/>
    </row>
    <row r="24" spans="1:18" x14ac:dyDescent="0.2">
      <c r="B24" s="1" t="s">
        <v>249</v>
      </c>
      <c r="C24" s="8">
        <f>'5. SM_Rev_Reqt'!G$64</f>
        <v>0</v>
      </c>
      <c r="D24" s="8"/>
      <c r="E24" s="8">
        <f>'5. SM_Rev_Reqt'!I$64</f>
        <v>0</v>
      </c>
      <c r="F24" s="8"/>
      <c r="G24" s="8">
        <f>'5. SM_Rev_Reqt'!K$64</f>
        <v>0</v>
      </c>
      <c r="H24" s="8"/>
      <c r="I24" s="8">
        <f>'5. SM_Rev_Reqt'!M$64</f>
        <v>11157.766666666666</v>
      </c>
      <c r="J24" s="8"/>
      <c r="K24" s="8">
        <f>'5. SM_Rev_Reqt'!O$64</f>
        <v>26307.9</v>
      </c>
      <c r="L24" s="8"/>
      <c r="M24" s="8">
        <f>'5. SM_Rev_Reqt'!Q$64</f>
        <v>31219.666666666672</v>
      </c>
      <c r="N24" s="8"/>
      <c r="O24" s="8">
        <f>'5. SM_Rev_Reqt'!S$64</f>
        <v>31381.066666666666</v>
      </c>
      <c r="P24" s="8"/>
      <c r="Q24" s="8">
        <f>'5. SM_Rev_Reqt'!U$64</f>
        <v>31381.066666666666</v>
      </c>
      <c r="R24" s="8"/>
    </row>
    <row r="25" spans="1:18" x14ac:dyDescent="0.2">
      <c r="B25" s="1" t="s">
        <v>250</v>
      </c>
      <c r="C25" s="8">
        <f>-'6. UCC_Calculation'!B31</f>
        <v>0</v>
      </c>
      <c r="D25" s="8"/>
      <c r="E25" s="8">
        <f>-'6. UCC_Calculation'!D31</f>
        <v>0</v>
      </c>
      <c r="F25" s="8"/>
      <c r="G25" s="8">
        <f>-'6. UCC_Calculation'!F31</f>
        <v>0</v>
      </c>
      <c r="H25" s="8"/>
      <c r="I25" s="8">
        <f>-'6. UCC_Calculation'!H31</f>
        <v>-13538.12</v>
      </c>
      <c r="J25" s="8"/>
      <c r="K25" s="8">
        <f>-'6. UCC_Calculation'!J31</f>
        <v>-33371.2304</v>
      </c>
      <c r="L25" s="8"/>
      <c r="M25" s="8">
        <f>-'6. UCC_Calculation'!L31</f>
        <v>-38273.251968000004</v>
      </c>
      <c r="N25" s="8"/>
      <c r="O25" s="8">
        <f>-'6. UCC_Calculation'!N31</f>
        <v>-35405.071810560003</v>
      </c>
      <c r="P25" s="8"/>
      <c r="Q25" s="8">
        <f>-'6. UCC_Calculation'!P31</f>
        <v>-32572.666065715199</v>
      </c>
      <c r="R25" s="8"/>
    </row>
    <row r="26" spans="1:18" x14ac:dyDescent="0.2">
      <c r="B26" s="1" t="s">
        <v>368</v>
      </c>
      <c r="C26" s="8">
        <f>-'6. UCC_Calculation'!B46</f>
        <v>0</v>
      </c>
      <c r="D26" s="8"/>
      <c r="E26" s="8">
        <f>-'6. UCC_Calculation'!D46</f>
        <v>0</v>
      </c>
      <c r="F26" s="8"/>
      <c r="G26" s="8">
        <f>-'6. UCC_Calculation'!F46</f>
        <v>0</v>
      </c>
      <c r="H26" s="8"/>
      <c r="I26" s="8">
        <f>-'6. UCC_Calculation'!H46</f>
        <v>0</v>
      </c>
      <c r="J26" s="8"/>
      <c r="K26" s="8">
        <f>-'6. UCC_Calculation'!J46</f>
        <v>0</v>
      </c>
      <c r="L26" s="8"/>
      <c r="M26" s="8">
        <f>-'6. UCC_Calculation'!L46</f>
        <v>0</v>
      </c>
      <c r="N26" s="8"/>
      <c r="O26" s="8">
        <f>-'6. UCC_Calculation'!N46</f>
        <v>0</v>
      </c>
      <c r="P26" s="8"/>
      <c r="Q26" s="8">
        <f>-'6. UCC_Calculation'!P46</f>
        <v>0</v>
      </c>
      <c r="R26" s="8"/>
    </row>
    <row r="27" spans="1:18" x14ac:dyDescent="0.2">
      <c r="B27" s="1" t="s">
        <v>367</v>
      </c>
      <c r="C27" s="8">
        <f>-'6. UCC_Calculation'!B75</f>
        <v>0</v>
      </c>
      <c r="D27" s="8"/>
      <c r="E27" s="8">
        <f>-'6. UCC_Calculation'!D75</f>
        <v>0</v>
      </c>
      <c r="F27" s="8"/>
      <c r="G27" s="8">
        <f>-'6. UCC_Calculation'!F75</f>
        <v>0</v>
      </c>
      <c r="H27" s="8"/>
      <c r="I27" s="8">
        <f>-'6. UCC_Calculation'!H75</f>
        <v>0</v>
      </c>
      <c r="J27" s="8"/>
      <c r="K27" s="8">
        <f>-'6. UCC_Calculation'!J75</f>
        <v>-3420.9</v>
      </c>
      <c r="L27" s="8"/>
      <c r="M27" s="8">
        <f>-'6. UCC_Calculation'!L75</f>
        <v>-7912.829999999999</v>
      </c>
      <c r="N27" s="8"/>
      <c r="O27" s="8">
        <f>-'6. UCC_Calculation'!N75</f>
        <v>-7636.2809999999999</v>
      </c>
      <c r="P27" s="8"/>
      <c r="Q27" s="8">
        <f>-'6. UCC_Calculation'!P75</f>
        <v>-5345.3967000000002</v>
      </c>
      <c r="R27" s="8"/>
    </row>
    <row r="28" spans="1:18" x14ac:dyDescent="0.2">
      <c r="B28" s="1" t="s">
        <v>251</v>
      </c>
      <c r="C28" s="8">
        <f>-'6. UCC_Calculation'!B61</f>
        <v>0</v>
      </c>
      <c r="D28" s="8"/>
      <c r="E28" s="8">
        <f>-'6. UCC_Calculation'!D61</f>
        <v>0</v>
      </c>
      <c r="F28" s="8"/>
      <c r="G28" s="8">
        <f>-'6. UCC_Calculation'!F61</f>
        <v>0</v>
      </c>
      <c r="H28" s="8"/>
      <c r="I28" s="8">
        <f>-'6. UCC_Calculation'!H61</f>
        <v>0</v>
      </c>
      <c r="J28" s="8"/>
      <c r="K28" s="8">
        <f>-'6. UCC_Calculation'!J61</f>
        <v>0</v>
      </c>
      <c r="L28" s="8"/>
      <c r="M28" s="8">
        <f>-'6. UCC_Calculation'!L61</f>
        <v>0</v>
      </c>
      <c r="N28" s="8"/>
      <c r="O28" s="8">
        <f>-'6. UCC_Calculation'!N61</f>
        <v>0</v>
      </c>
      <c r="P28" s="8"/>
      <c r="Q28" s="8">
        <f>-'6. UCC_Calculation'!P61</f>
        <v>0</v>
      </c>
      <c r="R28" s="8"/>
    </row>
    <row r="29" spans="1:18" x14ac:dyDescent="0.2">
      <c r="B29" s="1" t="s">
        <v>252</v>
      </c>
      <c r="C29" s="9">
        <f t="shared" ref="C29:Q29" si="0">SUM(C23:C28)</f>
        <v>0</v>
      </c>
      <c r="D29" s="9"/>
      <c r="E29" s="9">
        <f t="shared" si="0"/>
        <v>0</v>
      </c>
      <c r="F29" s="9"/>
      <c r="G29" s="9">
        <f t="shared" si="0"/>
        <v>0</v>
      </c>
      <c r="H29" s="9"/>
      <c r="I29" s="9">
        <f t="shared" si="0"/>
        <v>3460.8022650866606</v>
      </c>
      <c r="J29" s="9"/>
      <c r="K29" s="9">
        <f t="shared" si="0"/>
        <v>6043.9271033333298</v>
      </c>
      <c r="L29" s="9"/>
      <c r="M29" s="9">
        <f t="shared" si="0"/>
        <v>4504.6052746666637</v>
      </c>
      <c r="N29" s="9"/>
      <c r="O29" s="9">
        <f t="shared" si="0"/>
        <v>5901.2272001066622</v>
      </c>
      <c r="Q29" s="9">
        <f t="shared" si="0"/>
        <v>9627.7246956181407</v>
      </c>
    </row>
    <row r="30" spans="1:18" x14ac:dyDescent="0.2">
      <c r="C30" s="18"/>
      <c r="D30" s="18"/>
      <c r="E30" s="18"/>
      <c r="F30" s="18"/>
      <c r="G30" s="18"/>
      <c r="H30" s="18"/>
      <c r="I30" s="18"/>
      <c r="J30" s="18"/>
      <c r="K30" s="18"/>
      <c r="L30" s="18"/>
      <c r="M30" s="18"/>
      <c r="N30" s="18"/>
      <c r="O30" s="18"/>
      <c r="Q30" s="18"/>
    </row>
    <row r="31" spans="1:18" x14ac:dyDescent="0.2">
      <c r="B31" s="1" t="s">
        <v>310</v>
      </c>
      <c r="C31" s="17">
        <f>'3. Cost_of_Service_Parameters'!G40</f>
        <v>0.36120000000000002</v>
      </c>
      <c r="D31" s="17"/>
      <c r="E31" s="17">
        <f>'3. Cost_of_Service_Parameters'!I40</f>
        <v>0.36120000000000002</v>
      </c>
      <c r="F31" s="17"/>
      <c r="G31" s="17">
        <f>'3. Cost_of_Service_Parameters'!K40</f>
        <v>0.33500000000000002</v>
      </c>
      <c r="H31" s="17"/>
      <c r="I31" s="17">
        <f>'3. Cost_of_Service_Parameters'!M40</f>
        <v>0.16500000000000001</v>
      </c>
      <c r="J31" s="17"/>
      <c r="K31" s="17">
        <f>'3. Cost_of_Service_Parameters'!O40</f>
        <v>0.20380000000000001</v>
      </c>
      <c r="L31" s="17"/>
      <c r="M31" s="17">
        <f>'3. Cost_of_Service_Parameters'!Q40</f>
        <v>0.155</v>
      </c>
      <c r="N31" s="17"/>
      <c r="O31" s="17">
        <f>'3. Cost_of_Service_Parameters'!S40</f>
        <v>0.16</v>
      </c>
      <c r="P31" s="17"/>
      <c r="Q31" s="17">
        <f>'3. Cost_of_Service_Parameters'!U40</f>
        <v>0.16</v>
      </c>
      <c r="R31" s="17"/>
    </row>
    <row r="32" spans="1:18" x14ac:dyDescent="0.2">
      <c r="C32" s="17"/>
      <c r="D32" s="17"/>
      <c r="E32" s="17"/>
      <c r="F32" s="17"/>
      <c r="G32" s="17"/>
      <c r="H32" s="17"/>
      <c r="I32" s="17"/>
      <c r="J32" s="17"/>
      <c r="K32" s="17"/>
      <c r="L32" s="17"/>
      <c r="M32" s="17"/>
      <c r="N32" s="17"/>
      <c r="O32" s="17"/>
      <c r="Q32" s="17"/>
    </row>
    <row r="33" spans="1:18" x14ac:dyDescent="0.2">
      <c r="B33" s="1" t="s">
        <v>253</v>
      </c>
      <c r="C33" s="9">
        <f t="shared" ref="C33:O33" si="1">C29*C31</f>
        <v>0</v>
      </c>
      <c r="D33" s="9"/>
      <c r="E33" s="9">
        <f t="shared" si="1"/>
        <v>0</v>
      </c>
      <c r="F33" s="9"/>
      <c r="G33" s="9">
        <f t="shared" si="1"/>
        <v>0</v>
      </c>
      <c r="H33" s="9"/>
      <c r="I33" s="9">
        <f t="shared" si="1"/>
        <v>571.03237373929903</v>
      </c>
      <c r="J33" s="9"/>
      <c r="K33" s="9">
        <f t="shared" si="1"/>
        <v>1231.7523436593326</v>
      </c>
      <c r="L33" s="9"/>
      <c r="M33" s="9">
        <f t="shared" si="1"/>
        <v>698.2138175733329</v>
      </c>
      <c r="N33" s="9"/>
      <c r="O33" s="9">
        <f t="shared" si="1"/>
        <v>944.19635201706592</v>
      </c>
      <c r="Q33" s="9">
        <f>Q29*Q31</f>
        <v>1540.4359512989026</v>
      </c>
    </row>
    <row r="34" spans="1:18" x14ac:dyDescent="0.2">
      <c r="C34" s="10"/>
      <c r="D34" s="10"/>
      <c r="E34" s="10"/>
      <c r="F34" s="10"/>
      <c r="G34" s="10"/>
      <c r="H34" s="10"/>
      <c r="I34" s="10"/>
      <c r="J34" s="10"/>
      <c r="K34" s="10"/>
      <c r="L34" s="10"/>
      <c r="M34" s="10"/>
      <c r="N34" s="10"/>
      <c r="O34" s="10"/>
      <c r="Q34" s="10"/>
    </row>
    <row r="35" spans="1:18" x14ac:dyDescent="0.2">
      <c r="A35" s="3" t="s">
        <v>254</v>
      </c>
      <c r="C35" s="10"/>
      <c r="D35" s="10"/>
      <c r="E35" s="10"/>
      <c r="F35" s="10"/>
      <c r="G35" s="10"/>
      <c r="H35" s="10"/>
      <c r="I35" s="10"/>
      <c r="J35" s="10"/>
      <c r="K35" s="10"/>
      <c r="L35" s="10"/>
      <c r="M35" s="10"/>
      <c r="N35" s="10"/>
      <c r="O35" s="10"/>
      <c r="Q35" s="10"/>
    </row>
    <row r="36" spans="1:18" x14ac:dyDescent="0.2">
      <c r="B36" s="4" t="s">
        <v>93</v>
      </c>
      <c r="C36" s="8">
        <f>'4. SM_Assets_and_Rate_Base'!G35</f>
        <v>0</v>
      </c>
      <c r="D36" s="8"/>
      <c r="E36" s="8">
        <f>'4. SM_Assets_and_Rate_Base'!I35</f>
        <v>0</v>
      </c>
      <c r="F36" s="8"/>
      <c r="G36" s="8">
        <f>'4. SM_Assets_and_Rate_Base'!K35</f>
        <v>0</v>
      </c>
      <c r="H36" s="8"/>
      <c r="I36" s="8">
        <f>'4. SM_Assets_and_Rate_Base'!M35</f>
        <v>327171.23333333334</v>
      </c>
      <c r="J36" s="8"/>
      <c r="K36" s="8">
        <f>'4. SM_Assets_and_Rate_Base'!O35</f>
        <v>482910.33333333331</v>
      </c>
      <c r="L36" s="8"/>
      <c r="M36" s="8">
        <f>'4. SM_Assets_and_Rate_Base'!Q35</f>
        <v>452730.66666666663</v>
      </c>
      <c r="N36" s="8"/>
      <c r="O36" s="8">
        <f>'4. SM_Assets_and_Rate_Base'!S35</f>
        <v>417547.6</v>
      </c>
      <c r="P36" s="8"/>
      <c r="Q36" s="8">
        <f>'4. SM_Assets_and_Rate_Base'!U35</f>
        <v>382364.53333333333</v>
      </c>
      <c r="R36" s="8"/>
    </row>
    <row r="37" spans="1:18" x14ac:dyDescent="0.2">
      <c r="B37" s="4" t="s">
        <v>15</v>
      </c>
      <c r="C37" s="8">
        <f>'4. SM_Assets_and_Rate_Base'!G54</f>
        <v>0</v>
      </c>
      <c r="D37" s="8"/>
      <c r="E37" s="8">
        <f>'4. SM_Assets_and_Rate_Base'!I54</f>
        <v>0</v>
      </c>
      <c r="F37" s="8"/>
      <c r="G37" s="8">
        <f>'4. SM_Assets_and_Rate_Base'!K54</f>
        <v>0</v>
      </c>
      <c r="H37" s="8"/>
      <c r="I37" s="8">
        <f>'4. SM_Assets_and_Rate_Base'!M54</f>
        <v>0</v>
      </c>
      <c r="J37" s="8"/>
      <c r="K37" s="8">
        <f>'4. SM_Assets_and_Rate_Base'!O54</f>
        <v>0</v>
      </c>
      <c r="L37" s="8"/>
      <c r="M37" s="8">
        <f>'4. SM_Assets_and_Rate_Base'!Q54</f>
        <v>0</v>
      </c>
      <c r="N37" s="8"/>
      <c r="O37" s="8">
        <f>'4. SM_Assets_and_Rate_Base'!S54</f>
        <v>0</v>
      </c>
      <c r="P37" s="8"/>
      <c r="Q37" s="8">
        <f>'4. SM_Assets_and_Rate_Base'!U54</f>
        <v>0</v>
      </c>
      <c r="R37" s="8"/>
    </row>
    <row r="38" spans="1:18" ht="25.5" x14ac:dyDescent="0.2">
      <c r="B38" s="207" t="s">
        <v>370</v>
      </c>
      <c r="C38" s="208">
        <f>'4. SM_Assets_and_Rate_Base'!G73</f>
        <v>0</v>
      </c>
      <c r="D38" s="208"/>
      <c r="E38" s="208">
        <f>'4. SM_Assets_and_Rate_Base'!I73</f>
        <v>0</v>
      </c>
      <c r="F38" s="208"/>
      <c r="G38" s="208">
        <f>'4. SM_Assets_and_Rate_Base'!K73</f>
        <v>0</v>
      </c>
      <c r="H38" s="208"/>
      <c r="I38" s="208">
        <f>'4. SM_Assets_and_Rate_Base'!M73</f>
        <v>0</v>
      </c>
      <c r="J38" s="208"/>
      <c r="K38" s="208">
        <f>'4. SM_Assets_and_Rate_Base'!O73</f>
        <v>25086</v>
      </c>
      <c r="L38" s="208"/>
      <c r="M38" s="208">
        <f>'4. SM_Assets_and_Rate_Base'!Q73</f>
        <v>42746</v>
      </c>
      <c r="N38" s="208"/>
      <c r="O38" s="208">
        <f>'4. SM_Assets_and_Rate_Base'!S73</f>
        <v>46424</v>
      </c>
      <c r="P38" s="11"/>
      <c r="Q38" s="208">
        <f>'4. SM_Assets_and_Rate_Base'!U73</f>
        <v>50102</v>
      </c>
      <c r="R38" s="11"/>
    </row>
    <row r="39" spans="1:18" x14ac:dyDescent="0.2">
      <c r="B39" s="4" t="s">
        <v>18</v>
      </c>
      <c r="C39" s="11">
        <f>'4. SM_Assets_and_Rate_Base'!G92</f>
        <v>0</v>
      </c>
      <c r="D39" s="11"/>
      <c r="E39" s="11">
        <f>'4. SM_Assets_and_Rate_Base'!I92</f>
        <v>0</v>
      </c>
      <c r="F39" s="11"/>
      <c r="G39" s="11">
        <f>'4. SM_Assets_and_Rate_Base'!K92</f>
        <v>0</v>
      </c>
      <c r="H39" s="11"/>
      <c r="I39" s="11">
        <f>'4. SM_Assets_and_Rate_Base'!M92</f>
        <v>0</v>
      </c>
      <c r="J39" s="11"/>
      <c r="K39" s="11">
        <f>'4. SM_Assets_and_Rate_Base'!O92</f>
        <v>0</v>
      </c>
      <c r="L39" s="11"/>
      <c r="M39" s="11">
        <f>'4. SM_Assets_and_Rate_Base'!Q92</f>
        <v>0</v>
      </c>
      <c r="N39" s="11"/>
      <c r="O39" s="11">
        <f>'4. SM_Assets_and_Rate_Base'!S92</f>
        <v>0</v>
      </c>
      <c r="P39" s="11"/>
      <c r="Q39" s="11">
        <f>'4. SM_Assets_and_Rate_Base'!U92</f>
        <v>0</v>
      </c>
      <c r="R39" s="11"/>
    </row>
    <row r="40" spans="1:18" x14ac:dyDescent="0.2">
      <c r="B40" s="4" t="s">
        <v>17</v>
      </c>
      <c r="C40" s="12">
        <f>'4. SM_Assets_and_Rate_Base'!G111</f>
        <v>0</v>
      </c>
      <c r="D40" s="12"/>
      <c r="E40" s="12">
        <f>'4. SM_Assets_and_Rate_Base'!I111</f>
        <v>0</v>
      </c>
      <c r="F40" s="12"/>
      <c r="G40" s="12">
        <f>'4. SM_Assets_and_Rate_Base'!K111</f>
        <v>0</v>
      </c>
      <c r="H40" s="12"/>
      <c r="I40" s="12">
        <f>'4. SM_Assets_and_Rate_Base'!M111</f>
        <v>1367</v>
      </c>
      <c r="J40" s="12"/>
      <c r="K40" s="12">
        <f>'4. SM_Assets_and_Rate_Base'!O111</f>
        <v>1491</v>
      </c>
      <c r="L40" s="12"/>
      <c r="M40" s="12">
        <f>'4. SM_Assets_and_Rate_Base'!Q111</f>
        <v>1615</v>
      </c>
      <c r="N40" s="12"/>
      <c r="O40" s="12">
        <f>'4. SM_Assets_and_Rate_Base'!S111</f>
        <v>1739</v>
      </c>
      <c r="P40" s="11"/>
      <c r="Q40" s="12">
        <f>'4. SM_Assets_and_Rate_Base'!U111</f>
        <v>1863</v>
      </c>
      <c r="R40" s="11"/>
    </row>
    <row r="41" spans="1:18" x14ac:dyDescent="0.2">
      <c r="B41" s="1" t="s">
        <v>255</v>
      </c>
      <c r="C41" s="13">
        <f>SUM(C36:C40)</f>
        <v>0</v>
      </c>
      <c r="D41" s="13"/>
      <c r="E41" s="13">
        <f>SUM(E36:E40)</f>
        <v>0</v>
      </c>
      <c r="F41" s="13"/>
      <c r="G41" s="13">
        <f>SUM(G36:G40)</f>
        <v>0</v>
      </c>
      <c r="H41" s="13"/>
      <c r="I41" s="13">
        <f>SUM(I36:I40)</f>
        <v>328538.23333333334</v>
      </c>
      <c r="J41" s="13"/>
      <c r="K41" s="13">
        <f>SUM(K36:K40)</f>
        <v>509487.33333333331</v>
      </c>
      <c r="L41" s="13"/>
      <c r="M41" s="13">
        <f>SUM(M36:M40)</f>
        <v>497091.66666666663</v>
      </c>
      <c r="N41" s="13"/>
      <c r="O41" s="13">
        <f>SUM(O36:O40)</f>
        <v>465710.6</v>
      </c>
      <c r="Q41" s="13">
        <f>SUM(Q36:Q40)</f>
        <v>434329.53333333333</v>
      </c>
    </row>
    <row r="42" spans="1:18" x14ac:dyDescent="0.2">
      <c r="B42" s="1" t="s">
        <v>256</v>
      </c>
      <c r="C42" s="345"/>
      <c r="D42" s="13"/>
      <c r="E42" s="345"/>
      <c r="F42" s="13"/>
      <c r="G42" s="345"/>
      <c r="H42" s="13"/>
      <c r="I42" s="345"/>
      <c r="J42" s="13"/>
      <c r="K42" s="345"/>
      <c r="L42" s="13"/>
      <c r="M42" s="345"/>
      <c r="N42" s="13"/>
      <c r="O42" s="345"/>
      <c r="P42" s="13"/>
      <c r="Q42" s="345"/>
      <c r="R42" s="13"/>
    </row>
    <row r="43" spans="1:18" x14ac:dyDescent="0.2">
      <c r="B43" s="1" t="s">
        <v>257</v>
      </c>
      <c r="C43" s="9">
        <f t="shared" ref="C43:Q43" si="2">C41-C42</f>
        <v>0</v>
      </c>
      <c r="D43" s="9"/>
      <c r="E43" s="9">
        <f t="shared" si="2"/>
        <v>0</v>
      </c>
      <c r="F43" s="9"/>
      <c r="G43" s="9">
        <f t="shared" si="2"/>
        <v>0</v>
      </c>
      <c r="H43" s="9"/>
      <c r="I43" s="9">
        <f t="shared" si="2"/>
        <v>328538.23333333334</v>
      </c>
      <c r="J43" s="9"/>
      <c r="K43" s="9">
        <f t="shared" si="2"/>
        <v>509487.33333333331</v>
      </c>
      <c r="L43" s="9"/>
      <c r="M43" s="9">
        <f t="shared" si="2"/>
        <v>497091.66666666663</v>
      </c>
      <c r="N43" s="9"/>
      <c r="O43" s="9">
        <f t="shared" si="2"/>
        <v>465710.6</v>
      </c>
      <c r="Q43" s="9">
        <f t="shared" si="2"/>
        <v>434329.53333333333</v>
      </c>
    </row>
    <row r="44" spans="1:18" x14ac:dyDescent="0.2">
      <c r="C44" s="18"/>
      <c r="D44" s="18"/>
      <c r="E44" s="18"/>
      <c r="F44" s="18"/>
      <c r="G44" s="18"/>
      <c r="H44" s="18"/>
      <c r="I44" s="18"/>
      <c r="J44" s="18"/>
      <c r="K44" s="18"/>
      <c r="L44" s="18"/>
      <c r="M44" s="18"/>
      <c r="N44" s="18"/>
      <c r="O44" s="18"/>
      <c r="Q44" s="18"/>
    </row>
    <row r="45" spans="1:18" x14ac:dyDescent="0.2">
      <c r="B45" s="1" t="s">
        <v>311</v>
      </c>
      <c r="C45" s="27">
        <f>'3. Cost_of_Service_Parameters'!G41</f>
        <v>3.0000000000000001E-3</v>
      </c>
      <c r="D45" s="27"/>
      <c r="E45" s="27">
        <f>'3. Cost_of_Service_Parameters'!I41</f>
        <v>2.2499999999999998E-3</v>
      </c>
      <c r="F45" s="138"/>
      <c r="G45" s="27">
        <f>'3. Cost_of_Service_Parameters'!K41</f>
        <v>2.2499999999999998E-3</v>
      </c>
      <c r="H45" s="138"/>
      <c r="I45" s="27">
        <f>'3. Cost_of_Service_Parameters'!M41</f>
        <v>2.2499999999999998E-3</v>
      </c>
      <c r="J45" s="138"/>
      <c r="K45" s="27">
        <f>'3. Cost_of_Service_Parameters'!O41</f>
        <v>7.5000000000000002E-4</v>
      </c>
      <c r="L45" s="138"/>
      <c r="M45" s="27">
        <f>'3. Cost_of_Service_Parameters'!Q41</f>
        <v>0</v>
      </c>
      <c r="N45" s="27"/>
      <c r="O45" s="27">
        <f>'3. Cost_of_Service_Parameters'!S41</f>
        <v>0</v>
      </c>
      <c r="Q45" s="27">
        <f>'3. Cost_of_Service_Parameters'!U41</f>
        <v>0</v>
      </c>
    </row>
    <row r="46" spans="1:18" x14ac:dyDescent="0.2">
      <c r="C46" s="14"/>
      <c r="D46" s="14"/>
      <c r="E46" s="139"/>
      <c r="F46" s="139"/>
      <c r="G46" s="139"/>
      <c r="H46" s="139"/>
      <c r="I46" s="139"/>
      <c r="J46" s="139"/>
      <c r="K46" s="139"/>
      <c r="L46" s="139"/>
      <c r="M46" s="14"/>
      <c r="N46" s="14"/>
      <c r="O46" s="14"/>
      <c r="Q46" s="14"/>
    </row>
    <row r="47" spans="1:18" x14ac:dyDescent="0.2">
      <c r="B47" s="1" t="s">
        <v>258</v>
      </c>
      <c r="C47" s="9">
        <f t="shared" ref="C47:O47" si="3">C43*C45</f>
        <v>0</v>
      </c>
      <c r="D47" s="9"/>
      <c r="E47" s="9">
        <f t="shared" si="3"/>
        <v>0</v>
      </c>
      <c r="F47" s="9"/>
      <c r="G47" s="9">
        <f t="shared" si="3"/>
        <v>0</v>
      </c>
      <c r="H47" s="9"/>
      <c r="I47" s="9">
        <f t="shared" si="3"/>
        <v>739.21102499999995</v>
      </c>
      <c r="J47" s="9"/>
      <c r="K47" s="9">
        <f t="shared" si="3"/>
        <v>382.1155</v>
      </c>
      <c r="L47" s="9"/>
      <c r="M47" s="9">
        <f t="shared" si="3"/>
        <v>0</v>
      </c>
      <c r="N47" s="9"/>
      <c r="O47" s="9">
        <f t="shared" si="3"/>
        <v>0</v>
      </c>
      <c r="Q47" s="9">
        <f>Q43*Q45</f>
        <v>0</v>
      </c>
    </row>
    <row r="48" spans="1:18" x14ac:dyDescent="0.2">
      <c r="C48" s="10"/>
      <c r="D48" s="10"/>
      <c r="E48" s="10"/>
      <c r="F48" s="10"/>
      <c r="G48" s="10"/>
      <c r="H48" s="10"/>
      <c r="I48" s="10"/>
      <c r="J48" s="10"/>
      <c r="K48" s="10"/>
      <c r="L48" s="10"/>
      <c r="M48" s="10"/>
      <c r="N48" s="10"/>
      <c r="O48" s="10"/>
      <c r="Q48" s="10"/>
    </row>
    <row r="49" spans="1:17" x14ac:dyDescent="0.2">
      <c r="C49" s="10"/>
      <c r="D49" s="10"/>
      <c r="E49" s="10"/>
      <c r="F49" s="10"/>
      <c r="G49" s="10"/>
      <c r="H49" s="10"/>
      <c r="I49" s="10"/>
      <c r="J49" s="10"/>
      <c r="K49" s="10"/>
      <c r="L49" s="10"/>
      <c r="M49" s="10"/>
      <c r="N49" s="10"/>
      <c r="O49" s="10"/>
      <c r="Q49" s="10"/>
    </row>
    <row r="50" spans="1:17" x14ac:dyDescent="0.2">
      <c r="B50" s="1" t="s">
        <v>259</v>
      </c>
      <c r="C50" s="13">
        <f t="shared" ref="C50:O50" si="4">C33</f>
        <v>0</v>
      </c>
      <c r="D50" s="13"/>
      <c r="E50" s="13">
        <f t="shared" si="4"/>
        <v>0</v>
      </c>
      <c r="F50" s="13"/>
      <c r="G50" s="13">
        <f t="shared" si="4"/>
        <v>0</v>
      </c>
      <c r="H50" s="13"/>
      <c r="I50" s="13">
        <f t="shared" si="4"/>
        <v>571.03237373929903</v>
      </c>
      <c r="J50" s="13"/>
      <c r="K50" s="13">
        <f t="shared" si="4"/>
        <v>1231.7523436593326</v>
      </c>
      <c r="L50" s="13"/>
      <c r="M50" s="13">
        <f t="shared" si="4"/>
        <v>698.2138175733329</v>
      </c>
      <c r="N50" s="13"/>
      <c r="O50" s="13">
        <f t="shared" si="4"/>
        <v>944.19635201706592</v>
      </c>
      <c r="Q50" s="13">
        <f>Q33</f>
        <v>1540.4359512989026</v>
      </c>
    </row>
    <row r="51" spans="1:17" x14ac:dyDescent="0.2">
      <c r="B51" s="1" t="s">
        <v>260</v>
      </c>
      <c r="C51" s="13">
        <f t="shared" ref="C51:O51" si="5">C47</f>
        <v>0</v>
      </c>
      <c r="D51" s="13"/>
      <c r="E51" s="13">
        <f t="shared" si="5"/>
        <v>0</v>
      </c>
      <c r="F51" s="13"/>
      <c r="G51" s="13">
        <f t="shared" si="5"/>
        <v>0</v>
      </c>
      <c r="H51" s="13"/>
      <c r="I51" s="13">
        <f t="shared" si="5"/>
        <v>739.21102499999995</v>
      </c>
      <c r="J51" s="13"/>
      <c r="K51" s="13">
        <f t="shared" si="5"/>
        <v>382.1155</v>
      </c>
      <c r="L51" s="13"/>
      <c r="M51" s="13">
        <f t="shared" si="5"/>
        <v>0</v>
      </c>
      <c r="N51" s="13"/>
      <c r="O51" s="13">
        <f t="shared" si="5"/>
        <v>0</v>
      </c>
      <c r="Q51" s="13">
        <f>Q47</f>
        <v>0</v>
      </c>
    </row>
    <row r="52" spans="1:17" x14ac:dyDescent="0.2">
      <c r="B52" s="1" t="s">
        <v>358</v>
      </c>
      <c r="C52" s="9">
        <f t="shared" ref="C52:Q52" si="6">SUM(C50:C51)</f>
        <v>0</v>
      </c>
      <c r="D52" s="9"/>
      <c r="E52" s="9">
        <f t="shared" si="6"/>
        <v>0</v>
      </c>
      <c r="F52" s="9"/>
      <c r="G52" s="9">
        <f t="shared" si="6"/>
        <v>0</v>
      </c>
      <c r="H52" s="9"/>
      <c r="I52" s="9">
        <f t="shared" si="6"/>
        <v>1310.243398739299</v>
      </c>
      <c r="J52" s="9"/>
      <c r="K52" s="9">
        <f t="shared" si="6"/>
        <v>1613.8678436593327</v>
      </c>
      <c r="L52" s="9"/>
      <c r="M52" s="9">
        <f t="shared" si="6"/>
        <v>698.2138175733329</v>
      </c>
      <c r="N52" s="9"/>
      <c r="O52" s="9">
        <f t="shared" si="6"/>
        <v>944.19635201706592</v>
      </c>
      <c r="Q52" s="9">
        <f t="shared" si="6"/>
        <v>1540.4359512989026</v>
      </c>
    </row>
    <row r="53" spans="1:17" x14ac:dyDescent="0.2">
      <c r="C53" s="10"/>
      <c r="D53" s="10"/>
      <c r="E53" s="10"/>
      <c r="F53" s="10"/>
      <c r="G53" s="10"/>
      <c r="H53" s="10"/>
      <c r="I53" s="10"/>
      <c r="J53" s="10"/>
      <c r="K53" s="10"/>
      <c r="L53" s="10"/>
      <c r="M53" s="10"/>
      <c r="N53" s="10"/>
      <c r="O53" s="10"/>
      <c r="Q53" s="10"/>
    </row>
    <row r="54" spans="1:17" x14ac:dyDescent="0.2">
      <c r="C54" s="10"/>
      <c r="D54" s="10"/>
      <c r="E54" s="10"/>
      <c r="F54" s="10"/>
      <c r="G54" s="10"/>
      <c r="H54" s="10"/>
      <c r="I54" s="10"/>
      <c r="J54" s="10"/>
      <c r="K54" s="10"/>
      <c r="L54" s="10"/>
      <c r="M54" s="10"/>
      <c r="N54" s="10"/>
      <c r="O54" s="10"/>
      <c r="Q54" s="10"/>
    </row>
    <row r="55" spans="1:17" ht="15.75" x14ac:dyDescent="0.25">
      <c r="A55" s="5" t="s">
        <v>275</v>
      </c>
      <c r="C55" s="15"/>
      <c r="D55" s="15"/>
      <c r="E55" s="15"/>
      <c r="F55" s="15"/>
      <c r="G55" s="15"/>
      <c r="H55" s="15"/>
      <c r="I55" s="15"/>
      <c r="J55" s="15"/>
      <c r="K55" s="15"/>
      <c r="L55" s="15"/>
      <c r="M55" s="15"/>
      <c r="N55" s="15"/>
      <c r="O55" s="15"/>
      <c r="Q55" s="15"/>
    </row>
    <row r="56" spans="1:17" x14ac:dyDescent="0.2">
      <c r="B56" s="1" t="s">
        <v>276</v>
      </c>
      <c r="C56" s="140">
        <f>C31</f>
        <v>0.36120000000000002</v>
      </c>
      <c r="D56" s="140"/>
      <c r="E56" s="140">
        <f t="shared" ref="E56:O56" si="7">E31</f>
        <v>0.36120000000000002</v>
      </c>
      <c r="F56" s="140"/>
      <c r="G56" s="140">
        <f t="shared" si="7"/>
        <v>0.33500000000000002</v>
      </c>
      <c r="H56" s="140"/>
      <c r="I56" s="140">
        <f t="shared" si="7"/>
        <v>0.16500000000000001</v>
      </c>
      <c r="J56" s="140"/>
      <c r="K56" s="140">
        <f t="shared" si="7"/>
        <v>0.20380000000000001</v>
      </c>
      <c r="L56" s="140"/>
      <c r="M56" s="140">
        <f t="shared" si="7"/>
        <v>0.155</v>
      </c>
      <c r="N56" s="140"/>
      <c r="O56" s="140">
        <f t="shared" si="7"/>
        <v>0.16</v>
      </c>
      <c r="Q56" s="140">
        <f>Q31</f>
        <v>0.16</v>
      </c>
    </row>
    <row r="57" spans="1:17" x14ac:dyDescent="0.2">
      <c r="B57" s="1" t="s">
        <v>259</v>
      </c>
      <c r="C57" s="13">
        <f t="shared" ref="C57:Q57" si="8">C50/(1-C56)</f>
        <v>0</v>
      </c>
      <c r="D57" s="13"/>
      <c r="E57" s="13">
        <f t="shared" si="8"/>
        <v>0</v>
      </c>
      <c r="F57" s="13"/>
      <c r="G57" s="13">
        <f t="shared" si="8"/>
        <v>0</v>
      </c>
      <c r="H57" s="13"/>
      <c r="I57" s="13">
        <f t="shared" si="8"/>
        <v>683.8711062746097</v>
      </c>
      <c r="J57" s="13"/>
      <c r="K57" s="13">
        <f t="shared" si="8"/>
        <v>1547.0388641790159</v>
      </c>
      <c r="L57" s="13"/>
      <c r="M57" s="13">
        <f t="shared" si="8"/>
        <v>826.2885415069029</v>
      </c>
      <c r="N57" s="13"/>
      <c r="O57" s="13">
        <f t="shared" si="8"/>
        <v>1124.0432762107928</v>
      </c>
      <c r="Q57" s="13">
        <f t="shared" si="8"/>
        <v>1833.8523229748841</v>
      </c>
    </row>
    <row r="58" spans="1:17" x14ac:dyDescent="0.2">
      <c r="B58" s="1" t="s">
        <v>260</v>
      </c>
      <c r="C58" s="13">
        <f t="shared" ref="C58:O58" si="9">C51</f>
        <v>0</v>
      </c>
      <c r="D58" s="13"/>
      <c r="E58" s="13">
        <f t="shared" si="9"/>
        <v>0</v>
      </c>
      <c r="F58" s="13"/>
      <c r="G58" s="13">
        <f t="shared" si="9"/>
        <v>0</v>
      </c>
      <c r="H58" s="13"/>
      <c r="I58" s="13">
        <f t="shared" si="9"/>
        <v>739.21102499999995</v>
      </c>
      <c r="J58" s="13"/>
      <c r="K58" s="13">
        <f t="shared" si="9"/>
        <v>382.1155</v>
      </c>
      <c r="L58" s="13"/>
      <c r="M58" s="13">
        <f t="shared" si="9"/>
        <v>0</v>
      </c>
      <c r="N58" s="13"/>
      <c r="O58" s="13">
        <f t="shared" si="9"/>
        <v>0</v>
      </c>
      <c r="Q58" s="13">
        <f>Q51</f>
        <v>0</v>
      </c>
    </row>
    <row r="59" spans="1:17" x14ac:dyDescent="0.2">
      <c r="B59" s="1" t="s">
        <v>358</v>
      </c>
      <c r="C59" s="16">
        <f t="shared" ref="C59:Q59" si="10">SUM(C57:C58)</f>
        <v>0</v>
      </c>
      <c r="D59" s="16"/>
      <c r="E59" s="16">
        <f t="shared" si="10"/>
        <v>0</v>
      </c>
      <c r="F59" s="16"/>
      <c r="G59" s="16">
        <f t="shared" si="10"/>
        <v>0</v>
      </c>
      <c r="H59" s="16"/>
      <c r="I59" s="16">
        <f t="shared" si="10"/>
        <v>1423.0821312746098</v>
      </c>
      <c r="J59" s="16"/>
      <c r="K59" s="16">
        <f t="shared" si="10"/>
        <v>1929.1543641790158</v>
      </c>
      <c r="L59" s="16"/>
      <c r="M59" s="16">
        <f t="shared" si="10"/>
        <v>826.2885415069029</v>
      </c>
      <c r="N59" s="16"/>
      <c r="O59" s="16">
        <f t="shared" si="10"/>
        <v>1124.0432762107928</v>
      </c>
      <c r="Q59" s="16">
        <f t="shared" si="10"/>
        <v>1833.8523229748841</v>
      </c>
    </row>
  </sheetData>
  <sheetProtection password="C2FC" sheet="1" objects="1" scenarios="1"/>
  <phoneticPr fontId="7" type="noConversion"/>
  <pageMargins left="0.75" right="0.75" top="1" bottom="1" header="0.5" footer="0.5"/>
  <pageSetup scale="60"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B13:P157"/>
  <sheetViews>
    <sheetView showGridLines="0" topLeftCell="A15" zoomScale="80" zoomScaleNormal="100" workbookViewId="0">
      <selection activeCell="A15" sqref="A15"/>
    </sheetView>
  </sheetViews>
  <sheetFormatPr defaultColWidth="9.140625" defaultRowHeight="12.75" x14ac:dyDescent="0.2"/>
  <cols>
    <col min="1" max="1" width="1.85546875" style="31" customWidth="1"/>
    <col min="2" max="2" width="14.5703125" style="65" customWidth="1"/>
    <col min="3" max="3" width="20" style="65" customWidth="1"/>
    <col min="4" max="4" width="8.85546875" style="31" customWidth="1"/>
    <col min="5" max="5" width="0.7109375" style="31" customWidth="1"/>
    <col min="6" max="6" width="9.42578125" style="31" bestFit="1" customWidth="1"/>
    <col min="7" max="7" width="6.140625" style="120" customWidth="1"/>
    <col min="8" max="8" width="7.42578125" style="120" customWidth="1"/>
    <col min="9" max="9" width="8.5703125" style="31" hidden="1" customWidth="1"/>
    <col min="10" max="10" width="18.7109375" style="31" customWidth="1"/>
    <col min="11" max="11" width="17.5703125" style="31" customWidth="1"/>
    <col min="12" max="12" width="8.7109375" style="31" customWidth="1"/>
    <col min="13" max="13" width="13.7109375" style="31" customWidth="1"/>
    <col min="14" max="15" width="15.7109375" style="31" customWidth="1"/>
    <col min="16" max="16" width="17.5703125" style="31" customWidth="1"/>
    <col min="17" max="16384" width="9.140625" style="31"/>
  </cols>
  <sheetData>
    <row r="13" spans="2:14" ht="18" customHeight="1" x14ac:dyDescent="0.2">
      <c r="B13" s="369" t="s">
        <v>456</v>
      </c>
      <c r="C13" s="369"/>
      <c r="D13" s="369"/>
      <c r="E13" s="369"/>
      <c r="F13" s="369"/>
      <c r="G13" s="369"/>
      <c r="H13" s="369"/>
      <c r="I13" s="369"/>
      <c r="J13" s="369"/>
      <c r="K13" s="369"/>
      <c r="L13" s="369"/>
      <c r="M13" s="369"/>
      <c r="N13" s="369"/>
    </row>
    <row r="19" spans="2:16" x14ac:dyDescent="0.2">
      <c r="F19" s="375"/>
      <c r="G19" s="375"/>
      <c r="H19" s="375"/>
      <c r="I19" s="375"/>
      <c r="J19" s="375"/>
      <c r="K19" s="375"/>
      <c r="L19" s="375"/>
      <c r="M19" s="375"/>
      <c r="N19" s="375"/>
      <c r="O19" s="375"/>
      <c r="P19" s="375"/>
    </row>
    <row r="20" spans="2:16" x14ac:dyDescent="0.2">
      <c r="J20" s="39" t="s">
        <v>144</v>
      </c>
    </row>
    <row r="21" spans="2:16" x14ac:dyDescent="0.2">
      <c r="I21" s="142"/>
      <c r="K21" s="39"/>
      <c r="L21" s="39"/>
      <c r="M21" s="39"/>
      <c r="N21" s="39"/>
      <c r="O21" s="39"/>
      <c r="P21" s="39"/>
    </row>
    <row r="22" spans="2:16" ht="39.75" customHeight="1" x14ac:dyDescent="0.2">
      <c r="B22" s="36" t="s">
        <v>150</v>
      </c>
      <c r="C22" s="143" t="s">
        <v>151</v>
      </c>
      <c r="D22" s="144" t="s">
        <v>152</v>
      </c>
      <c r="E22" s="91"/>
      <c r="F22" s="271" t="s">
        <v>143</v>
      </c>
      <c r="G22" s="270" t="s">
        <v>148</v>
      </c>
      <c r="H22" s="270" t="s">
        <v>147</v>
      </c>
      <c r="I22" s="146"/>
      <c r="J22" s="144" t="s">
        <v>335</v>
      </c>
      <c r="K22" s="144" t="s">
        <v>145</v>
      </c>
      <c r="L22" s="144" t="s">
        <v>146</v>
      </c>
      <c r="M22" s="36" t="s">
        <v>181</v>
      </c>
      <c r="N22" s="143" t="s">
        <v>103</v>
      </c>
      <c r="O22" s="143" t="s">
        <v>184</v>
      </c>
      <c r="P22" s="144" t="s">
        <v>316</v>
      </c>
    </row>
    <row r="23" spans="2:16" ht="12" customHeight="1" thickBot="1" x14ac:dyDescent="0.25">
      <c r="B23" s="147"/>
      <c r="C23" s="148"/>
      <c r="D23" s="144"/>
      <c r="E23" s="149"/>
      <c r="F23" s="36"/>
      <c r="G23" s="145"/>
      <c r="H23" s="145"/>
      <c r="I23" s="146"/>
      <c r="J23" s="143"/>
      <c r="K23" s="143"/>
      <c r="L23" s="143"/>
      <c r="M23" s="36"/>
      <c r="N23" s="143"/>
      <c r="O23" s="143"/>
      <c r="P23" s="36"/>
    </row>
    <row r="24" spans="2:16" ht="13.5" thickBot="1" x14ac:dyDescent="0.25">
      <c r="B24" s="65" t="s">
        <v>153</v>
      </c>
      <c r="E24" s="150"/>
      <c r="F24" s="151">
        <v>38718</v>
      </c>
      <c r="G24" s="152">
        <f>YEAR(F24)</f>
        <v>2006</v>
      </c>
      <c r="H24" s="152" t="str">
        <f>IF(MONTH(F24)=0,"",IF(MONTH(F24)&lt;4,"Q1",IF(MONTH(F24)&lt;7,"Q2",IF(MONTH(F24)&lt;10,"Q3","Q4"))))</f>
        <v>Q1</v>
      </c>
      <c r="I24" s="153" t="str">
        <f>CONCATENATE(G24," ",H24)</f>
        <v>2006 Q1</v>
      </c>
      <c r="J24" s="154">
        <v>0</v>
      </c>
      <c r="K24" s="346"/>
      <c r="L24" s="155">
        <f t="shared" ref="L24:L55" si="0">VLOOKUP(I24,$B$22:$D$55,2)</f>
        <v>0</v>
      </c>
      <c r="M24" s="154">
        <f>ROUND(J24*L24/12,2)</f>
        <v>0</v>
      </c>
      <c r="N24" s="156">
        <f>J24+K24+M24</f>
        <v>0</v>
      </c>
      <c r="O24" s="156"/>
      <c r="P24" s="347"/>
    </row>
    <row r="25" spans="2:16" ht="13.5" thickBot="1" x14ac:dyDescent="0.25">
      <c r="B25" s="65" t="s">
        <v>154</v>
      </c>
      <c r="C25" s="157">
        <v>4.1399999999999999E-2</v>
      </c>
      <c r="D25" s="157">
        <v>4.6800000000000001E-2</v>
      </c>
      <c r="E25" s="150"/>
      <c r="F25" s="151">
        <v>38749</v>
      </c>
      <c r="G25" s="152">
        <f t="shared" ref="G25:G88" si="1">YEAR(F25)</f>
        <v>2006</v>
      </c>
      <c r="H25" s="152" t="str">
        <f t="shared" ref="H25:H88" si="2">IF(MONTH(F25)=0,"",IF(MONTH(F25)&lt;4,"Q1",IF(MONTH(F25)&lt;7,"Q2",IF(MONTH(F25)&lt;10,"Q3","Q4"))))</f>
        <v>Q1</v>
      </c>
      <c r="I25" s="153" t="str">
        <f t="shared" ref="I25:I88" si="3">CONCATENATE(G25," ",H25)</f>
        <v>2006 Q1</v>
      </c>
      <c r="J25" s="154">
        <f>J24+K24</f>
        <v>0</v>
      </c>
      <c r="K25" s="346"/>
      <c r="L25" s="155">
        <f t="shared" si="0"/>
        <v>0</v>
      </c>
      <c r="M25" s="154">
        <f t="shared" ref="M25:M88" si="4">ROUND(J25*L25/12,2)</f>
        <v>0</v>
      </c>
      <c r="N25" s="156">
        <f t="shared" ref="N25:N88" si="5">J25+K25+M25</f>
        <v>0</v>
      </c>
      <c r="O25" s="156"/>
      <c r="P25" s="347"/>
    </row>
    <row r="26" spans="2:16" ht="13.5" thickBot="1" x14ac:dyDescent="0.25">
      <c r="B26" s="65" t="s">
        <v>155</v>
      </c>
      <c r="C26" s="157">
        <v>4.5900000000000003E-2</v>
      </c>
      <c r="D26" s="157">
        <v>5.0500000000000003E-2</v>
      </c>
      <c r="E26" s="150"/>
      <c r="F26" s="151">
        <v>38777</v>
      </c>
      <c r="G26" s="152">
        <f t="shared" si="1"/>
        <v>2006</v>
      </c>
      <c r="H26" s="152" t="str">
        <f t="shared" si="2"/>
        <v>Q1</v>
      </c>
      <c r="I26" s="153" t="str">
        <f t="shared" si="3"/>
        <v>2006 Q1</v>
      </c>
      <c r="J26" s="154">
        <f t="shared" ref="J26:J89" si="6">J25+K25</f>
        <v>0</v>
      </c>
      <c r="K26" s="346"/>
      <c r="L26" s="155">
        <f t="shared" si="0"/>
        <v>0</v>
      </c>
      <c r="M26" s="154">
        <f t="shared" si="4"/>
        <v>0</v>
      </c>
      <c r="N26" s="156">
        <f t="shared" si="5"/>
        <v>0</v>
      </c>
      <c r="O26" s="156"/>
      <c r="P26" s="347"/>
    </row>
    <row r="27" spans="2:16" ht="13.5" thickBot="1" x14ac:dyDescent="0.25">
      <c r="B27" s="65" t="s">
        <v>156</v>
      </c>
      <c r="C27" s="157">
        <v>4.5900000000000003E-2</v>
      </c>
      <c r="D27" s="157">
        <v>4.7199999999999999E-2</v>
      </c>
      <c r="E27" s="150"/>
      <c r="F27" s="151">
        <v>38808</v>
      </c>
      <c r="G27" s="152">
        <f t="shared" si="1"/>
        <v>2006</v>
      </c>
      <c r="H27" s="152" t="str">
        <f t="shared" si="2"/>
        <v>Q2</v>
      </c>
      <c r="I27" s="153" t="str">
        <f t="shared" si="3"/>
        <v>2006 Q2</v>
      </c>
      <c r="J27" s="154">
        <f t="shared" si="6"/>
        <v>0</v>
      </c>
      <c r="K27" s="346"/>
      <c r="L27" s="155">
        <f t="shared" si="0"/>
        <v>4.1399999999999999E-2</v>
      </c>
      <c r="M27" s="154">
        <f t="shared" si="4"/>
        <v>0</v>
      </c>
      <c r="N27" s="156">
        <f t="shared" si="5"/>
        <v>0</v>
      </c>
      <c r="O27" s="156"/>
      <c r="P27" s="347"/>
    </row>
    <row r="28" spans="2:16" ht="13.5" thickBot="1" x14ac:dyDescent="0.25">
      <c r="B28" s="65" t="s">
        <v>157</v>
      </c>
      <c r="C28" s="157">
        <v>4.5900000000000003E-2</v>
      </c>
      <c r="D28" s="157">
        <v>4.7199999999999999E-2</v>
      </c>
      <c r="E28" s="150"/>
      <c r="F28" s="151">
        <v>38838</v>
      </c>
      <c r="G28" s="152">
        <f t="shared" si="1"/>
        <v>2006</v>
      </c>
      <c r="H28" s="152" t="str">
        <f t="shared" si="2"/>
        <v>Q2</v>
      </c>
      <c r="I28" s="153" t="str">
        <f t="shared" si="3"/>
        <v>2006 Q2</v>
      </c>
      <c r="J28" s="154">
        <f t="shared" si="6"/>
        <v>0</v>
      </c>
      <c r="K28" s="346"/>
      <c r="L28" s="155">
        <f t="shared" si="0"/>
        <v>4.1399999999999999E-2</v>
      </c>
      <c r="M28" s="154">
        <f t="shared" si="4"/>
        <v>0</v>
      </c>
      <c r="N28" s="156">
        <f t="shared" si="5"/>
        <v>0</v>
      </c>
      <c r="O28" s="156"/>
      <c r="P28" s="347"/>
    </row>
    <row r="29" spans="2:16" ht="13.5" thickBot="1" x14ac:dyDescent="0.25">
      <c r="B29" s="65" t="s">
        <v>158</v>
      </c>
      <c r="C29" s="157">
        <v>4.5900000000000003E-2</v>
      </c>
      <c r="D29" s="157">
        <v>4.7199999999999999E-2</v>
      </c>
      <c r="E29" s="150"/>
      <c r="F29" s="151">
        <v>38869</v>
      </c>
      <c r="G29" s="152">
        <f t="shared" si="1"/>
        <v>2006</v>
      </c>
      <c r="H29" s="152" t="str">
        <f t="shared" si="2"/>
        <v>Q2</v>
      </c>
      <c r="I29" s="153" t="str">
        <f t="shared" si="3"/>
        <v>2006 Q2</v>
      </c>
      <c r="J29" s="154">
        <f t="shared" si="6"/>
        <v>0</v>
      </c>
      <c r="K29" s="346"/>
      <c r="L29" s="155">
        <f t="shared" si="0"/>
        <v>4.1399999999999999E-2</v>
      </c>
      <c r="M29" s="154">
        <f t="shared" si="4"/>
        <v>0</v>
      </c>
      <c r="N29" s="156">
        <f t="shared" si="5"/>
        <v>0</v>
      </c>
      <c r="O29" s="156"/>
      <c r="P29" s="347"/>
    </row>
    <row r="30" spans="2:16" ht="13.5" thickBot="1" x14ac:dyDescent="0.25">
      <c r="B30" s="65" t="s">
        <v>159</v>
      </c>
      <c r="C30" s="157">
        <v>4.5900000000000003E-2</v>
      </c>
      <c r="D30" s="157">
        <v>5.1799999999999999E-2</v>
      </c>
      <c r="E30" s="150"/>
      <c r="F30" s="151">
        <v>38899</v>
      </c>
      <c r="G30" s="152">
        <f t="shared" si="1"/>
        <v>2006</v>
      </c>
      <c r="H30" s="152" t="str">
        <f t="shared" si="2"/>
        <v>Q3</v>
      </c>
      <c r="I30" s="153" t="str">
        <f t="shared" si="3"/>
        <v>2006 Q3</v>
      </c>
      <c r="J30" s="154">
        <f t="shared" si="6"/>
        <v>0</v>
      </c>
      <c r="K30" s="346"/>
      <c r="L30" s="155">
        <f t="shared" si="0"/>
        <v>4.5900000000000003E-2</v>
      </c>
      <c r="M30" s="154">
        <f t="shared" si="4"/>
        <v>0</v>
      </c>
      <c r="N30" s="156">
        <f t="shared" si="5"/>
        <v>0</v>
      </c>
      <c r="O30" s="156"/>
      <c r="P30" s="347"/>
    </row>
    <row r="31" spans="2:16" ht="13.5" thickBot="1" x14ac:dyDescent="0.25">
      <c r="B31" s="65" t="s">
        <v>160</v>
      </c>
      <c r="C31" s="157">
        <v>5.1400000000000001E-2</v>
      </c>
      <c r="D31" s="157">
        <v>5.1799999999999999E-2</v>
      </c>
      <c r="E31" s="150"/>
      <c r="F31" s="151">
        <v>38930</v>
      </c>
      <c r="G31" s="152">
        <f t="shared" si="1"/>
        <v>2006</v>
      </c>
      <c r="H31" s="152" t="str">
        <f t="shared" si="2"/>
        <v>Q3</v>
      </c>
      <c r="I31" s="153" t="str">
        <f t="shared" si="3"/>
        <v>2006 Q3</v>
      </c>
      <c r="J31" s="154">
        <f t="shared" si="6"/>
        <v>0</v>
      </c>
      <c r="K31" s="346"/>
      <c r="L31" s="155">
        <f t="shared" si="0"/>
        <v>4.5900000000000003E-2</v>
      </c>
      <c r="M31" s="154">
        <f t="shared" si="4"/>
        <v>0</v>
      </c>
      <c r="N31" s="156">
        <f t="shared" si="5"/>
        <v>0</v>
      </c>
      <c r="O31" s="156"/>
      <c r="P31" s="347"/>
    </row>
    <row r="32" spans="2:16" ht="13.5" thickBot="1" x14ac:dyDescent="0.25">
      <c r="B32" s="65" t="s">
        <v>161</v>
      </c>
      <c r="C32" s="157">
        <v>5.1400000000000001E-2</v>
      </c>
      <c r="D32" s="157">
        <v>5.1799999999999999E-2</v>
      </c>
      <c r="E32" s="150"/>
      <c r="F32" s="151">
        <v>38961</v>
      </c>
      <c r="G32" s="152">
        <f t="shared" si="1"/>
        <v>2006</v>
      </c>
      <c r="H32" s="152" t="str">
        <f t="shared" si="2"/>
        <v>Q3</v>
      </c>
      <c r="I32" s="153" t="str">
        <f t="shared" si="3"/>
        <v>2006 Q3</v>
      </c>
      <c r="J32" s="154">
        <f t="shared" si="6"/>
        <v>0</v>
      </c>
      <c r="K32" s="346">
        <v>3556.02</v>
      </c>
      <c r="L32" s="155">
        <f t="shared" si="0"/>
        <v>4.5900000000000003E-2</v>
      </c>
      <c r="M32" s="154">
        <f t="shared" si="4"/>
        <v>0</v>
      </c>
      <c r="N32" s="156">
        <f t="shared" si="5"/>
        <v>3556.02</v>
      </c>
      <c r="O32" s="156"/>
      <c r="P32" s="347"/>
    </row>
    <row r="33" spans="2:16" ht="13.5" thickBot="1" x14ac:dyDescent="0.25">
      <c r="B33" s="65" t="s">
        <v>162</v>
      </c>
      <c r="C33" s="157">
        <v>4.0800000000000003E-2</v>
      </c>
      <c r="D33" s="157">
        <v>5.1799999999999999E-2</v>
      </c>
      <c r="E33" s="150"/>
      <c r="F33" s="151">
        <v>38991</v>
      </c>
      <c r="G33" s="152">
        <f t="shared" si="1"/>
        <v>2006</v>
      </c>
      <c r="H33" s="152" t="str">
        <f t="shared" si="2"/>
        <v>Q4</v>
      </c>
      <c r="I33" s="153" t="str">
        <f t="shared" si="3"/>
        <v>2006 Q4</v>
      </c>
      <c r="J33" s="154">
        <f t="shared" si="6"/>
        <v>3556.02</v>
      </c>
      <c r="K33" s="346">
        <v>958.63</v>
      </c>
      <c r="L33" s="155">
        <f t="shared" si="0"/>
        <v>4.5900000000000003E-2</v>
      </c>
      <c r="M33" s="154">
        <f t="shared" si="4"/>
        <v>13.6</v>
      </c>
      <c r="N33" s="156">
        <f t="shared" si="5"/>
        <v>4528.25</v>
      </c>
      <c r="O33" s="156"/>
      <c r="P33" s="347"/>
    </row>
    <row r="34" spans="2:16" ht="13.5" thickBot="1" x14ac:dyDescent="0.25">
      <c r="B34" s="65" t="s">
        <v>163</v>
      </c>
      <c r="C34" s="157">
        <v>3.3500000000000002E-2</v>
      </c>
      <c r="D34" s="157">
        <v>5.4300000000000001E-2</v>
      </c>
      <c r="E34" s="150"/>
      <c r="F34" s="151">
        <v>39022</v>
      </c>
      <c r="G34" s="152">
        <f t="shared" si="1"/>
        <v>2006</v>
      </c>
      <c r="H34" s="152" t="str">
        <f t="shared" si="2"/>
        <v>Q4</v>
      </c>
      <c r="I34" s="153" t="str">
        <f t="shared" si="3"/>
        <v>2006 Q4</v>
      </c>
      <c r="J34" s="154">
        <f t="shared" si="6"/>
        <v>4514.6499999999996</v>
      </c>
      <c r="K34" s="346">
        <v>1101.05</v>
      </c>
      <c r="L34" s="155">
        <f t="shared" si="0"/>
        <v>4.5900000000000003E-2</v>
      </c>
      <c r="M34" s="154">
        <f t="shared" si="4"/>
        <v>17.27</v>
      </c>
      <c r="N34" s="156">
        <f t="shared" si="5"/>
        <v>5632.97</v>
      </c>
      <c r="O34" s="156"/>
      <c r="P34" s="347"/>
    </row>
    <row r="35" spans="2:16" ht="13.5" thickBot="1" x14ac:dyDescent="0.25">
      <c r="B35" s="65" t="s">
        <v>164</v>
      </c>
      <c r="C35" s="157">
        <v>3.3500000000000002E-2</v>
      </c>
      <c r="D35" s="157">
        <v>5.4300000000000001E-2</v>
      </c>
      <c r="E35" s="150"/>
      <c r="F35" s="151">
        <v>39052</v>
      </c>
      <c r="G35" s="152">
        <f t="shared" si="1"/>
        <v>2006</v>
      </c>
      <c r="H35" s="152" t="str">
        <f t="shared" si="2"/>
        <v>Q4</v>
      </c>
      <c r="I35" s="153" t="str">
        <f t="shared" si="3"/>
        <v>2006 Q4</v>
      </c>
      <c r="J35" s="154">
        <f t="shared" si="6"/>
        <v>5615.7</v>
      </c>
      <c r="K35" s="346">
        <v>811.84</v>
      </c>
      <c r="L35" s="155">
        <f t="shared" si="0"/>
        <v>4.5900000000000003E-2</v>
      </c>
      <c r="M35" s="154">
        <f t="shared" si="4"/>
        <v>21.48</v>
      </c>
      <c r="N35" s="156">
        <f t="shared" si="5"/>
        <v>6449.0199999999995</v>
      </c>
      <c r="O35" s="156">
        <f>SUM(K24:K35)+SUM(M24:M35)</f>
        <v>6479.89</v>
      </c>
      <c r="P35" s="347"/>
    </row>
    <row r="36" spans="2:16" ht="13.5" thickBot="1" x14ac:dyDescent="0.25">
      <c r="B36" s="65" t="s">
        <v>165</v>
      </c>
      <c r="C36" s="157">
        <v>2.4500000000000001E-2</v>
      </c>
      <c r="D36" s="157">
        <v>6.6100000000000006E-2</v>
      </c>
      <c r="E36" s="150"/>
      <c r="F36" s="151">
        <v>39083</v>
      </c>
      <c r="G36" s="152">
        <f t="shared" si="1"/>
        <v>2007</v>
      </c>
      <c r="H36" s="152" t="str">
        <f t="shared" si="2"/>
        <v>Q1</v>
      </c>
      <c r="I36" s="153" t="str">
        <f t="shared" si="3"/>
        <v>2007 Q1</v>
      </c>
      <c r="J36" s="154">
        <f t="shared" si="6"/>
        <v>6427.54</v>
      </c>
      <c r="K36" s="346">
        <v>1228.53</v>
      </c>
      <c r="L36" s="155">
        <f t="shared" si="0"/>
        <v>4.5900000000000003E-2</v>
      </c>
      <c r="M36" s="154">
        <f t="shared" si="4"/>
        <v>24.59</v>
      </c>
      <c r="N36" s="156">
        <f t="shared" si="5"/>
        <v>7680.66</v>
      </c>
      <c r="O36" s="156"/>
      <c r="P36" s="347"/>
    </row>
    <row r="37" spans="2:16" ht="13.5" thickBot="1" x14ac:dyDescent="0.25">
      <c r="B37" s="65" t="s">
        <v>166</v>
      </c>
      <c r="C37" s="157">
        <v>0.01</v>
      </c>
      <c r="D37" s="157">
        <v>6.6100000000000006E-2</v>
      </c>
      <c r="E37" s="150"/>
      <c r="F37" s="151">
        <v>39114</v>
      </c>
      <c r="G37" s="152">
        <f t="shared" si="1"/>
        <v>2007</v>
      </c>
      <c r="H37" s="152" t="str">
        <f t="shared" si="2"/>
        <v>Q1</v>
      </c>
      <c r="I37" s="153" t="str">
        <f t="shared" si="3"/>
        <v>2007 Q1</v>
      </c>
      <c r="J37" s="154">
        <f t="shared" si="6"/>
        <v>7656.07</v>
      </c>
      <c r="K37" s="346">
        <v>739.94</v>
      </c>
      <c r="L37" s="155">
        <f t="shared" si="0"/>
        <v>4.5900000000000003E-2</v>
      </c>
      <c r="M37" s="154">
        <f t="shared" si="4"/>
        <v>29.28</v>
      </c>
      <c r="N37" s="156">
        <f t="shared" si="5"/>
        <v>8425.2900000000009</v>
      </c>
      <c r="O37" s="156"/>
      <c r="P37" s="347"/>
    </row>
    <row r="38" spans="2:16" ht="13.5" thickBot="1" x14ac:dyDescent="0.25">
      <c r="B38" s="65" t="s">
        <v>167</v>
      </c>
      <c r="C38" s="157">
        <v>5.4999999999999997E-3</v>
      </c>
      <c r="D38" s="157">
        <v>5.67E-2</v>
      </c>
      <c r="E38" s="150"/>
      <c r="F38" s="151">
        <v>39142</v>
      </c>
      <c r="G38" s="152">
        <f t="shared" si="1"/>
        <v>2007</v>
      </c>
      <c r="H38" s="152" t="str">
        <f t="shared" si="2"/>
        <v>Q1</v>
      </c>
      <c r="I38" s="153" t="str">
        <f t="shared" si="3"/>
        <v>2007 Q1</v>
      </c>
      <c r="J38" s="154">
        <f t="shared" si="6"/>
        <v>8396.01</v>
      </c>
      <c r="K38" s="346">
        <v>1015.48</v>
      </c>
      <c r="L38" s="155">
        <f t="shared" si="0"/>
        <v>4.5900000000000003E-2</v>
      </c>
      <c r="M38" s="154">
        <f t="shared" si="4"/>
        <v>32.11</v>
      </c>
      <c r="N38" s="156">
        <f t="shared" si="5"/>
        <v>9443.6</v>
      </c>
      <c r="O38" s="156"/>
      <c r="P38" s="347"/>
    </row>
    <row r="39" spans="2:16" ht="13.5" thickBot="1" x14ac:dyDescent="0.25">
      <c r="B39" s="65" t="s">
        <v>168</v>
      </c>
      <c r="C39" s="157">
        <v>5.4999999999999997E-3</v>
      </c>
      <c r="D39" s="157">
        <v>4.6600000000000003E-2</v>
      </c>
      <c r="E39" s="150"/>
      <c r="F39" s="151">
        <v>39173</v>
      </c>
      <c r="G39" s="152">
        <f t="shared" si="1"/>
        <v>2007</v>
      </c>
      <c r="H39" s="152" t="str">
        <f t="shared" si="2"/>
        <v>Q2</v>
      </c>
      <c r="I39" s="153" t="str">
        <f t="shared" si="3"/>
        <v>2007 Q2</v>
      </c>
      <c r="J39" s="154">
        <f t="shared" si="6"/>
        <v>9411.49</v>
      </c>
      <c r="K39" s="346">
        <v>637.52</v>
      </c>
      <c r="L39" s="155">
        <f t="shared" si="0"/>
        <v>4.5900000000000003E-2</v>
      </c>
      <c r="M39" s="154">
        <f t="shared" si="4"/>
        <v>36</v>
      </c>
      <c r="N39" s="156">
        <f t="shared" si="5"/>
        <v>10085.01</v>
      </c>
      <c r="O39" s="156"/>
      <c r="P39" s="347"/>
    </row>
    <row r="40" spans="2:16" ht="13.5" thickBot="1" x14ac:dyDescent="0.25">
      <c r="B40" s="65" t="s">
        <v>169</v>
      </c>
      <c r="C40" s="157">
        <v>5.4999999999999997E-3</v>
      </c>
      <c r="D40" s="157">
        <v>4.3400000000000001E-2</v>
      </c>
      <c r="E40" s="150"/>
      <c r="F40" s="151">
        <v>39203</v>
      </c>
      <c r="G40" s="152">
        <f t="shared" si="1"/>
        <v>2007</v>
      </c>
      <c r="H40" s="152" t="str">
        <f t="shared" si="2"/>
        <v>Q2</v>
      </c>
      <c r="I40" s="153" t="str">
        <f t="shared" si="3"/>
        <v>2007 Q2</v>
      </c>
      <c r="J40" s="154">
        <f t="shared" si="6"/>
        <v>10049.01</v>
      </c>
      <c r="K40" s="346">
        <v>1103.23</v>
      </c>
      <c r="L40" s="155">
        <f t="shared" si="0"/>
        <v>4.5900000000000003E-2</v>
      </c>
      <c r="M40" s="154">
        <f t="shared" si="4"/>
        <v>38.44</v>
      </c>
      <c r="N40" s="156">
        <f t="shared" si="5"/>
        <v>11190.68</v>
      </c>
      <c r="O40" s="156"/>
      <c r="P40" s="347"/>
    </row>
    <row r="41" spans="2:16" ht="13.5" thickBot="1" x14ac:dyDescent="0.25">
      <c r="B41" s="65" t="s">
        <v>170</v>
      </c>
      <c r="C41" s="157">
        <v>5.4999999999999997E-3</v>
      </c>
      <c r="D41" s="157">
        <v>4.3400000000000001E-2</v>
      </c>
      <c r="E41" s="150"/>
      <c r="F41" s="151">
        <v>39234</v>
      </c>
      <c r="G41" s="152">
        <f t="shared" si="1"/>
        <v>2007</v>
      </c>
      <c r="H41" s="152" t="str">
        <f t="shared" si="2"/>
        <v>Q2</v>
      </c>
      <c r="I41" s="153" t="str">
        <f t="shared" si="3"/>
        <v>2007 Q2</v>
      </c>
      <c r="J41" s="154">
        <f t="shared" si="6"/>
        <v>11152.24</v>
      </c>
      <c r="K41" s="346">
        <v>883.66</v>
      </c>
      <c r="L41" s="155">
        <f t="shared" si="0"/>
        <v>4.5900000000000003E-2</v>
      </c>
      <c r="M41" s="154">
        <f t="shared" si="4"/>
        <v>42.66</v>
      </c>
      <c r="N41" s="156">
        <f t="shared" si="5"/>
        <v>12078.56</v>
      </c>
      <c r="O41" s="156"/>
      <c r="P41" s="347"/>
    </row>
    <row r="42" spans="2:16" ht="13.5" thickBot="1" x14ac:dyDescent="0.25">
      <c r="B42" s="65" t="s">
        <v>171</v>
      </c>
      <c r="C42" s="157">
        <v>8.8999999999999999E-3</v>
      </c>
      <c r="D42" s="157">
        <v>4.6600000000000003E-2</v>
      </c>
      <c r="E42" s="150"/>
      <c r="F42" s="151">
        <v>39264</v>
      </c>
      <c r="G42" s="152">
        <f t="shared" si="1"/>
        <v>2007</v>
      </c>
      <c r="H42" s="152" t="str">
        <f t="shared" si="2"/>
        <v>Q3</v>
      </c>
      <c r="I42" s="153" t="str">
        <f t="shared" si="3"/>
        <v>2007 Q3</v>
      </c>
      <c r="J42" s="154">
        <f t="shared" si="6"/>
        <v>12035.9</v>
      </c>
      <c r="K42" s="346">
        <v>1089.79</v>
      </c>
      <c r="L42" s="155">
        <f t="shared" si="0"/>
        <v>4.5900000000000003E-2</v>
      </c>
      <c r="M42" s="154">
        <f t="shared" si="4"/>
        <v>46.04</v>
      </c>
      <c r="N42" s="156">
        <f t="shared" si="5"/>
        <v>13171.73</v>
      </c>
      <c r="O42" s="156"/>
      <c r="P42" s="347"/>
    </row>
    <row r="43" spans="2:16" ht="13.5" thickBot="1" x14ac:dyDescent="0.25">
      <c r="B43" s="65" t="s">
        <v>172</v>
      </c>
      <c r="C43" s="157">
        <v>1.2E-2</v>
      </c>
      <c r="D43" s="157">
        <v>4.0099999999999997E-2</v>
      </c>
      <c r="E43" s="150"/>
      <c r="F43" s="151">
        <v>39295</v>
      </c>
      <c r="G43" s="152">
        <f t="shared" si="1"/>
        <v>2007</v>
      </c>
      <c r="H43" s="152" t="str">
        <f t="shared" si="2"/>
        <v>Q3</v>
      </c>
      <c r="I43" s="153" t="str">
        <f t="shared" si="3"/>
        <v>2007 Q3</v>
      </c>
      <c r="J43" s="154">
        <f t="shared" si="6"/>
        <v>13125.689999999999</v>
      </c>
      <c r="K43" s="346">
        <v>1036.5899999999999</v>
      </c>
      <c r="L43" s="155">
        <f t="shared" si="0"/>
        <v>4.5900000000000003E-2</v>
      </c>
      <c r="M43" s="154">
        <f t="shared" si="4"/>
        <v>50.21</v>
      </c>
      <c r="N43" s="156">
        <f t="shared" si="5"/>
        <v>14212.489999999998</v>
      </c>
      <c r="O43" s="156"/>
      <c r="P43" s="347"/>
    </row>
    <row r="44" spans="2:16" ht="13.5" thickBot="1" x14ac:dyDescent="0.25">
      <c r="B44" s="65" t="s">
        <v>173</v>
      </c>
      <c r="C44" s="157">
        <v>1.47E-2</v>
      </c>
      <c r="D44" s="157">
        <v>4.2900000000000001E-2</v>
      </c>
      <c r="E44" s="150"/>
      <c r="F44" s="151">
        <v>39326</v>
      </c>
      <c r="G44" s="152">
        <f t="shared" si="1"/>
        <v>2007</v>
      </c>
      <c r="H44" s="152" t="str">
        <f t="shared" si="2"/>
        <v>Q3</v>
      </c>
      <c r="I44" s="153" t="str">
        <f t="shared" si="3"/>
        <v>2007 Q3</v>
      </c>
      <c r="J44" s="154">
        <f t="shared" si="6"/>
        <v>14162.279999999999</v>
      </c>
      <c r="K44" s="346">
        <v>1075.78</v>
      </c>
      <c r="L44" s="155">
        <f t="shared" si="0"/>
        <v>4.5900000000000003E-2</v>
      </c>
      <c r="M44" s="154">
        <f t="shared" si="4"/>
        <v>54.17</v>
      </c>
      <c r="N44" s="156">
        <f t="shared" si="5"/>
        <v>15292.23</v>
      </c>
      <c r="O44" s="156"/>
      <c r="P44" s="347"/>
    </row>
    <row r="45" spans="2:16" ht="13.5" thickBot="1" x14ac:dyDescent="0.25">
      <c r="B45" s="65" t="s">
        <v>174</v>
      </c>
      <c r="C45" s="157">
        <v>1.47E-2</v>
      </c>
      <c r="D45" s="157">
        <v>4.2900000000000001E-2</v>
      </c>
      <c r="E45" s="150"/>
      <c r="F45" s="151">
        <v>39356</v>
      </c>
      <c r="G45" s="152">
        <f t="shared" si="1"/>
        <v>2007</v>
      </c>
      <c r="H45" s="152" t="str">
        <f t="shared" si="2"/>
        <v>Q4</v>
      </c>
      <c r="I45" s="153" t="str">
        <f t="shared" si="3"/>
        <v>2007 Q4</v>
      </c>
      <c r="J45" s="154">
        <f t="shared" si="6"/>
        <v>15238.06</v>
      </c>
      <c r="K45" s="346">
        <v>1049.98</v>
      </c>
      <c r="L45" s="155">
        <f t="shared" si="0"/>
        <v>5.1400000000000001E-2</v>
      </c>
      <c r="M45" s="154">
        <f t="shared" si="4"/>
        <v>65.27</v>
      </c>
      <c r="N45" s="156">
        <f t="shared" si="5"/>
        <v>16353.31</v>
      </c>
      <c r="O45" s="156"/>
      <c r="P45" s="347"/>
    </row>
    <row r="46" spans="2:16" ht="13.5" thickBot="1" x14ac:dyDescent="0.25">
      <c r="B46" s="65" t="s">
        <v>175</v>
      </c>
      <c r="C46" s="157">
        <v>1.47E-2</v>
      </c>
      <c r="D46" s="157">
        <v>4.2900000000000001E-2</v>
      </c>
      <c r="E46" s="150"/>
      <c r="F46" s="151">
        <v>39387</v>
      </c>
      <c r="G46" s="152">
        <f t="shared" si="1"/>
        <v>2007</v>
      </c>
      <c r="H46" s="152" t="str">
        <f t="shared" si="2"/>
        <v>Q4</v>
      </c>
      <c r="I46" s="153" t="str">
        <f t="shared" si="3"/>
        <v>2007 Q4</v>
      </c>
      <c r="J46" s="154">
        <f t="shared" si="6"/>
        <v>16288.039999999999</v>
      </c>
      <c r="K46" s="346">
        <v>1082.5</v>
      </c>
      <c r="L46" s="155">
        <f t="shared" si="0"/>
        <v>5.1400000000000001E-2</v>
      </c>
      <c r="M46" s="154">
        <f t="shared" si="4"/>
        <v>69.77</v>
      </c>
      <c r="N46" s="156">
        <f t="shared" si="5"/>
        <v>17440.310000000001</v>
      </c>
      <c r="O46" s="156"/>
      <c r="P46" s="347"/>
    </row>
    <row r="47" spans="2:16" ht="13.5" thickBot="1" x14ac:dyDescent="0.25">
      <c r="B47" s="65" t="s">
        <v>176</v>
      </c>
      <c r="C47" s="348">
        <f>C46</f>
        <v>1.47E-2</v>
      </c>
      <c r="D47" s="348">
        <v>3.9199999999999999E-2</v>
      </c>
      <c r="E47" s="150"/>
      <c r="F47" s="151">
        <v>39417</v>
      </c>
      <c r="G47" s="152">
        <f t="shared" si="1"/>
        <v>2007</v>
      </c>
      <c r="H47" s="152" t="str">
        <f t="shared" si="2"/>
        <v>Q4</v>
      </c>
      <c r="I47" s="153" t="str">
        <f t="shared" si="3"/>
        <v>2007 Q4</v>
      </c>
      <c r="J47" s="154">
        <f t="shared" si="6"/>
        <v>17370.54</v>
      </c>
      <c r="K47" s="346">
        <v>954.53</v>
      </c>
      <c r="L47" s="155">
        <f t="shared" si="0"/>
        <v>5.1400000000000001E-2</v>
      </c>
      <c r="M47" s="154">
        <f t="shared" si="4"/>
        <v>74.400000000000006</v>
      </c>
      <c r="N47" s="156">
        <f t="shared" si="5"/>
        <v>18399.47</v>
      </c>
      <c r="O47" s="156">
        <f>SUM(K36:K47)+SUM(M36:M47)</f>
        <v>12460.470000000001</v>
      </c>
      <c r="P47" s="347"/>
    </row>
    <row r="48" spans="2:16" ht="13.5" thickBot="1" x14ac:dyDescent="0.25">
      <c r="B48" s="65" t="s">
        <v>177</v>
      </c>
      <c r="C48" s="349">
        <v>1.47E-2</v>
      </c>
      <c r="D48" s="349">
        <v>3.9199999999999999E-2</v>
      </c>
      <c r="E48" s="150"/>
      <c r="F48" s="151">
        <v>39448</v>
      </c>
      <c r="G48" s="152">
        <f t="shared" si="1"/>
        <v>2008</v>
      </c>
      <c r="H48" s="152" t="str">
        <f t="shared" si="2"/>
        <v>Q1</v>
      </c>
      <c r="I48" s="153" t="str">
        <f t="shared" si="3"/>
        <v>2008 Q1</v>
      </c>
      <c r="J48" s="154">
        <f t="shared" si="6"/>
        <v>18325.07</v>
      </c>
      <c r="K48" s="346">
        <v>1170.6099999999999</v>
      </c>
      <c r="L48" s="155">
        <f t="shared" si="0"/>
        <v>5.1400000000000001E-2</v>
      </c>
      <c r="M48" s="154">
        <f t="shared" si="4"/>
        <v>78.489999999999995</v>
      </c>
      <c r="N48" s="156">
        <f t="shared" si="5"/>
        <v>19574.170000000002</v>
      </c>
      <c r="O48" s="156"/>
      <c r="P48" s="347"/>
    </row>
    <row r="49" spans="2:16" ht="13.5" thickBot="1" x14ac:dyDescent="0.25">
      <c r="B49" s="65" t="s">
        <v>178</v>
      </c>
      <c r="C49" s="349">
        <v>1.47E-2</v>
      </c>
      <c r="D49" s="349">
        <v>3.5099999999999999E-2</v>
      </c>
      <c r="E49" s="150"/>
      <c r="F49" s="151">
        <v>39479</v>
      </c>
      <c r="G49" s="152">
        <f t="shared" si="1"/>
        <v>2008</v>
      </c>
      <c r="H49" s="152" t="str">
        <f t="shared" si="2"/>
        <v>Q1</v>
      </c>
      <c r="I49" s="153" t="str">
        <f t="shared" si="3"/>
        <v>2008 Q1</v>
      </c>
      <c r="J49" s="154">
        <f t="shared" si="6"/>
        <v>19495.68</v>
      </c>
      <c r="K49" s="346">
        <v>783.83</v>
      </c>
      <c r="L49" s="155">
        <f t="shared" si="0"/>
        <v>5.1400000000000001E-2</v>
      </c>
      <c r="M49" s="154">
        <f t="shared" si="4"/>
        <v>83.51</v>
      </c>
      <c r="N49" s="156">
        <f t="shared" si="5"/>
        <v>20363.02</v>
      </c>
      <c r="O49" s="156"/>
      <c r="P49" s="347"/>
    </row>
    <row r="50" spans="2:16" ht="13.5" thickBot="1" x14ac:dyDescent="0.25">
      <c r="B50" s="65" t="s">
        <v>179</v>
      </c>
      <c r="C50" s="349">
        <v>1.47E-2</v>
      </c>
      <c r="D50" s="349">
        <v>3.5099999999999999E-2</v>
      </c>
      <c r="E50" s="150"/>
      <c r="F50" s="151">
        <v>39508</v>
      </c>
      <c r="G50" s="152">
        <f t="shared" si="1"/>
        <v>2008</v>
      </c>
      <c r="H50" s="152" t="str">
        <f t="shared" si="2"/>
        <v>Q1</v>
      </c>
      <c r="I50" s="153" t="str">
        <f t="shared" si="3"/>
        <v>2008 Q1</v>
      </c>
      <c r="J50" s="154">
        <f t="shared" si="6"/>
        <v>20279.510000000002</v>
      </c>
      <c r="K50" s="346">
        <v>1069.93</v>
      </c>
      <c r="L50" s="155">
        <f t="shared" si="0"/>
        <v>5.1400000000000001E-2</v>
      </c>
      <c r="M50" s="154">
        <f t="shared" si="4"/>
        <v>86.86</v>
      </c>
      <c r="N50" s="156">
        <f t="shared" si="5"/>
        <v>21436.300000000003</v>
      </c>
      <c r="O50" s="156"/>
      <c r="P50" s="347"/>
    </row>
    <row r="51" spans="2:16" ht="13.5" thickBot="1" x14ac:dyDescent="0.25">
      <c r="B51" s="65" t="s">
        <v>180</v>
      </c>
      <c r="C51" s="349"/>
      <c r="D51" s="349"/>
      <c r="E51" s="150"/>
      <c r="F51" s="151">
        <v>39539</v>
      </c>
      <c r="G51" s="152">
        <f t="shared" si="1"/>
        <v>2008</v>
      </c>
      <c r="H51" s="152" t="str">
        <f t="shared" si="2"/>
        <v>Q2</v>
      </c>
      <c r="I51" s="153" t="str">
        <f t="shared" si="3"/>
        <v>2008 Q2</v>
      </c>
      <c r="J51" s="154">
        <f t="shared" si="6"/>
        <v>21349.440000000002</v>
      </c>
      <c r="K51" s="346">
        <v>1076.25</v>
      </c>
      <c r="L51" s="155">
        <f t="shared" si="0"/>
        <v>4.0800000000000003E-2</v>
      </c>
      <c r="M51" s="154">
        <f t="shared" si="4"/>
        <v>72.59</v>
      </c>
      <c r="N51" s="156">
        <f t="shared" si="5"/>
        <v>22498.280000000002</v>
      </c>
      <c r="O51" s="156"/>
      <c r="P51" s="347"/>
    </row>
    <row r="52" spans="2:16" ht="13.5" thickBot="1" x14ac:dyDescent="0.25">
      <c r="B52" s="65" t="s">
        <v>372</v>
      </c>
      <c r="C52" s="349"/>
      <c r="D52" s="349"/>
      <c r="E52" s="150"/>
      <c r="F52" s="151">
        <v>39569</v>
      </c>
      <c r="G52" s="152">
        <f t="shared" si="1"/>
        <v>2008</v>
      </c>
      <c r="H52" s="152" t="str">
        <f t="shared" si="2"/>
        <v>Q2</v>
      </c>
      <c r="I52" s="153" t="str">
        <f t="shared" si="3"/>
        <v>2008 Q2</v>
      </c>
      <c r="J52" s="154">
        <f t="shared" si="6"/>
        <v>22425.690000000002</v>
      </c>
      <c r="K52" s="346">
        <v>953.51</v>
      </c>
      <c r="L52" s="155">
        <f t="shared" si="0"/>
        <v>4.0800000000000003E-2</v>
      </c>
      <c r="M52" s="154">
        <f t="shared" si="4"/>
        <v>76.25</v>
      </c>
      <c r="N52" s="156">
        <f t="shared" si="5"/>
        <v>23455.45</v>
      </c>
      <c r="O52" s="156"/>
      <c r="P52" s="347"/>
    </row>
    <row r="53" spans="2:16" ht="13.5" thickBot="1" x14ac:dyDescent="0.25">
      <c r="B53" s="65" t="s">
        <v>373</v>
      </c>
      <c r="C53" s="349"/>
      <c r="D53" s="349"/>
      <c r="E53" s="150"/>
      <c r="F53" s="151">
        <v>39600</v>
      </c>
      <c r="G53" s="152">
        <f t="shared" si="1"/>
        <v>2008</v>
      </c>
      <c r="H53" s="152" t="str">
        <f t="shared" si="2"/>
        <v>Q2</v>
      </c>
      <c r="I53" s="153" t="str">
        <f t="shared" si="3"/>
        <v>2008 Q2</v>
      </c>
      <c r="J53" s="154">
        <f t="shared" si="6"/>
        <v>23379.200000000001</v>
      </c>
      <c r="K53" s="346">
        <v>1007.1</v>
      </c>
      <c r="L53" s="155">
        <f t="shared" si="0"/>
        <v>4.0800000000000003E-2</v>
      </c>
      <c r="M53" s="154">
        <f t="shared" si="4"/>
        <v>79.489999999999995</v>
      </c>
      <c r="N53" s="156">
        <f t="shared" si="5"/>
        <v>24465.79</v>
      </c>
      <c r="O53" s="156"/>
      <c r="P53" s="347"/>
    </row>
    <row r="54" spans="2:16" ht="13.5" thickBot="1" x14ac:dyDescent="0.25">
      <c r="B54" s="65" t="s">
        <v>374</v>
      </c>
      <c r="C54" s="349"/>
      <c r="D54" s="349"/>
      <c r="E54" s="150"/>
      <c r="F54" s="151">
        <v>39630</v>
      </c>
      <c r="G54" s="152">
        <f t="shared" si="1"/>
        <v>2008</v>
      </c>
      <c r="H54" s="152" t="str">
        <f t="shared" si="2"/>
        <v>Q3</v>
      </c>
      <c r="I54" s="153" t="str">
        <f t="shared" si="3"/>
        <v>2008 Q3</v>
      </c>
      <c r="J54" s="154">
        <f t="shared" si="6"/>
        <v>24386.3</v>
      </c>
      <c r="K54" s="346">
        <v>1060.3</v>
      </c>
      <c r="L54" s="155">
        <f t="shared" si="0"/>
        <v>3.3500000000000002E-2</v>
      </c>
      <c r="M54" s="154">
        <f t="shared" si="4"/>
        <v>68.08</v>
      </c>
      <c r="N54" s="156">
        <f t="shared" si="5"/>
        <v>25514.68</v>
      </c>
      <c r="O54" s="156"/>
      <c r="P54" s="347"/>
    </row>
    <row r="55" spans="2:16" ht="13.5" thickBot="1" x14ac:dyDescent="0.25">
      <c r="B55" s="65" t="s">
        <v>371</v>
      </c>
      <c r="C55" s="349"/>
      <c r="D55" s="349"/>
      <c r="E55" s="150"/>
      <c r="F55" s="151">
        <v>39661</v>
      </c>
      <c r="G55" s="152">
        <f t="shared" si="1"/>
        <v>2008</v>
      </c>
      <c r="H55" s="152" t="str">
        <f t="shared" si="2"/>
        <v>Q3</v>
      </c>
      <c r="I55" s="153" t="str">
        <f t="shared" si="3"/>
        <v>2008 Q3</v>
      </c>
      <c r="J55" s="154">
        <f t="shared" si="6"/>
        <v>25446.6</v>
      </c>
      <c r="K55" s="346">
        <v>985.89</v>
      </c>
      <c r="L55" s="155">
        <f t="shared" si="0"/>
        <v>3.3500000000000002E-2</v>
      </c>
      <c r="M55" s="154">
        <f t="shared" si="4"/>
        <v>71.040000000000006</v>
      </c>
      <c r="N55" s="156">
        <f t="shared" si="5"/>
        <v>26503.53</v>
      </c>
      <c r="O55" s="156"/>
      <c r="P55" s="347"/>
    </row>
    <row r="56" spans="2:16" ht="13.5" thickBot="1" x14ac:dyDescent="0.25">
      <c r="F56" s="151">
        <v>39692</v>
      </c>
      <c r="G56" s="152">
        <f t="shared" si="1"/>
        <v>2008</v>
      </c>
      <c r="H56" s="152" t="str">
        <f t="shared" si="2"/>
        <v>Q3</v>
      </c>
      <c r="I56" s="153" t="str">
        <f t="shared" si="3"/>
        <v>2008 Q3</v>
      </c>
      <c r="J56" s="154">
        <f t="shared" si="6"/>
        <v>26432.489999999998</v>
      </c>
      <c r="K56" s="346">
        <v>997.16</v>
      </c>
      <c r="L56" s="155">
        <f t="shared" ref="L56:L87" si="7">VLOOKUP(I56,$B$22:$D$55,2)</f>
        <v>3.3500000000000002E-2</v>
      </c>
      <c r="M56" s="154">
        <f t="shared" si="4"/>
        <v>73.790000000000006</v>
      </c>
      <c r="N56" s="156">
        <f t="shared" si="5"/>
        <v>27503.439999999999</v>
      </c>
      <c r="O56" s="156"/>
      <c r="P56" s="347"/>
    </row>
    <row r="57" spans="2:16" ht="13.5" thickBot="1" x14ac:dyDescent="0.25">
      <c r="F57" s="151">
        <v>39722</v>
      </c>
      <c r="G57" s="152">
        <f t="shared" si="1"/>
        <v>2008</v>
      </c>
      <c r="H57" s="152" t="str">
        <f t="shared" si="2"/>
        <v>Q4</v>
      </c>
      <c r="I57" s="153" t="str">
        <f t="shared" si="3"/>
        <v>2008 Q4</v>
      </c>
      <c r="J57" s="154">
        <f t="shared" si="6"/>
        <v>27429.649999999998</v>
      </c>
      <c r="K57" s="346">
        <v>972.29</v>
      </c>
      <c r="L57" s="155">
        <f t="shared" si="7"/>
        <v>3.3500000000000002E-2</v>
      </c>
      <c r="M57" s="154">
        <f t="shared" si="4"/>
        <v>76.569999999999993</v>
      </c>
      <c r="N57" s="156">
        <f t="shared" si="5"/>
        <v>28478.51</v>
      </c>
      <c r="O57" s="156"/>
      <c r="P57" s="347"/>
    </row>
    <row r="58" spans="2:16" ht="13.5" thickBot="1" x14ac:dyDescent="0.25">
      <c r="F58" s="151">
        <v>39753</v>
      </c>
      <c r="G58" s="152">
        <f t="shared" si="1"/>
        <v>2008</v>
      </c>
      <c r="H58" s="152" t="str">
        <f t="shared" si="2"/>
        <v>Q4</v>
      </c>
      <c r="I58" s="153" t="str">
        <f t="shared" si="3"/>
        <v>2008 Q4</v>
      </c>
      <c r="J58" s="154">
        <f t="shared" si="6"/>
        <v>28401.94</v>
      </c>
      <c r="K58" s="346">
        <v>1038.33</v>
      </c>
      <c r="L58" s="155">
        <f t="shared" si="7"/>
        <v>3.3500000000000002E-2</v>
      </c>
      <c r="M58" s="154">
        <f t="shared" si="4"/>
        <v>79.290000000000006</v>
      </c>
      <c r="N58" s="156">
        <f t="shared" si="5"/>
        <v>29519.559999999998</v>
      </c>
      <c r="O58" s="156"/>
      <c r="P58" s="347"/>
    </row>
    <row r="59" spans="2:16" ht="13.5" thickBot="1" x14ac:dyDescent="0.25">
      <c r="F59" s="151">
        <v>39783</v>
      </c>
      <c r="G59" s="152">
        <f t="shared" si="1"/>
        <v>2008</v>
      </c>
      <c r="H59" s="152" t="str">
        <f t="shared" si="2"/>
        <v>Q4</v>
      </c>
      <c r="I59" s="153" t="str">
        <f t="shared" si="3"/>
        <v>2008 Q4</v>
      </c>
      <c r="J59" s="154">
        <f t="shared" si="6"/>
        <v>29440.269999999997</v>
      </c>
      <c r="K59" s="346">
        <v>1008.73</v>
      </c>
      <c r="L59" s="155">
        <f t="shared" si="7"/>
        <v>3.3500000000000002E-2</v>
      </c>
      <c r="M59" s="154">
        <f t="shared" si="4"/>
        <v>82.19</v>
      </c>
      <c r="N59" s="156">
        <f t="shared" si="5"/>
        <v>30531.189999999995</v>
      </c>
      <c r="O59" s="156">
        <f>SUM(K48:K59)+SUM(M48:M59)</f>
        <v>13052.080000000002</v>
      </c>
      <c r="P59" s="347"/>
    </row>
    <row r="60" spans="2:16" ht="13.5" thickBot="1" x14ac:dyDescent="0.25">
      <c r="F60" s="151">
        <v>39814</v>
      </c>
      <c r="G60" s="152">
        <f t="shared" si="1"/>
        <v>2009</v>
      </c>
      <c r="H60" s="152" t="str">
        <f t="shared" si="2"/>
        <v>Q1</v>
      </c>
      <c r="I60" s="153" t="str">
        <f t="shared" si="3"/>
        <v>2009 Q1</v>
      </c>
      <c r="J60" s="154">
        <f t="shared" si="6"/>
        <v>30448.999999999996</v>
      </c>
      <c r="K60" s="346">
        <v>908.32</v>
      </c>
      <c r="L60" s="155">
        <f t="shared" si="7"/>
        <v>2.4500000000000001E-2</v>
      </c>
      <c r="M60" s="154">
        <f t="shared" si="4"/>
        <v>62.17</v>
      </c>
      <c r="N60" s="156">
        <f t="shared" si="5"/>
        <v>31419.489999999994</v>
      </c>
      <c r="O60" s="156"/>
      <c r="P60" s="347"/>
    </row>
    <row r="61" spans="2:16" ht="13.5" thickBot="1" x14ac:dyDescent="0.25">
      <c r="F61" s="151">
        <v>39845</v>
      </c>
      <c r="G61" s="152">
        <f t="shared" si="1"/>
        <v>2009</v>
      </c>
      <c r="H61" s="152" t="str">
        <f t="shared" si="2"/>
        <v>Q1</v>
      </c>
      <c r="I61" s="153" t="str">
        <f t="shared" si="3"/>
        <v>2009 Q1</v>
      </c>
      <c r="J61" s="154">
        <f t="shared" si="6"/>
        <v>31357.319999999996</v>
      </c>
      <c r="K61" s="346">
        <v>995.11</v>
      </c>
      <c r="L61" s="155">
        <f t="shared" si="7"/>
        <v>2.4500000000000001E-2</v>
      </c>
      <c r="M61" s="154">
        <f t="shared" si="4"/>
        <v>64.02</v>
      </c>
      <c r="N61" s="156">
        <f t="shared" si="5"/>
        <v>32416.449999999997</v>
      </c>
      <c r="O61" s="156"/>
      <c r="P61" s="347"/>
    </row>
    <row r="62" spans="2:16" ht="13.5" thickBot="1" x14ac:dyDescent="0.25">
      <c r="F62" s="151">
        <v>39873</v>
      </c>
      <c r="G62" s="152">
        <f t="shared" si="1"/>
        <v>2009</v>
      </c>
      <c r="H62" s="152" t="str">
        <f t="shared" si="2"/>
        <v>Q1</v>
      </c>
      <c r="I62" s="153" t="str">
        <f t="shared" si="3"/>
        <v>2009 Q1</v>
      </c>
      <c r="J62" s="154">
        <f t="shared" si="6"/>
        <v>32352.429999999997</v>
      </c>
      <c r="K62" s="346">
        <v>976.99</v>
      </c>
      <c r="L62" s="155">
        <f t="shared" si="7"/>
        <v>2.4500000000000001E-2</v>
      </c>
      <c r="M62" s="154">
        <f t="shared" si="4"/>
        <v>66.05</v>
      </c>
      <c r="N62" s="156">
        <f t="shared" si="5"/>
        <v>33395.47</v>
      </c>
      <c r="O62" s="156"/>
      <c r="P62" s="347"/>
    </row>
    <row r="63" spans="2:16" ht="13.5" thickBot="1" x14ac:dyDescent="0.25">
      <c r="F63" s="151">
        <v>39904</v>
      </c>
      <c r="G63" s="152">
        <f t="shared" si="1"/>
        <v>2009</v>
      </c>
      <c r="H63" s="152" t="str">
        <f t="shared" si="2"/>
        <v>Q2</v>
      </c>
      <c r="I63" s="153" t="str">
        <f t="shared" si="3"/>
        <v>2009 Q2</v>
      </c>
      <c r="J63" s="154">
        <f t="shared" si="6"/>
        <v>33329.42</v>
      </c>
      <c r="K63" s="346">
        <v>1022.51</v>
      </c>
      <c r="L63" s="155">
        <f t="shared" si="7"/>
        <v>0.01</v>
      </c>
      <c r="M63" s="154">
        <f t="shared" si="4"/>
        <v>27.77</v>
      </c>
      <c r="N63" s="156">
        <f t="shared" si="5"/>
        <v>34379.699999999997</v>
      </c>
      <c r="O63" s="156"/>
      <c r="P63" s="347"/>
    </row>
    <row r="64" spans="2:16" ht="13.5" thickBot="1" x14ac:dyDescent="0.25">
      <c r="F64" s="151">
        <v>39934</v>
      </c>
      <c r="G64" s="152">
        <f t="shared" si="1"/>
        <v>2009</v>
      </c>
      <c r="H64" s="152" t="str">
        <f t="shared" si="2"/>
        <v>Q2</v>
      </c>
      <c r="I64" s="153" t="str">
        <f t="shared" si="3"/>
        <v>2009 Q2</v>
      </c>
      <c r="J64" s="154">
        <f t="shared" si="6"/>
        <v>34351.93</v>
      </c>
      <c r="K64" s="346">
        <v>942.62</v>
      </c>
      <c r="L64" s="155">
        <f t="shared" si="7"/>
        <v>0.01</v>
      </c>
      <c r="M64" s="154">
        <f t="shared" si="4"/>
        <v>28.63</v>
      </c>
      <c r="N64" s="156">
        <f t="shared" si="5"/>
        <v>35323.18</v>
      </c>
      <c r="O64" s="156"/>
      <c r="P64" s="347"/>
    </row>
    <row r="65" spans="6:16" ht="13.5" thickBot="1" x14ac:dyDescent="0.25">
      <c r="F65" s="151">
        <v>39965</v>
      </c>
      <c r="G65" s="152">
        <f t="shared" si="1"/>
        <v>2009</v>
      </c>
      <c r="H65" s="152" t="str">
        <f t="shared" si="2"/>
        <v>Q2</v>
      </c>
      <c r="I65" s="153" t="str">
        <f t="shared" si="3"/>
        <v>2009 Q2</v>
      </c>
      <c r="J65" s="154">
        <f t="shared" si="6"/>
        <v>35294.550000000003</v>
      </c>
      <c r="K65" s="346">
        <v>963.33</v>
      </c>
      <c r="L65" s="155">
        <f t="shared" si="7"/>
        <v>0.01</v>
      </c>
      <c r="M65" s="154">
        <f t="shared" si="4"/>
        <v>29.41</v>
      </c>
      <c r="N65" s="156">
        <f t="shared" si="5"/>
        <v>36287.290000000008</v>
      </c>
      <c r="O65" s="156"/>
      <c r="P65" s="347"/>
    </row>
    <row r="66" spans="6:16" ht="13.5" thickBot="1" x14ac:dyDescent="0.25">
      <c r="F66" s="151">
        <v>39995</v>
      </c>
      <c r="G66" s="152">
        <f t="shared" si="1"/>
        <v>2009</v>
      </c>
      <c r="H66" s="152" t="str">
        <f t="shared" si="2"/>
        <v>Q3</v>
      </c>
      <c r="I66" s="153" t="str">
        <f t="shared" si="3"/>
        <v>2009 Q3</v>
      </c>
      <c r="J66" s="154">
        <f t="shared" si="6"/>
        <v>36257.880000000005</v>
      </c>
      <c r="K66" s="346">
        <v>1144.46</v>
      </c>
      <c r="L66" s="155">
        <f t="shared" si="7"/>
        <v>5.4999999999999997E-3</v>
      </c>
      <c r="M66" s="154">
        <f t="shared" si="4"/>
        <v>16.62</v>
      </c>
      <c r="N66" s="156">
        <f t="shared" si="5"/>
        <v>37418.960000000006</v>
      </c>
      <c r="O66" s="156"/>
      <c r="P66" s="347"/>
    </row>
    <row r="67" spans="6:16" ht="13.5" thickBot="1" x14ac:dyDescent="0.25">
      <c r="F67" s="151">
        <v>40026</v>
      </c>
      <c r="G67" s="152">
        <f t="shared" si="1"/>
        <v>2009</v>
      </c>
      <c r="H67" s="152" t="str">
        <f t="shared" si="2"/>
        <v>Q3</v>
      </c>
      <c r="I67" s="153" t="str">
        <f t="shared" si="3"/>
        <v>2009 Q3</v>
      </c>
      <c r="J67" s="154">
        <f t="shared" si="6"/>
        <v>37402.340000000004</v>
      </c>
      <c r="K67" s="346">
        <v>1133.52</v>
      </c>
      <c r="L67" s="155">
        <f t="shared" si="7"/>
        <v>5.4999999999999997E-3</v>
      </c>
      <c r="M67" s="154">
        <f t="shared" si="4"/>
        <v>17.14</v>
      </c>
      <c r="N67" s="156">
        <f t="shared" si="5"/>
        <v>38553</v>
      </c>
      <c r="O67" s="156"/>
      <c r="P67" s="347"/>
    </row>
    <row r="68" spans="6:16" ht="13.5" thickBot="1" x14ac:dyDescent="0.25">
      <c r="F68" s="151">
        <v>40057</v>
      </c>
      <c r="G68" s="152">
        <f t="shared" si="1"/>
        <v>2009</v>
      </c>
      <c r="H68" s="152" t="str">
        <f t="shared" si="2"/>
        <v>Q3</v>
      </c>
      <c r="I68" s="153" t="str">
        <f t="shared" si="3"/>
        <v>2009 Q3</v>
      </c>
      <c r="J68" s="154">
        <f t="shared" si="6"/>
        <v>38535.86</v>
      </c>
      <c r="K68" s="346">
        <v>2715.35</v>
      </c>
      <c r="L68" s="155">
        <f t="shared" si="7"/>
        <v>5.4999999999999997E-3</v>
      </c>
      <c r="M68" s="154">
        <f t="shared" si="4"/>
        <v>17.66</v>
      </c>
      <c r="N68" s="156">
        <f t="shared" si="5"/>
        <v>41268.870000000003</v>
      </c>
      <c r="O68" s="156"/>
      <c r="P68" s="347"/>
    </row>
    <row r="69" spans="6:16" ht="13.5" thickBot="1" x14ac:dyDescent="0.25">
      <c r="F69" s="151">
        <v>40087</v>
      </c>
      <c r="G69" s="152">
        <f t="shared" si="1"/>
        <v>2009</v>
      </c>
      <c r="H69" s="152" t="str">
        <f t="shared" si="2"/>
        <v>Q4</v>
      </c>
      <c r="I69" s="153" t="str">
        <f t="shared" si="3"/>
        <v>2009 Q4</v>
      </c>
      <c r="J69" s="154">
        <f t="shared" si="6"/>
        <v>41251.21</v>
      </c>
      <c r="K69" s="346">
        <v>3550.11</v>
      </c>
      <c r="L69" s="155">
        <f t="shared" si="7"/>
        <v>5.4999999999999997E-3</v>
      </c>
      <c r="M69" s="154">
        <f t="shared" si="4"/>
        <v>18.91</v>
      </c>
      <c r="N69" s="156">
        <f t="shared" si="5"/>
        <v>44820.23</v>
      </c>
      <c r="O69" s="156"/>
      <c r="P69" s="347"/>
    </row>
    <row r="70" spans="6:16" ht="13.5" thickBot="1" x14ac:dyDescent="0.25">
      <c r="F70" s="151">
        <v>40118</v>
      </c>
      <c r="G70" s="152">
        <f t="shared" si="1"/>
        <v>2009</v>
      </c>
      <c r="H70" s="152" t="str">
        <f t="shared" si="2"/>
        <v>Q4</v>
      </c>
      <c r="I70" s="153" t="str">
        <f t="shared" si="3"/>
        <v>2009 Q4</v>
      </c>
      <c r="J70" s="154">
        <f t="shared" si="6"/>
        <v>44801.32</v>
      </c>
      <c r="K70" s="346">
        <v>3973.24</v>
      </c>
      <c r="L70" s="155">
        <f t="shared" si="7"/>
        <v>5.4999999999999997E-3</v>
      </c>
      <c r="M70" s="154">
        <f t="shared" si="4"/>
        <v>20.53</v>
      </c>
      <c r="N70" s="156">
        <f t="shared" si="5"/>
        <v>48795.09</v>
      </c>
      <c r="O70" s="156"/>
      <c r="P70" s="347"/>
    </row>
    <row r="71" spans="6:16" ht="13.5" thickBot="1" x14ac:dyDescent="0.25">
      <c r="F71" s="151">
        <v>40148</v>
      </c>
      <c r="G71" s="152">
        <f t="shared" si="1"/>
        <v>2009</v>
      </c>
      <c r="H71" s="152" t="str">
        <f t="shared" si="2"/>
        <v>Q4</v>
      </c>
      <c r="I71" s="153" t="str">
        <f t="shared" si="3"/>
        <v>2009 Q4</v>
      </c>
      <c r="J71" s="154">
        <f t="shared" si="6"/>
        <v>48774.559999999998</v>
      </c>
      <c r="K71" s="346">
        <v>3878.3</v>
      </c>
      <c r="L71" s="155">
        <f t="shared" si="7"/>
        <v>5.4999999999999997E-3</v>
      </c>
      <c r="M71" s="154">
        <f t="shared" si="4"/>
        <v>22.36</v>
      </c>
      <c r="N71" s="156">
        <f t="shared" si="5"/>
        <v>52675.22</v>
      </c>
      <c r="O71" s="156">
        <f>SUM(K60:K71)+SUM(M60:M71)</f>
        <v>22595.13</v>
      </c>
      <c r="P71" s="347"/>
    </row>
    <row r="72" spans="6:16" ht="13.5" thickBot="1" x14ac:dyDescent="0.25">
      <c r="F72" s="151">
        <v>40179</v>
      </c>
      <c r="G72" s="152">
        <f t="shared" si="1"/>
        <v>2010</v>
      </c>
      <c r="H72" s="152" t="str">
        <f t="shared" si="2"/>
        <v>Q1</v>
      </c>
      <c r="I72" s="153" t="str">
        <f t="shared" si="3"/>
        <v>2010 Q1</v>
      </c>
      <c r="J72" s="154">
        <f t="shared" si="6"/>
        <v>52652.86</v>
      </c>
      <c r="K72" s="346">
        <v>3526.8</v>
      </c>
      <c r="L72" s="155">
        <f t="shared" si="7"/>
        <v>5.4999999999999997E-3</v>
      </c>
      <c r="M72" s="154">
        <f t="shared" si="4"/>
        <v>24.13</v>
      </c>
      <c r="N72" s="156">
        <f t="shared" si="5"/>
        <v>56203.79</v>
      </c>
      <c r="O72" s="156"/>
      <c r="P72" s="347"/>
    </row>
    <row r="73" spans="6:16" ht="13.5" thickBot="1" x14ac:dyDescent="0.25">
      <c r="F73" s="151">
        <v>40210</v>
      </c>
      <c r="G73" s="152">
        <f t="shared" si="1"/>
        <v>2010</v>
      </c>
      <c r="H73" s="152" t="str">
        <f t="shared" si="2"/>
        <v>Q1</v>
      </c>
      <c r="I73" s="153" t="str">
        <f t="shared" si="3"/>
        <v>2010 Q1</v>
      </c>
      <c r="J73" s="154">
        <f t="shared" si="6"/>
        <v>56179.66</v>
      </c>
      <c r="K73" s="346">
        <v>3778.2</v>
      </c>
      <c r="L73" s="155">
        <f t="shared" si="7"/>
        <v>5.4999999999999997E-3</v>
      </c>
      <c r="M73" s="154">
        <f t="shared" si="4"/>
        <v>25.75</v>
      </c>
      <c r="N73" s="156">
        <f t="shared" si="5"/>
        <v>59983.61</v>
      </c>
      <c r="O73" s="156"/>
      <c r="P73" s="347"/>
    </row>
    <row r="74" spans="6:16" ht="13.5" thickBot="1" x14ac:dyDescent="0.25">
      <c r="F74" s="151">
        <v>40238</v>
      </c>
      <c r="G74" s="152">
        <f t="shared" si="1"/>
        <v>2010</v>
      </c>
      <c r="H74" s="152" t="str">
        <f t="shared" si="2"/>
        <v>Q1</v>
      </c>
      <c r="I74" s="153" t="str">
        <f t="shared" si="3"/>
        <v>2010 Q1</v>
      </c>
      <c r="J74" s="154">
        <f t="shared" si="6"/>
        <v>59957.86</v>
      </c>
      <c r="K74" s="346">
        <v>4225.1899999999996</v>
      </c>
      <c r="L74" s="155">
        <f t="shared" si="7"/>
        <v>5.4999999999999997E-3</v>
      </c>
      <c r="M74" s="154">
        <f t="shared" si="4"/>
        <v>27.48</v>
      </c>
      <c r="N74" s="156">
        <f t="shared" si="5"/>
        <v>64210.530000000006</v>
      </c>
      <c r="O74" s="156"/>
      <c r="P74" s="347"/>
    </row>
    <row r="75" spans="6:16" ht="13.5" thickBot="1" x14ac:dyDescent="0.25">
      <c r="F75" s="151">
        <v>40269</v>
      </c>
      <c r="G75" s="152">
        <f t="shared" si="1"/>
        <v>2010</v>
      </c>
      <c r="H75" s="152" t="str">
        <f t="shared" si="2"/>
        <v>Q2</v>
      </c>
      <c r="I75" s="153" t="str">
        <f t="shared" si="3"/>
        <v>2010 Q2</v>
      </c>
      <c r="J75" s="154">
        <f t="shared" si="6"/>
        <v>64183.05</v>
      </c>
      <c r="K75" s="346">
        <v>3327.28</v>
      </c>
      <c r="L75" s="155">
        <f t="shared" si="7"/>
        <v>5.4999999999999997E-3</v>
      </c>
      <c r="M75" s="154">
        <f t="shared" si="4"/>
        <v>29.42</v>
      </c>
      <c r="N75" s="156">
        <f t="shared" si="5"/>
        <v>67539.75</v>
      </c>
      <c r="O75" s="156"/>
      <c r="P75" s="347"/>
    </row>
    <row r="76" spans="6:16" ht="13.5" thickBot="1" x14ac:dyDescent="0.25">
      <c r="F76" s="151">
        <v>40299</v>
      </c>
      <c r="G76" s="152">
        <f t="shared" si="1"/>
        <v>2010</v>
      </c>
      <c r="H76" s="152" t="str">
        <f t="shared" si="2"/>
        <v>Q2</v>
      </c>
      <c r="I76" s="153" t="str">
        <f t="shared" si="3"/>
        <v>2010 Q2</v>
      </c>
      <c r="J76" s="154">
        <f t="shared" si="6"/>
        <v>67510.33</v>
      </c>
      <c r="K76" s="346">
        <v>3937.87</v>
      </c>
      <c r="L76" s="155">
        <f t="shared" si="7"/>
        <v>5.4999999999999997E-3</v>
      </c>
      <c r="M76" s="154">
        <f t="shared" si="4"/>
        <v>30.94</v>
      </c>
      <c r="N76" s="156">
        <f t="shared" si="5"/>
        <v>71479.14</v>
      </c>
      <c r="O76" s="156"/>
      <c r="P76" s="347"/>
    </row>
    <row r="77" spans="6:16" ht="13.5" thickBot="1" x14ac:dyDescent="0.25">
      <c r="F77" s="151">
        <v>40330</v>
      </c>
      <c r="G77" s="152">
        <f t="shared" si="1"/>
        <v>2010</v>
      </c>
      <c r="H77" s="152" t="str">
        <f t="shared" si="2"/>
        <v>Q2</v>
      </c>
      <c r="I77" s="153" t="str">
        <f t="shared" si="3"/>
        <v>2010 Q2</v>
      </c>
      <c r="J77" s="154">
        <f t="shared" si="6"/>
        <v>71448.2</v>
      </c>
      <c r="K77" s="346">
        <v>3978.2</v>
      </c>
      <c r="L77" s="155">
        <f t="shared" si="7"/>
        <v>5.4999999999999997E-3</v>
      </c>
      <c r="M77" s="154">
        <f t="shared" si="4"/>
        <v>32.75</v>
      </c>
      <c r="N77" s="156">
        <f t="shared" si="5"/>
        <v>75459.149999999994</v>
      </c>
      <c r="O77" s="156"/>
      <c r="P77" s="347"/>
    </row>
    <row r="78" spans="6:16" ht="13.5" thickBot="1" x14ac:dyDescent="0.25">
      <c r="F78" s="151">
        <v>40360</v>
      </c>
      <c r="G78" s="152">
        <f t="shared" si="1"/>
        <v>2010</v>
      </c>
      <c r="H78" s="152" t="str">
        <f t="shared" si="2"/>
        <v>Q3</v>
      </c>
      <c r="I78" s="153" t="str">
        <f t="shared" si="3"/>
        <v>2010 Q3</v>
      </c>
      <c r="J78" s="154">
        <f t="shared" si="6"/>
        <v>75426.399999999994</v>
      </c>
      <c r="K78" s="346">
        <v>3613.42</v>
      </c>
      <c r="L78" s="155">
        <f t="shared" si="7"/>
        <v>8.8999999999999999E-3</v>
      </c>
      <c r="M78" s="154">
        <f t="shared" si="4"/>
        <v>55.94</v>
      </c>
      <c r="N78" s="156">
        <f t="shared" si="5"/>
        <v>79095.759999999995</v>
      </c>
      <c r="O78" s="156"/>
      <c r="P78" s="347"/>
    </row>
    <row r="79" spans="6:16" ht="13.5" thickBot="1" x14ac:dyDescent="0.25">
      <c r="F79" s="151">
        <v>40391</v>
      </c>
      <c r="G79" s="152">
        <f t="shared" si="1"/>
        <v>2010</v>
      </c>
      <c r="H79" s="152" t="str">
        <f t="shared" si="2"/>
        <v>Q3</v>
      </c>
      <c r="I79" s="153" t="str">
        <f t="shared" si="3"/>
        <v>2010 Q3</v>
      </c>
      <c r="J79" s="154">
        <f t="shared" si="6"/>
        <v>79039.819999999992</v>
      </c>
      <c r="K79" s="346">
        <v>4181.18</v>
      </c>
      <c r="L79" s="155">
        <f t="shared" si="7"/>
        <v>8.8999999999999999E-3</v>
      </c>
      <c r="M79" s="154">
        <f t="shared" si="4"/>
        <v>58.62</v>
      </c>
      <c r="N79" s="156">
        <f t="shared" si="5"/>
        <v>83279.62</v>
      </c>
      <c r="O79" s="156"/>
      <c r="P79" s="347"/>
    </row>
    <row r="80" spans="6:16" ht="13.5" thickBot="1" x14ac:dyDescent="0.25">
      <c r="F80" s="151">
        <v>40422</v>
      </c>
      <c r="G80" s="152">
        <f t="shared" si="1"/>
        <v>2010</v>
      </c>
      <c r="H80" s="152" t="str">
        <f t="shared" si="2"/>
        <v>Q3</v>
      </c>
      <c r="I80" s="153" t="str">
        <f t="shared" si="3"/>
        <v>2010 Q3</v>
      </c>
      <c r="J80" s="154">
        <f t="shared" si="6"/>
        <v>83221</v>
      </c>
      <c r="K80" s="346">
        <v>3700.62</v>
      </c>
      <c r="L80" s="155">
        <f t="shared" si="7"/>
        <v>8.8999999999999999E-3</v>
      </c>
      <c r="M80" s="154">
        <f t="shared" si="4"/>
        <v>61.72</v>
      </c>
      <c r="N80" s="156">
        <f t="shared" si="5"/>
        <v>86983.34</v>
      </c>
      <c r="O80" s="156"/>
      <c r="P80" s="347"/>
    </row>
    <row r="81" spans="6:16" ht="13.5" thickBot="1" x14ac:dyDescent="0.25">
      <c r="F81" s="151">
        <v>40452</v>
      </c>
      <c r="G81" s="152">
        <f t="shared" si="1"/>
        <v>2010</v>
      </c>
      <c r="H81" s="152" t="str">
        <f t="shared" si="2"/>
        <v>Q4</v>
      </c>
      <c r="I81" s="153" t="str">
        <f t="shared" si="3"/>
        <v>2010 Q4</v>
      </c>
      <c r="J81" s="154">
        <f t="shared" si="6"/>
        <v>86921.62</v>
      </c>
      <c r="K81" s="346">
        <v>3794.98</v>
      </c>
      <c r="L81" s="155">
        <f t="shared" si="7"/>
        <v>1.2E-2</v>
      </c>
      <c r="M81" s="154">
        <f t="shared" si="4"/>
        <v>86.92</v>
      </c>
      <c r="N81" s="156">
        <f t="shared" si="5"/>
        <v>90803.51999999999</v>
      </c>
      <c r="O81" s="156"/>
      <c r="P81" s="347"/>
    </row>
    <row r="82" spans="6:16" ht="13.5" thickBot="1" x14ac:dyDescent="0.25">
      <c r="F82" s="151">
        <v>40483</v>
      </c>
      <c r="G82" s="152">
        <f t="shared" si="1"/>
        <v>2010</v>
      </c>
      <c r="H82" s="152" t="str">
        <f t="shared" si="2"/>
        <v>Q4</v>
      </c>
      <c r="I82" s="153" t="str">
        <f t="shared" si="3"/>
        <v>2010 Q4</v>
      </c>
      <c r="J82" s="154">
        <f t="shared" si="6"/>
        <v>90716.599999999991</v>
      </c>
      <c r="K82" s="346">
        <v>3901.67</v>
      </c>
      <c r="L82" s="155">
        <f t="shared" si="7"/>
        <v>1.2E-2</v>
      </c>
      <c r="M82" s="154">
        <f t="shared" si="4"/>
        <v>90.72</v>
      </c>
      <c r="N82" s="156">
        <f t="shared" si="5"/>
        <v>94708.989999999991</v>
      </c>
      <c r="O82" s="156"/>
      <c r="P82" s="347"/>
    </row>
    <row r="83" spans="6:16" ht="13.5" thickBot="1" x14ac:dyDescent="0.25">
      <c r="F83" s="151">
        <v>40513</v>
      </c>
      <c r="G83" s="152">
        <f t="shared" si="1"/>
        <v>2010</v>
      </c>
      <c r="H83" s="152" t="str">
        <f t="shared" si="2"/>
        <v>Q4</v>
      </c>
      <c r="I83" s="153" t="str">
        <f t="shared" si="3"/>
        <v>2010 Q4</v>
      </c>
      <c r="J83" s="154">
        <f t="shared" si="6"/>
        <v>94618.26999999999</v>
      </c>
      <c r="K83" s="346">
        <v>4310.79</v>
      </c>
      <c r="L83" s="155">
        <f t="shared" si="7"/>
        <v>1.2E-2</v>
      </c>
      <c r="M83" s="154">
        <f t="shared" si="4"/>
        <v>94.62</v>
      </c>
      <c r="N83" s="156">
        <f t="shared" si="5"/>
        <v>99023.679999999978</v>
      </c>
      <c r="O83" s="156">
        <f>SUM(K72:K83)+SUM(M72:M83)</f>
        <v>46895.210000000006</v>
      </c>
      <c r="P83" s="347"/>
    </row>
    <row r="84" spans="6:16" ht="13.5" thickBot="1" x14ac:dyDescent="0.25">
      <c r="F84" s="151">
        <v>40544</v>
      </c>
      <c r="G84" s="152">
        <f t="shared" si="1"/>
        <v>2011</v>
      </c>
      <c r="H84" s="152" t="str">
        <f t="shared" si="2"/>
        <v>Q1</v>
      </c>
      <c r="I84" s="153" t="str">
        <f t="shared" si="3"/>
        <v>2011 Q1</v>
      </c>
      <c r="J84" s="154">
        <f t="shared" si="6"/>
        <v>98929.059999999983</v>
      </c>
      <c r="K84" s="346">
        <v>3135.63</v>
      </c>
      <c r="L84" s="155">
        <f t="shared" si="7"/>
        <v>1.47E-2</v>
      </c>
      <c r="M84" s="154">
        <f t="shared" si="4"/>
        <v>121.19</v>
      </c>
      <c r="N84" s="156">
        <f t="shared" si="5"/>
        <v>102185.87999999999</v>
      </c>
      <c r="O84" s="156"/>
      <c r="P84" s="347"/>
    </row>
    <row r="85" spans="6:16" ht="13.5" thickBot="1" x14ac:dyDescent="0.25">
      <c r="F85" s="151">
        <v>40575</v>
      </c>
      <c r="G85" s="152">
        <f t="shared" si="1"/>
        <v>2011</v>
      </c>
      <c r="H85" s="152" t="str">
        <f t="shared" si="2"/>
        <v>Q1</v>
      </c>
      <c r="I85" s="153" t="str">
        <f t="shared" si="3"/>
        <v>2011 Q1</v>
      </c>
      <c r="J85" s="154">
        <f t="shared" si="6"/>
        <v>102064.68999999999</v>
      </c>
      <c r="K85" s="346">
        <v>5276.07</v>
      </c>
      <c r="L85" s="155">
        <f t="shared" si="7"/>
        <v>1.47E-2</v>
      </c>
      <c r="M85" s="154">
        <f t="shared" si="4"/>
        <v>125.03</v>
      </c>
      <c r="N85" s="156">
        <f t="shared" si="5"/>
        <v>107465.78999999998</v>
      </c>
      <c r="O85" s="156"/>
      <c r="P85" s="347"/>
    </row>
    <row r="86" spans="6:16" ht="13.5" thickBot="1" x14ac:dyDescent="0.25">
      <c r="F86" s="151">
        <v>40603</v>
      </c>
      <c r="G86" s="152">
        <f t="shared" si="1"/>
        <v>2011</v>
      </c>
      <c r="H86" s="152" t="str">
        <f t="shared" si="2"/>
        <v>Q1</v>
      </c>
      <c r="I86" s="153" t="str">
        <f t="shared" si="3"/>
        <v>2011 Q1</v>
      </c>
      <c r="J86" s="154">
        <f t="shared" si="6"/>
        <v>107340.75999999998</v>
      </c>
      <c r="K86" s="346">
        <v>3780.32</v>
      </c>
      <c r="L86" s="155">
        <f t="shared" si="7"/>
        <v>1.47E-2</v>
      </c>
      <c r="M86" s="154">
        <f t="shared" si="4"/>
        <v>131.49</v>
      </c>
      <c r="N86" s="156">
        <f t="shared" si="5"/>
        <v>111252.56999999999</v>
      </c>
      <c r="O86" s="156"/>
      <c r="P86" s="347"/>
    </row>
    <row r="87" spans="6:16" ht="13.5" thickBot="1" x14ac:dyDescent="0.25">
      <c r="F87" s="151">
        <v>40634</v>
      </c>
      <c r="G87" s="152">
        <f t="shared" si="1"/>
        <v>2011</v>
      </c>
      <c r="H87" s="152" t="str">
        <f t="shared" si="2"/>
        <v>Q2</v>
      </c>
      <c r="I87" s="153" t="str">
        <f t="shared" si="3"/>
        <v>2011 Q2</v>
      </c>
      <c r="J87" s="154">
        <f t="shared" si="6"/>
        <v>111121.07999999999</v>
      </c>
      <c r="K87" s="346">
        <v>3886.37</v>
      </c>
      <c r="L87" s="155">
        <f t="shared" si="7"/>
        <v>1.47E-2</v>
      </c>
      <c r="M87" s="154">
        <f t="shared" si="4"/>
        <v>136.12</v>
      </c>
      <c r="N87" s="156">
        <f t="shared" si="5"/>
        <v>115143.56999999998</v>
      </c>
      <c r="O87" s="156"/>
      <c r="P87" s="347"/>
    </row>
    <row r="88" spans="6:16" ht="13.5" thickBot="1" x14ac:dyDescent="0.25">
      <c r="F88" s="151">
        <v>40664</v>
      </c>
      <c r="G88" s="152">
        <f t="shared" si="1"/>
        <v>2011</v>
      </c>
      <c r="H88" s="152" t="str">
        <f t="shared" si="2"/>
        <v>Q2</v>
      </c>
      <c r="I88" s="153" t="str">
        <f t="shared" si="3"/>
        <v>2011 Q2</v>
      </c>
      <c r="J88" s="154">
        <f t="shared" si="6"/>
        <v>115007.44999999998</v>
      </c>
      <c r="K88" s="346">
        <v>3795.21</v>
      </c>
      <c r="L88" s="155">
        <f t="shared" ref="L88:L119" si="8">VLOOKUP(I88,$B$22:$D$55,2)</f>
        <v>1.47E-2</v>
      </c>
      <c r="M88" s="154">
        <f t="shared" si="4"/>
        <v>140.88</v>
      </c>
      <c r="N88" s="156">
        <f t="shared" si="5"/>
        <v>118943.54</v>
      </c>
      <c r="O88" s="156"/>
      <c r="P88" s="347"/>
    </row>
    <row r="89" spans="6:16" ht="13.5" thickBot="1" x14ac:dyDescent="0.25">
      <c r="F89" s="151">
        <v>40695</v>
      </c>
      <c r="G89" s="152">
        <f t="shared" ref="G89:G119" si="9">YEAR(F89)</f>
        <v>2011</v>
      </c>
      <c r="H89" s="152" t="str">
        <f t="shared" ref="H89:H119" si="10">IF(MONTH(F89)=0,"",IF(MONTH(F89)&lt;4,"Q1",IF(MONTH(F89)&lt;7,"Q2",IF(MONTH(F89)&lt;10,"Q3","Q4"))))</f>
        <v>Q2</v>
      </c>
      <c r="I89" s="153" t="str">
        <f t="shared" ref="I89:I119" si="11">CONCATENATE(G89," ",H89)</f>
        <v>2011 Q2</v>
      </c>
      <c r="J89" s="154">
        <f t="shared" si="6"/>
        <v>118802.65999999999</v>
      </c>
      <c r="K89" s="346">
        <v>7915.74</v>
      </c>
      <c r="L89" s="155">
        <f t="shared" si="8"/>
        <v>1.47E-2</v>
      </c>
      <c r="M89" s="154">
        <f t="shared" ref="M89:M107" si="12">ROUND(J89*L89/12,2)</f>
        <v>145.53</v>
      </c>
      <c r="N89" s="156">
        <f t="shared" ref="N89:N107" si="13">J89+K89+M89</f>
        <v>126863.93</v>
      </c>
      <c r="O89" s="156"/>
      <c r="P89" s="347"/>
    </row>
    <row r="90" spans="6:16" ht="13.5" thickBot="1" x14ac:dyDescent="0.25">
      <c r="F90" s="151">
        <v>40725</v>
      </c>
      <c r="G90" s="152">
        <f t="shared" si="9"/>
        <v>2011</v>
      </c>
      <c r="H90" s="152" t="str">
        <f t="shared" si="10"/>
        <v>Q3</v>
      </c>
      <c r="I90" s="153" t="str">
        <f t="shared" si="11"/>
        <v>2011 Q3</v>
      </c>
      <c r="J90" s="154">
        <f t="shared" ref="J90:J119" si="14">J89+K89</f>
        <v>126718.39999999999</v>
      </c>
      <c r="K90" s="346">
        <v>7676.7</v>
      </c>
      <c r="L90" s="155">
        <f t="shared" si="8"/>
        <v>1.47E-2</v>
      </c>
      <c r="M90" s="154">
        <f t="shared" si="12"/>
        <v>155.22999999999999</v>
      </c>
      <c r="N90" s="156">
        <f t="shared" si="13"/>
        <v>134550.33000000002</v>
      </c>
      <c r="O90" s="156"/>
      <c r="P90" s="347"/>
    </row>
    <row r="91" spans="6:16" ht="13.5" thickBot="1" x14ac:dyDescent="0.25">
      <c r="F91" s="151">
        <v>40756</v>
      </c>
      <c r="G91" s="152">
        <f t="shared" si="9"/>
        <v>2011</v>
      </c>
      <c r="H91" s="152" t="str">
        <f t="shared" si="10"/>
        <v>Q3</v>
      </c>
      <c r="I91" s="153" t="str">
        <f t="shared" si="11"/>
        <v>2011 Q3</v>
      </c>
      <c r="J91" s="154">
        <f t="shared" si="14"/>
        <v>134395.1</v>
      </c>
      <c r="K91" s="346">
        <v>7908.09</v>
      </c>
      <c r="L91" s="155">
        <f t="shared" si="8"/>
        <v>1.47E-2</v>
      </c>
      <c r="M91" s="154">
        <f t="shared" si="12"/>
        <v>164.63</v>
      </c>
      <c r="N91" s="156">
        <f t="shared" si="13"/>
        <v>142467.82</v>
      </c>
      <c r="O91" s="156"/>
      <c r="P91" s="347"/>
    </row>
    <row r="92" spans="6:16" ht="13.5" thickBot="1" x14ac:dyDescent="0.25">
      <c r="F92" s="151">
        <v>40787</v>
      </c>
      <c r="G92" s="152">
        <f t="shared" si="9"/>
        <v>2011</v>
      </c>
      <c r="H92" s="152" t="str">
        <f t="shared" si="10"/>
        <v>Q3</v>
      </c>
      <c r="I92" s="153" t="str">
        <f t="shared" si="11"/>
        <v>2011 Q3</v>
      </c>
      <c r="J92" s="154">
        <f t="shared" si="14"/>
        <v>142303.19</v>
      </c>
      <c r="K92" s="346">
        <v>7825.11</v>
      </c>
      <c r="L92" s="155">
        <f t="shared" si="8"/>
        <v>1.47E-2</v>
      </c>
      <c r="M92" s="154">
        <f t="shared" si="12"/>
        <v>174.32</v>
      </c>
      <c r="N92" s="156">
        <f t="shared" si="13"/>
        <v>150302.62</v>
      </c>
      <c r="O92" s="156"/>
      <c r="P92" s="347"/>
    </row>
    <row r="93" spans="6:16" ht="13.5" thickBot="1" x14ac:dyDescent="0.25">
      <c r="F93" s="151">
        <v>40817</v>
      </c>
      <c r="G93" s="152">
        <f t="shared" si="9"/>
        <v>2011</v>
      </c>
      <c r="H93" s="152" t="str">
        <f t="shared" si="10"/>
        <v>Q4</v>
      </c>
      <c r="I93" s="153" t="str">
        <f t="shared" si="11"/>
        <v>2011 Q4</v>
      </c>
      <c r="J93" s="154">
        <f t="shared" si="14"/>
        <v>150128.29999999999</v>
      </c>
      <c r="K93" s="346">
        <v>7406.77</v>
      </c>
      <c r="L93" s="155">
        <f t="shared" si="8"/>
        <v>1.47E-2</v>
      </c>
      <c r="M93" s="154">
        <f t="shared" si="12"/>
        <v>183.91</v>
      </c>
      <c r="N93" s="156">
        <f t="shared" si="13"/>
        <v>157718.97999999998</v>
      </c>
      <c r="O93" s="156"/>
      <c r="P93" s="347"/>
    </row>
    <row r="94" spans="6:16" ht="13.5" thickBot="1" x14ac:dyDescent="0.25">
      <c r="F94" s="151">
        <v>40848</v>
      </c>
      <c r="G94" s="152">
        <f t="shared" si="9"/>
        <v>2011</v>
      </c>
      <c r="H94" s="152" t="str">
        <f t="shared" si="10"/>
        <v>Q4</v>
      </c>
      <c r="I94" s="153" t="str">
        <f t="shared" si="11"/>
        <v>2011 Q4</v>
      </c>
      <c r="J94" s="154">
        <f t="shared" si="14"/>
        <v>157535.06999999998</v>
      </c>
      <c r="K94" s="346">
        <v>7713.47</v>
      </c>
      <c r="L94" s="155">
        <f t="shared" si="8"/>
        <v>1.47E-2</v>
      </c>
      <c r="M94" s="154">
        <f t="shared" si="12"/>
        <v>192.98</v>
      </c>
      <c r="N94" s="156">
        <f t="shared" si="13"/>
        <v>165441.51999999999</v>
      </c>
      <c r="O94" s="156"/>
      <c r="P94" s="347"/>
    </row>
    <row r="95" spans="6:16" ht="13.5" thickBot="1" x14ac:dyDescent="0.25">
      <c r="F95" s="151">
        <v>40878</v>
      </c>
      <c r="G95" s="152">
        <f t="shared" si="9"/>
        <v>2011</v>
      </c>
      <c r="H95" s="152" t="str">
        <f t="shared" si="10"/>
        <v>Q4</v>
      </c>
      <c r="I95" s="153" t="str">
        <f t="shared" si="11"/>
        <v>2011 Q4</v>
      </c>
      <c r="J95" s="154">
        <f t="shared" si="14"/>
        <v>165248.53999999998</v>
      </c>
      <c r="K95" s="346">
        <v>7453.75</v>
      </c>
      <c r="L95" s="155">
        <f t="shared" si="8"/>
        <v>1.47E-2</v>
      </c>
      <c r="M95" s="154">
        <f t="shared" si="12"/>
        <v>202.43</v>
      </c>
      <c r="N95" s="156">
        <f t="shared" si="13"/>
        <v>172904.71999999997</v>
      </c>
      <c r="O95" s="156">
        <f>SUM(K84:K95)+SUM(M84:M95)</f>
        <v>75646.97</v>
      </c>
      <c r="P95" s="347"/>
    </row>
    <row r="96" spans="6:16" ht="13.5" thickBot="1" x14ac:dyDescent="0.25">
      <c r="F96" s="151">
        <v>40909</v>
      </c>
      <c r="G96" s="152">
        <f t="shared" si="9"/>
        <v>2012</v>
      </c>
      <c r="H96" s="152" t="str">
        <f t="shared" si="10"/>
        <v>Q1</v>
      </c>
      <c r="I96" s="153" t="str">
        <f t="shared" si="11"/>
        <v>2012 Q1</v>
      </c>
      <c r="J96" s="154">
        <f t="shared" si="14"/>
        <v>172702.28999999998</v>
      </c>
      <c r="K96" s="346">
        <v>7698.94</v>
      </c>
      <c r="L96" s="155">
        <f t="shared" si="8"/>
        <v>1.47E-2</v>
      </c>
      <c r="M96" s="154">
        <f t="shared" si="12"/>
        <v>211.56</v>
      </c>
      <c r="N96" s="156">
        <f t="shared" si="13"/>
        <v>180612.78999999998</v>
      </c>
      <c r="O96" s="156"/>
      <c r="P96" s="347"/>
    </row>
    <row r="97" spans="6:16" ht="13.5" thickBot="1" x14ac:dyDescent="0.25">
      <c r="F97" s="151">
        <v>40940</v>
      </c>
      <c r="G97" s="152">
        <f t="shared" si="9"/>
        <v>2012</v>
      </c>
      <c r="H97" s="152" t="str">
        <f t="shared" si="10"/>
        <v>Q1</v>
      </c>
      <c r="I97" s="153" t="str">
        <f t="shared" si="11"/>
        <v>2012 Q1</v>
      </c>
      <c r="J97" s="154">
        <f t="shared" si="14"/>
        <v>180401.22999999998</v>
      </c>
      <c r="K97" s="346">
        <v>7808.35</v>
      </c>
      <c r="L97" s="155">
        <f t="shared" si="8"/>
        <v>1.47E-2</v>
      </c>
      <c r="M97" s="154">
        <f t="shared" si="12"/>
        <v>220.99</v>
      </c>
      <c r="N97" s="156">
        <f t="shared" si="13"/>
        <v>188430.56999999998</v>
      </c>
      <c r="O97" s="156"/>
      <c r="P97" s="347"/>
    </row>
    <row r="98" spans="6:16" ht="13.5" thickBot="1" x14ac:dyDescent="0.25">
      <c r="F98" s="151">
        <v>40969</v>
      </c>
      <c r="G98" s="152">
        <f t="shared" si="9"/>
        <v>2012</v>
      </c>
      <c r="H98" s="152" t="str">
        <f t="shared" si="10"/>
        <v>Q1</v>
      </c>
      <c r="I98" s="153" t="str">
        <f t="shared" si="11"/>
        <v>2012 Q1</v>
      </c>
      <c r="J98" s="154">
        <f t="shared" si="14"/>
        <v>188209.58</v>
      </c>
      <c r="K98" s="346">
        <v>7284.77</v>
      </c>
      <c r="L98" s="205">
        <f t="shared" si="8"/>
        <v>1.47E-2</v>
      </c>
      <c r="M98" s="154">
        <f t="shared" si="12"/>
        <v>230.56</v>
      </c>
      <c r="N98" s="156">
        <f t="shared" si="13"/>
        <v>195724.90999999997</v>
      </c>
      <c r="O98" s="156"/>
      <c r="P98" s="347"/>
    </row>
    <row r="99" spans="6:16" ht="13.5" thickBot="1" x14ac:dyDescent="0.25">
      <c r="F99" s="151">
        <v>41000</v>
      </c>
      <c r="G99" s="152">
        <f t="shared" si="9"/>
        <v>2012</v>
      </c>
      <c r="H99" s="152" t="str">
        <f t="shared" si="10"/>
        <v>Q2</v>
      </c>
      <c r="I99" s="153" t="str">
        <f t="shared" si="11"/>
        <v>2012 Q2</v>
      </c>
      <c r="J99" s="154">
        <f t="shared" si="14"/>
        <v>195494.34999999998</v>
      </c>
      <c r="K99" s="346">
        <v>7765.56</v>
      </c>
      <c r="L99" s="350">
        <f t="shared" si="8"/>
        <v>1.47E-2</v>
      </c>
      <c r="M99" s="206">
        <f t="shared" si="12"/>
        <v>239.48</v>
      </c>
      <c r="N99" s="156">
        <f t="shared" si="13"/>
        <v>203499.38999999998</v>
      </c>
      <c r="O99" s="156"/>
      <c r="P99" s="347"/>
    </row>
    <row r="100" spans="6:16" ht="13.5" thickBot="1" x14ac:dyDescent="0.25">
      <c r="F100" s="151">
        <v>41030</v>
      </c>
      <c r="G100" s="152">
        <f t="shared" si="9"/>
        <v>2012</v>
      </c>
      <c r="H100" s="152" t="str">
        <f t="shared" si="10"/>
        <v>Q2</v>
      </c>
      <c r="I100" s="153" t="str">
        <f t="shared" si="11"/>
        <v>2012 Q2</v>
      </c>
      <c r="J100" s="154">
        <f t="shared" si="14"/>
        <v>203259.90999999997</v>
      </c>
      <c r="K100" s="346">
        <v>7481.52</v>
      </c>
      <c r="L100" s="350">
        <f t="shared" si="8"/>
        <v>1.47E-2</v>
      </c>
      <c r="M100" s="154">
        <f t="shared" si="12"/>
        <v>248.99</v>
      </c>
      <c r="N100" s="156">
        <f t="shared" si="13"/>
        <v>210990.41999999995</v>
      </c>
      <c r="O100" s="156"/>
      <c r="P100" s="347"/>
    </row>
    <row r="101" spans="6:16" ht="13.5" thickBot="1" x14ac:dyDescent="0.25">
      <c r="F101" s="151">
        <v>41061</v>
      </c>
      <c r="G101" s="152">
        <f t="shared" si="9"/>
        <v>2012</v>
      </c>
      <c r="H101" s="152" t="str">
        <f t="shared" si="10"/>
        <v>Q2</v>
      </c>
      <c r="I101" s="153" t="str">
        <f t="shared" si="11"/>
        <v>2012 Q2</v>
      </c>
      <c r="J101" s="154">
        <f t="shared" si="14"/>
        <v>210741.42999999996</v>
      </c>
      <c r="K101" s="346">
        <v>79.05</v>
      </c>
      <c r="L101" s="350">
        <f t="shared" si="8"/>
        <v>1.47E-2</v>
      </c>
      <c r="M101" s="154">
        <f t="shared" si="12"/>
        <v>258.16000000000003</v>
      </c>
      <c r="N101" s="156">
        <f t="shared" si="13"/>
        <v>211078.63999999996</v>
      </c>
      <c r="O101" s="156"/>
      <c r="P101" s="347"/>
    </row>
    <row r="102" spans="6:16" ht="13.5" thickBot="1" x14ac:dyDescent="0.25">
      <c r="F102" s="151">
        <v>41091</v>
      </c>
      <c r="G102" s="152">
        <f t="shared" si="9"/>
        <v>2012</v>
      </c>
      <c r="H102" s="152" t="str">
        <f t="shared" si="10"/>
        <v>Q3</v>
      </c>
      <c r="I102" s="153" t="str">
        <f t="shared" si="11"/>
        <v>2012 Q3</v>
      </c>
      <c r="J102" s="154">
        <f t="shared" si="14"/>
        <v>210820.47999999995</v>
      </c>
      <c r="K102" s="346">
        <v>2.64</v>
      </c>
      <c r="L102" s="350">
        <f t="shared" si="8"/>
        <v>1.47E-2</v>
      </c>
      <c r="M102" s="154">
        <f t="shared" si="12"/>
        <v>258.26</v>
      </c>
      <c r="N102" s="156">
        <f t="shared" si="13"/>
        <v>211081.37999999998</v>
      </c>
      <c r="O102" s="156"/>
      <c r="P102" s="347"/>
    </row>
    <row r="103" spans="6:16" ht="13.5" thickBot="1" x14ac:dyDescent="0.25">
      <c r="F103" s="151">
        <v>41122</v>
      </c>
      <c r="G103" s="152">
        <f t="shared" si="9"/>
        <v>2012</v>
      </c>
      <c r="H103" s="152" t="str">
        <f t="shared" si="10"/>
        <v>Q3</v>
      </c>
      <c r="I103" s="153" t="str">
        <f t="shared" si="11"/>
        <v>2012 Q3</v>
      </c>
      <c r="J103" s="154">
        <f t="shared" si="14"/>
        <v>210823.11999999997</v>
      </c>
      <c r="K103" s="346"/>
      <c r="L103" s="350">
        <f t="shared" si="8"/>
        <v>1.47E-2</v>
      </c>
      <c r="M103" s="154">
        <f t="shared" si="12"/>
        <v>258.26</v>
      </c>
      <c r="N103" s="156">
        <f t="shared" si="13"/>
        <v>211081.37999999998</v>
      </c>
      <c r="O103" s="156"/>
      <c r="P103" s="347"/>
    </row>
    <row r="104" spans="6:16" ht="13.5" thickBot="1" x14ac:dyDescent="0.25">
      <c r="F104" s="151">
        <v>41153</v>
      </c>
      <c r="G104" s="152">
        <f t="shared" si="9"/>
        <v>2012</v>
      </c>
      <c r="H104" s="152" t="str">
        <f t="shared" si="10"/>
        <v>Q3</v>
      </c>
      <c r="I104" s="153" t="str">
        <f t="shared" si="11"/>
        <v>2012 Q3</v>
      </c>
      <c r="J104" s="154">
        <f t="shared" si="14"/>
        <v>210823.11999999997</v>
      </c>
      <c r="K104" s="346"/>
      <c r="L104" s="350">
        <f t="shared" si="8"/>
        <v>1.47E-2</v>
      </c>
      <c r="M104" s="154">
        <f t="shared" si="12"/>
        <v>258.26</v>
      </c>
      <c r="N104" s="156">
        <f t="shared" si="13"/>
        <v>211081.37999999998</v>
      </c>
      <c r="O104" s="156"/>
      <c r="P104" s="347"/>
    </row>
    <row r="105" spans="6:16" ht="13.5" thickBot="1" x14ac:dyDescent="0.25">
      <c r="F105" s="151">
        <v>41183</v>
      </c>
      <c r="G105" s="152">
        <f t="shared" si="9"/>
        <v>2012</v>
      </c>
      <c r="H105" s="152" t="str">
        <f t="shared" si="10"/>
        <v>Q4</v>
      </c>
      <c r="I105" s="153" t="str">
        <f t="shared" si="11"/>
        <v>2012 Q4</v>
      </c>
      <c r="J105" s="154">
        <f t="shared" si="14"/>
        <v>210823.11999999997</v>
      </c>
      <c r="K105" s="346"/>
      <c r="L105" s="350">
        <v>1.47E-2</v>
      </c>
      <c r="M105" s="154">
        <f t="shared" si="12"/>
        <v>258.26</v>
      </c>
      <c r="N105" s="156">
        <f t="shared" si="13"/>
        <v>211081.37999999998</v>
      </c>
      <c r="O105" s="156"/>
      <c r="P105" s="347"/>
    </row>
    <row r="106" spans="6:16" ht="13.5" thickBot="1" x14ac:dyDescent="0.25">
      <c r="F106" s="151">
        <v>41214</v>
      </c>
      <c r="G106" s="152">
        <f t="shared" si="9"/>
        <v>2012</v>
      </c>
      <c r="H106" s="152" t="str">
        <f t="shared" si="10"/>
        <v>Q4</v>
      </c>
      <c r="I106" s="153" t="str">
        <f t="shared" si="11"/>
        <v>2012 Q4</v>
      </c>
      <c r="J106" s="154">
        <f t="shared" si="14"/>
        <v>210823.11999999997</v>
      </c>
      <c r="K106" s="346"/>
      <c r="L106" s="350">
        <v>1.47E-2</v>
      </c>
      <c r="M106" s="154">
        <f t="shared" si="12"/>
        <v>258.26</v>
      </c>
      <c r="N106" s="156">
        <f t="shared" si="13"/>
        <v>211081.37999999998</v>
      </c>
      <c r="O106" s="156"/>
      <c r="P106" s="347"/>
    </row>
    <row r="107" spans="6:16" ht="13.5" thickBot="1" x14ac:dyDescent="0.25">
      <c r="F107" s="151">
        <v>41244</v>
      </c>
      <c r="G107" s="152">
        <f t="shared" si="9"/>
        <v>2012</v>
      </c>
      <c r="H107" s="152" t="str">
        <f t="shared" si="10"/>
        <v>Q4</v>
      </c>
      <c r="I107" s="153" t="str">
        <f t="shared" si="11"/>
        <v>2012 Q4</v>
      </c>
      <c r="J107" s="154">
        <f t="shared" si="14"/>
        <v>210823.11999999997</v>
      </c>
      <c r="K107" s="346"/>
      <c r="L107" s="350">
        <v>1.47E-2</v>
      </c>
      <c r="M107" s="154">
        <f t="shared" si="12"/>
        <v>258.26</v>
      </c>
      <c r="N107" s="156">
        <f t="shared" si="13"/>
        <v>211081.37999999998</v>
      </c>
      <c r="O107" s="156">
        <f>SUM(K96:K107)+SUM(M96:M107)</f>
        <v>41080.130000000005</v>
      </c>
      <c r="P107" s="351"/>
    </row>
    <row r="108" spans="6:16" ht="13.5" thickBot="1" x14ac:dyDescent="0.25">
      <c r="F108" s="151">
        <v>41275</v>
      </c>
      <c r="G108" s="152">
        <f t="shared" si="9"/>
        <v>2013</v>
      </c>
      <c r="H108" s="152" t="str">
        <f t="shared" si="10"/>
        <v>Q1</v>
      </c>
      <c r="I108" s="153" t="str">
        <f t="shared" si="11"/>
        <v>2013 Q1</v>
      </c>
      <c r="J108" s="154">
        <f t="shared" si="14"/>
        <v>210823.11999999997</v>
      </c>
      <c r="K108" s="346"/>
      <c r="L108" s="350">
        <v>1.47E-2</v>
      </c>
      <c r="M108" s="154">
        <f t="shared" ref="M108:M119" si="15">ROUND(J108*L108/12,2)</f>
        <v>258.26</v>
      </c>
      <c r="N108" s="156">
        <f t="shared" ref="N108:N119" si="16">J108+K108+M108</f>
        <v>211081.37999999998</v>
      </c>
      <c r="O108" s="156"/>
      <c r="P108" s="347"/>
    </row>
    <row r="109" spans="6:16" ht="13.5" thickBot="1" x14ac:dyDescent="0.25">
      <c r="F109" s="151">
        <v>41306</v>
      </c>
      <c r="G109" s="152">
        <f t="shared" si="9"/>
        <v>2013</v>
      </c>
      <c r="H109" s="152" t="str">
        <f t="shared" si="10"/>
        <v>Q1</v>
      </c>
      <c r="I109" s="153" t="str">
        <f t="shared" si="11"/>
        <v>2013 Q1</v>
      </c>
      <c r="J109" s="154">
        <f t="shared" si="14"/>
        <v>210823.11999999997</v>
      </c>
      <c r="K109" s="346"/>
      <c r="L109" s="350">
        <v>1.47E-2</v>
      </c>
      <c r="M109" s="154">
        <f t="shared" si="15"/>
        <v>258.26</v>
      </c>
      <c r="N109" s="156">
        <f t="shared" si="16"/>
        <v>211081.37999999998</v>
      </c>
      <c r="O109" s="156"/>
      <c r="P109" s="347"/>
    </row>
    <row r="110" spans="6:16" ht="13.5" thickBot="1" x14ac:dyDescent="0.25">
      <c r="F110" s="151">
        <v>41334</v>
      </c>
      <c r="G110" s="152">
        <f t="shared" si="9"/>
        <v>2013</v>
      </c>
      <c r="H110" s="152" t="str">
        <f t="shared" si="10"/>
        <v>Q1</v>
      </c>
      <c r="I110" s="153" t="str">
        <f t="shared" si="11"/>
        <v>2013 Q1</v>
      </c>
      <c r="J110" s="154">
        <f t="shared" si="14"/>
        <v>210823.11999999997</v>
      </c>
      <c r="K110" s="346"/>
      <c r="L110" s="350">
        <v>1.47E-2</v>
      </c>
      <c r="M110" s="154">
        <f t="shared" si="15"/>
        <v>258.26</v>
      </c>
      <c r="N110" s="156">
        <f t="shared" si="16"/>
        <v>211081.37999999998</v>
      </c>
      <c r="O110" s="156"/>
      <c r="P110" s="347"/>
    </row>
    <row r="111" spans="6:16" ht="13.5" thickBot="1" x14ac:dyDescent="0.25">
      <c r="F111" s="151">
        <v>41365</v>
      </c>
      <c r="G111" s="152">
        <f t="shared" si="9"/>
        <v>2013</v>
      </c>
      <c r="H111" s="152" t="str">
        <f t="shared" si="10"/>
        <v>Q2</v>
      </c>
      <c r="I111" s="153" t="str">
        <f t="shared" si="11"/>
        <v>2013 Q2</v>
      </c>
      <c r="J111" s="154">
        <f t="shared" si="14"/>
        <v>210823.11999999997</v>
      </c>
      <c r="K111" s="346"/>
      <c r="L111" s="350">
        <v>1.47E-2</v>
      </c>
      <c r="M111" s="154">
        <f t="shared" si="15"/>
        <v>258.26</v>
      </c>
      <c r="N111" s="156">
        <f t="shared" si="16"/>
        <v>211081.37999999998</v>
      </c>
      <c r="O111" s="156"/>
      <c r="P111" s="351"/>
    </row>
    <row r="112" spans="6:16" ht="13.5" thickBot="1" x14ac:dyDescent="0.25">
      <c r="F112" s="151">
        <v>41395</v>
      </c>
      <c r="G112" s="152">
        <f t="shared" si="9"/>
        <v>2013</v>
      </c>
      <c r="H112" s="152" t="str">
        <f t="shared" si="10"/>
        <v>Q2</v>
      </c>
      <c r="I112" s="153" t="str">
        <f t="shared" si="11"/>
        <v>2013 Q2</v>
      </c>
      <c r="J112" s="154">
        <f t="shared" si="14"/>
        <v>210823.11999999997</v>
      </c>
      <c r="K112" s="346"/>
      <c r="L112" s="350">
        <f t="shared" si="8"/>
        <v>0</v>
      </c>
      <c r="M112" s="154">
        <f t="shared" si="15"/>
        <v>0</v>
      </c>
      <c r="N112" s="156">
        <f t="shared" si="16"/>
        <v>210823.11999999997</v>
      </c>
      <c r="O112" s="156"/>
      <c r="P112" s="347"/>
    </row>
    <row r="113" spans="6:16" ht="13.5" thickBot="1" x14ac:dyDescent="0.25">
      <c r="F113" s="151">
        <v>41426</v>
      </c>
      <c r="G113" s="152">
        <f t="shared" si="9"/>
        <v>2013</v>
      </c>
      <c r="H113" s="152" t="str">
        <f t="shared" si="10"/>
        <v>Q2</v>
      </c>
      <c r="I113" s="153" t="str">
        <f t="shared" si="11"/>
        <v>2013 Q2</v>
      </c>
      <c r="J113" s="154">
        <f t="shared" si="14"/>
        <v>210823.11999999997</v>
      </c>
      <c r="K113" s="346"/>
      <c r="L113" s="350">
        <f t="shared" si="8"/>
        <v>0</v>
      </c>
      <c r="M113" s="154">
        <f t="shared" si="15"/>
        <v>0</v>
      </c>
      <c r="N113" s="156">
        <f t="shared" si="16"/>
        <v>210823.11999999997</v>
      </c>
      <c r="O113" s="156"/>
      <c r="P113" s="347"/>
    </row>
    <row r="114" spans="6:16" ht="13.5" thickBot="1" x14ac:dyDescent="0.25">
      <c r="F114" s="151">
        <v>41456</v>
      </c>
      <c r="G114" s="152">
        <f t="shared" si="9"/>
        <v>2013</v>
      </c>
      <c r="H114" s="152" t="str">
        <f t="shared" si="10"/>
        <v>Q3</v>
      </c>
      <c r="I114" s="153" t="str">
        <f t="shared" si="11"/>
        <v>2013 Q3</v>
      </c>
      <c r="J114" s="154">
        <f t="shared" si="14"/>
        <v>210823.11999999997</v>
      </c>
      <c r="K114" s="346"/>
      <c r="L114" s="350">
        <f t="shared" si="8"/>
        <v>0</v>
      </c>
      <c r="M114" s="154">
        <f t="shared" si="15"/>
        <v>0</v>
      </c>
      <c r="N114" s="156">
        <f t="shared" si="16"/>
        <v>210823.11999999997</v>
      </c>
      <c r="O114" s="156"/>
      <c r="P114" s="347"/>
    </row>
    <row r="115" spans="6:16" ht="13.5" thickBot="1" x14ac:dyDescent="0.25">
      <c r="F115" s="151">
        <v>41487</v>
      </c>
      <c r="G115" s="152">
        <f t="shared" si="9"/>
        <v>2013</v>
      </c>
      <c r="H115" s="152" t="str">
        <f t="shared" si="10"/>
        <v>Q3</v>
      </c>
      <c r="I115" s="153" t="str">
        <f t="shared" si="11"/>
        <v>2013 Q3</v>
      </c>
      <c r="J115" s="154">
        <f t="shared" si="14"/>
        <v>210823.11999999997</v>
      </c>
      <c r="K115" s="352"/>
      <c r="L115" s="350">
        <f t="shared" si="8"/>
        <v>0</v>
      </c>
      <c r="M115" s="154">
        <f t="shared" si="15"/>
        <v>0</v>
      </c>
      <c r="N115" s="156">
        <f t="shared" si="16"/>
        <v>210823.11999999997</v>
      </c>
      <c r="O115" s="156"/>
      <c r="P115" s="351"/>
    </row>
    <row r="116" spans="6:16" ht="13.5" thickBot="1" x14ac:dyDescent="0.25">
      <c r="F116" s="151">
        <v>41518</v>
      </c>
      <c r="G116" s="152">
        <f t="shared" si="9"/>
        <v>2013</v>
      </c>
      <c r="H116" s="152" t="str">
        <f t="shared" si="10"/>
        <v>Q3</v>
      </c>
      <c r="I116" s="153" t="str">
        <f t="shared" si="11"/>
        <v>2013 Q3</v>
      </c>
      <c r="J116" s="154">
        <f t="shared" si="14"/>
        <v>210823.11999999997</v>
      </c>
      <c r="K116" s="346"/>
      <c r="L116" s="350">
        <f t="shared" si="8"/>
        <v>0</v>
      </c>
      <c r="M116" s="154">
        <f t="shared" si="15"/>
        <v>0</v>
      </c>
      <c r="N116" s="156">
        <f t="shared" si="16"/>
        <v>210823.11999999997</v>
      </c>
      <c r="O116" s="156"/>
      <c r="P116" s="347"/>
    </row>
    <row r="117" spans="6:16" ht="13.5" thickBot="1" x14ac:dyDescent="0.25">
      <c r="F117" s="151">
        <v>41548</v>
      </c>
      <c r="G117" s="152">
        <f t="shared" si="9"/>
        <v>2013</v>
      </c>
      <c r="H117" s="152" t="str">
        <f t="shared" si="10"/>
        <v>Q4</v>
      </c>
      <c r="I117" s="153" t="str">
        <f t="shared" si="11"/>
        <v>2013 Q4</v>
      </c>
      <c r="J117" s="154">
        <f t="shared" si="14"/>
        <v>210823.11999999997</v>
      </c>
      <c r="K117" s="346"/>
      <c r="L117" s="350">
        <f t="shared" si="8"/>
        <v>0</v>
      </c>
      <c r="M117" s="154">
        <f t="shared" si="15"/>
        <v>0</v>
      </c>
      <c r="N117" s="156">
        <f t="shared" si="16"/>
        <v>210823.11999999997</v>
      </c>
      <c r="O117" s="156"/>
      <c r="P117" s="347"/>
    </row>
    <row r="118" spans="6:16" ht="13.5" thickBot="1" x14ac:dyDescent="0.25">
      <c r="F118" s="151">
        <v>41579</v>
      </c>
      <c r="G118" s="152">
        <f t="shared" si="9"/>
        <v>2013</v>
      </c>
      <c r="H118" s="152" t="str">
        <f t="shared" si="10"/>
        <v>Q4</v>
      </c>
      <c r="I118" s="153" t="str">
        <f t="shared" si="11"/>
        <v>2013 Q4</v>
      </c>
      <c r="J118" s="154">
        <f t="shared" si="14"/>
        <v>210823.11999999997</v>
      </c>
      <c r="K118" s="346"/>
      <c r="L118" s="350">
        <f t="shared" si="8"/>
        <v>0</v>
      </c>
      <c r="M118" s="154">
        <f t="shared" si="15"/>
        <v>0</v>
      </c>
      <c r="N118" s="156">
        <f t="shared" si="16"/>
        <v>210823.11999999997</v>
      </c>
      <c r="O118" s="156"/>
      <c r="P118" s="347"/>
    </row>
    <row r="119" spans="6:16" ht="13.5" thickBot="1" x14ac:dyDescent="0.25">
      <c r="F119" s="151">
        <v>41609</v>
      </c>
      <c r="G119" s="152">
        <f t="shared" si="9"/>
        <v>2013</v>
      </c>
      <c r="H119" s="152" t="str">
        <f t="shared" si="10"/>
        <v>Q4</v>
      </c>
      <c r="I119" s="153" t="str">
        <f t="shared" si="11"/>
        <v>2013 Q4</v>
      </c>
      <c r="J119" s="154">
        <f t="shared" si="14"/>
        <v>210823.11999999997</v>
      </c>
      <c r="K119" s="352"/>
      <c r="L119" s="350">
        <f t="shared" si="8"/>
        <v>0</v>
      </c>
      <c r="M119" s="154">
        <f t="shared" si="15"/>
        <v>0</v>
      </c>
      <c r="N119" s="156">
        <f t="shared" si="16"/>
        <v>210823.11999999997</v>
      </c>
      <c r="O119" s="156">
        <f>SUM(K108:K119)+SUM(M108:M119)</f>
        <v>1033.04</v>
      </c>
      <c r="P119" s="351"/>
    </row>
    <row r="120" spans="6:16" ht="13.5" thickBot="1" x14ac:dyDescent="0.25">
      <c r="F120" s="136"/>
      <c r="G120" s="158"/>
      <c r="J120" s="136"/>
      <c r="K120" s="136"/>
      <c r="L120" s="29"/>
      <c r="M120" s="159"/>
      <c r="N120" s="137"/>
      <c r="O120" s="159"/>
      <c r="P120" s="29"/>
    </row>
    <row r="121" spans="6:16" ht="13.5" thickTop="1" x14ac:dyDescent="0.2">
      <c r="F121" s="39" t="s">
        <v>149</v>
      </c>
      <c r="H121" s="160"/>
      <c r="I121" s="52"/>
      <c r="K121" s="161">
        <f>SUM(K24:K107)</f>
        <v>210823.11999999997</v>
      </c>
      <c r="L121" s="132"/>
      <c r="M121" s="161">
        <f>SUM(M24:M107)</f>
        <v>7386.760000000002</v>
      </c>
      <c r="N121" s="162">
        <f>K121+M121</f>
        <v>218209.87999999998</v>
      </c>
      <c r="O121" s="163">
        <f>SUM(O24:O107)</f>
        <v>218209.88</v>
      </c>
    </row>
    <row r="125" spans="6:16" ht="38.25" customHeight="1" x14ac:dyDescent="0.2"/>
    <row r="130" spans="12:12" x14ac:dyDescent="0.2">
      <c r="L130" s="53"/>
    </row>
    <row r="131" spans="12:12" x14ac:dyDescent="0.2">
      <c r="L131" s="53"/>
    </row>
    <row r="132" spans="12:12" x14ac:dyDescent="0.2">
      <c r="L132" s="53"/>
    </row>
    <row r="133" spans="12:12" x14ac:dyDescent="0.2">
      <c r="L133" s="53"/>
    </row>
    <row r="134" spans="12:12" x14ac:dyDescent="0.2">
      <c r="L134" s="53"/>
    </row>
    <row r="135" spans="12:12" x14ac:dyDescent="0.2">
      <c r="L135" s="53"/>
    </row>
    <row r="136" spans="12:12" x14ac:dyDescent="0.2">
      <c r="L136" s="53"/>
    </row>
    <row r="137" spans="12:12" x14ac:dyDescent="0.2">
      <c r="L137" s="53"/>
    </row>
    <row r="138" spans="12:12" x14ac:dyDescent="0.2">
      <c r="L138" s="53"/>
    </row>
    <row r="139" spans="12:12" x14ac:dyDescent="0.2">
      <c r="L139" s="53"/>
    </row>
    <row r="140" spans="12:12" x14ac:dyDescent="0.2">
      <c r="L140" s="53"/>
    </row>
    <row r="141" spans="12:12" x14ac:dyDescent="0.2">
      <c r="L141" s="53"/>
    </row>
    <row r="142" spans="12:12" x14ac:dyDescent="0.2">
      <c r="L142" s="53"/>
    </row>
    <row r="143" spans="12:12" x14ac:dyDescent="0.2">
      <c r="L143" s="53"/>
    </row>
    <row r="144" spans="12:12" x14ac:dyDescent="0.2">
      <c r="L144" s="53"/>
    </row>
    <row r="145" spans="8:12" x14ac:dyDescent="0.2">
      <c r="L145" s="53"/>
    </row>
    <row r="146" spans="8:12" x14ac:dyDescent="0.2">
      <c r="L146" s="53"/>
    </row>
    <row r="147" spans="8:12" x14ac:dyDescent="0.2">
      <c r="L147" s="53"/>
    </row>
    <row r="148" spans="8:12" x14ac:dyDescent="0.2">
      <c r="L148" s="53"/>
    </row>
    <row r="149" spans="8:12" x14ac:dyDescent="0.2">
      <c r="L149" s="53"/>
    </row>
    <row r="150" spans="8:12" x14ac:dyDescent="0.2">
      <c r="L150" s="53"/>
    </row>
    <row r="151" spans="8:12" x14ac:dyDescent="0.2">
      <c r="L151" s="164"/>
    </row>
    <row r="152" spans="8:12" x14ac:dyDescent="0.2">
      <c r="L152" s="164"/>
    </row>
    <row r="153" spans="8:12" x14ac:dyDescent="0.2">
      <c r="L153" s="164"/>
    </row>
    <row r="154" spans="8:12" x14ac:dyDescent="0.2">
      <c r="L154" s="164"/>
    </row>
    <row r="155" spans="8:12" x14ac:dyDescent="0.2">
      <c r="L155" s="164"/>
    </row>
    <row r="156" spans="8:12" x14ac:dyDescent="0.2">
      <c r="L156" s="165"/>
    </row>
    <row r="157" spans="8:12" x14ac:dyDescent="0.2">
      <c r="H157" s="166"/>
    </row>
  </sheetData>
  <sheetProtection password="C2FC" sheet="1" objects="1" scenarios="1"/>
  <mergeCells count="2">
    <mergeCell ref="F19:P19"/>
    <mergeCell ref="B13:N13"/>
  </mergeCells>
  <phoneticPr fontId="7" type="noConversion"/>
  <conditionalFormatting sqref="C47:C55">
    <cfRule type="cellIs" dxfId="6" priority="1" stopIfTrue="1" operator="notEqual">
      <formula>0.0147</formula>
    </cfRule>
  </conditionalFormatting>
  <conditionalFormatting sqref="D47:D55">
    <cfRule type="cellIs" dxfId="5" priority="2" stopIfTrue="1" operator="notEqual">
      <formula>0.0392</formula>
    </cfRule>
  </conditionalFormatting>
  <pageMargins left="0.75" right="0.75" top="1" bottom="1" header="0.5" footer="0.5"/>
  <pageSetup scale="63" fitToHeight="0" orientation="landscape" r:id="rId1"/>
  <headerFooter alignWithMargins="0"/>
  <colBreaks count="1" manualBreakCount="1">
    <brk id="17" max="144" man="1"/>
  </colBreaks>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B13:P146"/>
  <sheetViews>
    <sheetView showGridLines="0" topLeftCell="A74" zoomScale="80" workbookViewId="0">
      <selection activeCell="W109" sqref="W109"/>
    </sheetView>
  </sheetViews>
  <sheetFormatPr defaultColWidth="9.140625" defaultRowHeight="12.75" x14ac:dyDescent="0.2"/>
  <cols>
    <col min="1" max="1" width="2.7109375" style="31" customWidth="1"/>
    <col min="2" max="2" width="11.85546875" style="31" customWidth="1"/>
    <col min="3" max="3" width="12.140625" style="31" customWidth="1"/>
    <col min="4" max="4" width="9" style="31" customWidth="1"/>
    <col min="5" max="5" width="0.42578125" style="31" customWidth="1"/>
    <col min="6" max="6" width="9.140625" style="31"/>
    <col min="7" max="7" width="6.7109375" style="31" customWidth="1"/>
    <col min="8" max="8" width="7.7109375" style="31" customWidth="1"/>
    <col min="9" max="9" width="2.7109375" style="31" customWidth="1"/>
    <col min="10" max="13" width="15.7109375" style="31" customWidth="1"/>
    <col min="14" max="14" width="9.85546875" style="31" customWidth="1"/>
    <col min="15" max="15" width="14.7109375" style="31" customWidth="1"/>
    <col min="16" max="16" width="15.7109375" style="31" customWidth="1"/>
    <col min="17" max="16384" width="9.140625" style="31"/>
  </cols>
  <sheetData>
    <row r="13" spans="2:2" x14ac:dyDescent="0.2">
      <c r="B13" s="39" t="s">
        <v>455</v>
      </c>
    </row>
    <row r="18" spans="2:16" ht="15" customHeight="1" x14ac:dyDescent="0.2"/>
    <row r="21" spans="2:16" x14ac:dyDescent="0.2">
      <c r="J21" s="39" t="s">
        <v>340</v>
      </c>
      <c r="K21" s="39"/>
    </row>
    <row r="23" spans="2:16" ht="63.75" x14ac:dyDescent="0.2">
      <c r="B23" s="143" t="s">
        <v>341</v>
      </c>
      <c r="C23" s="143" t="s">
        <v>151</v>
      </c>
      <c r="D23" s="376" t="s">
        <v>152</v>
      </c>
      <c r="E23" s="91"/>
      <c r="F23" s="36" t="s">
        <v>143</v>
      </c>
      <c r="G23" s="167" t="s">
        <v>148</v>
      </c>
      <c r="H23" s="167" t="s">
        <v>147</v>
      </c>
      <c r="I23" s="146"/>
      <c r="J23" s="148" t="s">
        <v>335</v>
      </c>
      <c r="K23" s="143" t="s">
        <v>51</v>
      </c>
      <c r="L23" s="143" t="s">
        <v>342</v>
      </c>
      <c r="M23" s="143" t="s">
        <v>345</v>
      </c>
      <c r="N23" s="143" t="s">
        <v>357</v>
      </c>
      <c r="O23" s="143" t="s">
        <v>344</v>
      </c>
      <c r="P23" s="143" t="s">
        <v>343</v>
      </c>
    </row>
    <row r="24" spans="2:16" ht="13.5" thickBot="1" x14ac:dyDescent="0.25">
      <c r="B24" s="147"/>
      <c r="C24" s="148"/>
      <c r="D24" s="376"/>
      <c r="E24" s="149"/>
      <c r="F24" s="36"/>
      <c r="G24" s="145"/>
      <c r="H24" s="145"/>
      <c r="I24" s="146"/>
      <c r="J24" s="146"/>
      <c r="K24" s="143"/>
      <c r="L24" s="143"/>
      <c r="M24" s="143"/>
      <c r="N24" s="36"/>
      <c r="O24" s="143"/>
      <c r="P24" s="143"/>
    </row>
    <row r="25" spans="2:16" ht="13.5" thickBot="1" x14ac:dyDescent="0.25">
      <c r="B25" s="31" t="str">
        <f>'8. Funding_Adder_Revs'!B24</f>
        <v>2006 Q1</v>
      </c>
      <c r="C25" s="113">
        <f>'8. Funding_Adder_Revs'!C24</f>
        <v>0</v>
      </c>
      <c r="D25" s="113">
        <f>'8. Funding_Adder_Revs'!D24</f>
        <v>0</v>
      </c>
      <c r="E25" s="149"/>
      <c r="F25" s="151">
        <f>'8. Funding_Adder_Revs'!F24</f>
        <v>38718</v>
      </c>
      <c r="G25" s="168">
        <f>'8. Funding_Adder_Revs'!G24</f>
        <v>2006</v>
      </c>
      <c r="H25" s="169" t="str">
        <f>'8. Funding_Adder_Revs'!H24</f>
        <v>Q1</v>
      </c>
      <c r="J25" s="59">
        <v>0</v>
      </c>
      <c r="K25" s="346"/>
      <c r="L25" s="346"/>
      <c r="M25" s="170">
        <f>J25+K25+L25</f>
        <v>0</v>
      </c>
      <c r="N25" s="53">
        <f>'8. Funding_Adder_Revs'!L24</f>
        <v>0</v>
      </c>
      <c r="O25" s="170">
        <f>J25*N25/12</f>
        <v>0</v>
      </c>
      <c r="P25" s="170">
        <f>O25</f>
        <v>0</v>
      </c>
    </row>
    <row r="26" spans="2:16" ht="13.5" thickBot="1" x14ac:dyDescent="0.25">
      <c r="B26" s="31" t="str">
        <f>'8. Funding_Adder_Revs'!B25</f>
        <v>2006 Q2</v>
      </c>
      <c r="C26" s="113">
        <f>'8. Funding_Adder_Revs'!C25</f>
        <v>4.1399999999999999E-2</v>
      </c>
      <c r="D26" s="113">
        <f>'8. Funding_Adder_Revs'!D25</f>
        <v>4.6800000000000001E-2</v>
      </c>
      <c r="E26" s="149"/>
      <c r="F26" s="151">
        <f>'8. Funding_Adder_Revs'!F25</f>
        <v>38749</v>
      </c>
      <c r="G26" s="168">
        <f>'8. Funding_Adder_Revs'!G25</f>
        <v>2006</v>
      </c>
      <c r="H26" s="169" t="str">
        <f>'8. Funding_Adder_Revs'!H25</f>
        <v>Q1</v>
      </c>
      <c r="J26" s="170">
        <f>M25</f>
        <v>0</v>
      </c>
      <c r="K26" s="346"/>
      <c r="L26" s="346"/>
      <c r="M26" s="170">
        <f t="shared" ref="M26:M89" si="0">J26+K26+L26</f>
        <v>0</v>
      </c>
      <c r="N26" s="53">
        <f>'8. Funding_Adder_Revs'!L25</f>
        <v>0</v>
      </c>
      <c r="O26" s="170">
        <f t="shared" ref="O26:O89" si="1">J26*N26/12</f>
        <v>0</v>
      </c>
      <c r="P26" s="170">
        <f>O26+P25</f>
        <v>0</v>
      </c>
    </row>
    <row r="27" spans="2:16" ht="13.5" thickBot="1" x14ac:dyDescent="0.25">
      <c r="B27" s="31" t="str">
        <f>'8. Funding_Adder_Revs'!B26</f>
        <v>2006 Q3</v>
      </c>
      <c r="C27" s="113">
        <f>'8. Funding_Adder_Revs'!C26</f>
        <v>4.5900000000000003E-2</v>
      </c>
      <c r="D27" s="113">
        <f>'8. Funding_Adder_Revs'!D26</f>
        <v>5.0500000000000003E-2</v>
      </c>
      <c r="E27" s="149"/>
      <c r="F27" s="151">
        <f>'8. Funding_Adder_Revs'!F26</f>
        <v>38777</v>
      </c>
      <c r="G27" s="168">
        <f>'8. Funding_Adder_Revs'!G26</f>
        <v>2006</v>
      </c>
      <c r="H27" s="169" t="str">
        <f>'8. Funding_Adder_Revs'!H26</f>
        <v>Q1</v>
      </c>
      <c r="J27" s="170">
        <f t="shared" ref="J27:J90" si="2">M26</f>
        <v>0</v>
      </c>
      <c r="K27" s="346"/>
      <c r="L27" s="346"/>
      <c r="M27" s="170">
        <f t="shared" si="0"/>
        <v>0</v>
      </c>
      <c r="N27" s="53">
        <f>'8. Funding_Adder_Revs'!L26</f>
        <v>0</v>
      </c>
      <c r="O27" s="170">
        <f t="shared" si="1"/>
        <v>0</v>
      </c>
      <c r="P27" s="170">
        <f t="shared" ref="P27:P90" si="3">O27+P26</f>
        <v>0</v>
      </c>
    </row>
    <row r="28" spans="2:16" ht="13.5" thickBot="1" x14ac:dyDescent="0.25">
      <c r="B28" s="31" t="str">
        <f>'8. Funding_Adder_Revs'!B27</f>
        <v>2006 Q4</v>
      </c>
      <c r="C28" s="113">
        <f>'8. Funding_Adder_Revs'!C27</f>
        <v>4.5900000000000003E-2</v>
      </c>
      <c r="D28" s="113">
        <f>'8. Funding_Adder_Revs'!D27</f>
        <v>4.7199999999999999E-2</v>
      </c>
      <c r="E28" s="149"/>
      <c r="F28" s="151">
        <f>'8. Funding_Adder_Revs'!F27</f>
        <v>38808</v>
      </c>
      <c r="G28" s="168">
        <f>'8. Funding_Adder_Revs'!G27</f>
        <v>2006</v>
      </c>
      <c r="H28" s="169" t="str">
        <f>'8. Funding_Adder_Revs'!H27</f>
        <v>Q2</v>
      </c>
      <c r="J28" s="170">
        <f t="shared" si="2"/>
        <v>0</v>
      </c>
      <c r="K28" s="346"/>
      <c r="L28" s="346"/>
      <c r="M28" s="170">
        <f t="shared" si="0"/>
        <v>0</v>
      </c>
      <c r="N28" s="53">
        <f>'8. Funding_Adder_Revs'!L27</f>
        <v>4.1399999999999999E-2</v>
      </c>
      <c r="O28" s="170">
        <f t="shared" si="1"/>
        <v>0</v>
      </c>
      <c r="P28" s="170">
        <f t="shared" si="3"/>
        <v>0</v>
      </c>
    </row>
    <row r="29" spans="2:16" ht="13.5" thickBot="1" x14ac:dyDescent="0.25">
      <c r="B29" s="31" t="str">
        <f>'8. Funding_Adder_Revs'!B28</f>
        <v>2007 Q1</v>
      </c>
      <c r="C29" s="113">
        <f>'8. Funding_Adder_Revs'!C28</f>
        <v>4.5900000000000003E-2</v>
      </c>
      <c r="D29" s="113">
        <f>'8. Funding_Adder_Revs'!D28</f>
        <v>4.7199999999999999E-2</v>
      </c>
      <c r="E29" s="149"/>
      <c r="F29" s="151">
        <f>'8. Funding_Adder_Revs'!F28</f>
        <v>38838</v>
      </c>
      <c r="G29" s="168">
        <f>'8. Funding_Adder_Revs'!G28</f>
        <v>2006</v>
      </c>
      <c r="H29" s="169" t="str">
        <f>'8. Funding_Adder_Revs'!H28</f>
        <v>Q2</v>
      </c>
      <c r="J29" s="170">
        <f t="shared" si="2"/>
        <v>0</v>
      </c>
      <c r="K29" s="346"/>
      <c r="L29" s="346"/>
      <c r="M29" s="170">
        <f t="shared" si="0"/>
        <v>0</v>
      </c>
      <c r="N29" s="53">
        <f>'8. Funding_Adder_Revs'!L28</f>
        <v>4.1399999999999999E-2</v>
      </c>
      <c r="O29" s="170">
        <f t="shared" si="1"/>
        <v>0</v>
      </c>
      <c r="P29" s="170">
        <f t="shared" si="3"/>
        <v>0</v>
      </c>
    </row>
    <row r="30" spans="2:16" ht="13.5" thickBot="1" x14ac:dyDescent="0.25">
      <c r="B30" s="31" t="str">
        <f>'8. Funding_Adder_Revs'!B29</f>
        <v>2007 Q2</v>
      </c>
      <c r="C30" s="113">
        <f>'8. Funding_Adder_Revs'!C29</f>
        <v>4.5900000000000003E-2</v>
      </c>
      <c r="D30" s="113">
        <f>'8. Funding_Adder_Revs'!D29</f>
        <v>4.7199999999999999E-2</v>
      </c>
      <c r="E30" s="149"/>
      <c r="F30" s="151">
        <f>'8. Funding_Adder_Revs'!F29</f>
        <v>38869</v>
      </c>
      <c r="G30" s="168">
        <f>'8. Funding_Adder_Revs'!G29</f>
        <v>2006</v>
      </c>
      <c r="H30" s="169" t="str">
        <f>'8. Funding_Adder_Revs'!H29</f>
        <v>Q2</v>
      </c>
      <c r="J30" s="170">
        <f t="shared" si="2"/>
        <v>0</v>
      </c>
      <c r="K30" s="346"/>
      <c r="L30" s="346"/>
      <c r="M30" s="170">
        <f t="shared" si="0"/>
        <v>0</v>
      </c>
      <c r="N30" s="53">
        <f>'8. Funding_Adder_Revs'!L29</f>
        <v>4.1399999999999999E-2</v>
      </c>
      <c r="O30" s="170">
        <f t="shared" si="1"/>
        <v>0</v>
      </c>
      <c r="P30" s="170">
        <f t="shared" si="3"/>
        <v>0</v>
      </c>
    </row>
    <row r="31" spans="2:16" ht="13.5" thickBot="1" x14ac:dyDescent="0.25">
      <c r="B31" s="31" t="str">
        <f>'8. Funding_Adder_Revs'!B30</f>
        <v>2007 Q3</v>
      </c>
      <c r="C31" s="113">
        <f>'8. Funding_Adder_Revs'!C30</f>
        <v>4.5900000000000003E-2</v>
      </c>
      <c r="D31" s="113">
        <f>'8. Funding_Adder_Revs'!D30</f>
        <v>5.1799999999999999E-2</v>
      </c>
      <c r="E31" s="149"/>
      <c r="F31" s="151">
        <f>'8. Funding_Adder_Revs'!F30</f>
        <v>38899</v>
      </c>
      <c r="G31" s="168">
        <f>'8. Funding_Adder_Revs'!G30</f>
        <v>2006</v>
      </c>
      <c r="H31" s="169" t="str">
        <f>'8. Funding_Adder_Revs'!H30</f>
        <v>Q3</v>
      </c>
      <c r="J31" s="170">
        <f t="shared" si="2"/>
        <v>0</v>
      </c>
      <c r="K31" s="346"/>
      <c r="L31" s="346"/>
      <c r="M31" s="170">
        <f t="shared" si="0"/>
        <v>0</v>
      </c>
      <c r="N31" s="53">
        <f>'8. Funding_Adder_Revs'!L30</f>
        <v>4.5900000000000003E-2</v>
      </c>
      <c r="O31" s="170">
        <f t="shared" si="1"/>
        <v>0</v>
      </c>
      <c r="P31" s="170">
        <f t="shared" si="3"/>
        <v>0</v>
      </c>
    </row>
    <row r="32" spans="2:16" ht="13.5" thickBot="1" x14ac:dyDescent="0.25">
      <c r="B32" s="31" t="str">
        <f>'8. Funding_Adder_Revs'!B31</f>
        <v>2007 Q4</v>
      </c>
      <c r="C32" s="113">
        <f>'8. Funding_Adder_Revs'!C31</f>
        <v>5.1400000000000001E-2</v>
      </c>
      <c r="D32" s="113">
        <f>'8. Funding_Adder_Revs'!D31</f>
        <v>5.1799999999999999E-2</v>
      </c>
      <c r="E32" s="149"/>
      <c r="F32" s="151">
        <f>'8. Funding_Adder_Revs'!F31</f>
        <v>38930</v>
      </c>
      <c r="G32" s="168">
        <f>'8. Funding_Adder_Revs'!G31</f>
        <v>2006</v>
      </c>
      <c r="H32" s="169" t="str">
        <f>'8. Funding_Adder_Revs'!H31</f>
        <v>Q3</v>
      </c>
      <c r="J32" s="170">
        <f t="shared" si="2"/>
        <v>0</v>
      </c>
      <c r="K32" s="346"/>
      <c r="L32" s="346"/>
      <c r="M32" s="170">
        <f t="shared" si="0"/>
        <v>0</v>
      </c>
      <c r="N32" s="53">
        <f>'8. Funding_Adder_Revs'!L31</f>
        <v>4.5900000000000003E-2</v>
      </c>
      <c r="O32" s="170">
        <f t="shared" si="1"/>
        <v>0</v>
      </c>
      <c r="P32" s="170">
        <f t="shared" si="3"/>
        <v>0</v>
      </c>
    </row>
    <row r="33" spans="2:16" ht="13.5" thickBot="1" x14ac:dyDescent="0.25">
      <c r="B33" s="31" t="str">
        <f>'8. Funding_Adder_Revs'!B32</f>
        <v>2008 Q1</v>
      </c>
      <c r="C33" s="113">
        <f>'8. Funding_Adder_Revs'!C32</f>
        <v>5.1400000000000001E-2</v>
      </c>
      <c r="D33" s="113">
        <f>'8. Funding_Adder_Revs'!D32</f>
        <v>5.1799999999999999E-2</v>
      </c>
      <c r="E33" s="149"/>
      <c r="F33" s="151">
        <f>'8. Funding_Adder_Revs'!F32</f>
        <v>38961</v>
      </c>
      <c r="G33" s="168">
        <f>'8. Funding_Adder_Revs'!G32</f>
        <v>2006</v>
      </c>
      <c r="H33" s="169" t="str">
        <f>'8. Funding_Adder_Revs'!H32</f>
        <v>Q3</v>
      </c>
      <c r="J33" s="170">
        <f t="shared" si="2"/>
        <v>0</v>
      </c>
      <c r="K33" s="346"/>
      <c r="L33" s="346"/>
      <c r="M33" s="170">
        <f t="shared" si="0"/>
        <v>0</v>
      </c>
      <c r="N33" s="53">
        <f>'8. Funding_Adder_Revs'!L32</f>
        <v>4.5900000000000003E-2</v>
      </c>
      <c r="O33" s="170">
        <f t="shared" si="1"/>
        <v>0</v>
      </c>
      <c r="P33" s="170">
        <f t="shared" si="3"/>
        <v>0</v>
      </c>
    </row>
    <row r="34" spans="2:16" ht="13.5" thickBot="1" x14ac:dyDescent="0.25">
      <c r="B34" s="31" t="str">
        <f>'8. Funding_Adder_Revs'!B33</f>
        <v>2008 Q2</v>
      </c>
      <c r="C34" s="113">
        <f>'8. Funding_Adder_Revs'!C33</f>
        <v>4.0800000000000003E-2</v>
      </c>
      <c r="D34" s="113">
        <f>'8. Funding_Adder_Revs'!D33</f>
        <v>5.1799999999999999E-2</v>
      </c>
      <c r="E34" s="149"/>
      <c r="F34" s="151">
        <f>'8. Funding_Adder_Revs'!F33</f>
        <v>38991</v>
      </c>
      <c r="G34" s="168">
        <f>'8. Funding_Adder_Revs'!G33</f>
        <v>2006</v>
      </c>
      <c r="H34" s="169" t="str">
        <f>'8. Funding_Adder_Revs'!H33</f>
        <v>Q4</v>
      </c>
      <c r="J34" s="170">
        <f t="shared" si="2"/>
        <v>0</v>
      </c>
      <c r="K34" s="346"/>
      <c r="L34" s="346"/>
      <c r="M34" s="170">
        <f t="shared" si="0"/>
        <v>0</v>
      </c>
      <c r="N34" s="53">
        <f>'8. Funding_Adder_Revs'!L33</f>
        <v>4.5900000000000003E-2</v>
      </c>
      <c r="O34" s="170">
        <f t="shared" si="1"/>
        <v>0</v>
      </c>
      <c r="P34" s="170">
        <f t="shared" si="3"/>
        <v>0</v>
      </c>
    </row>
    <row r="35" spans="2:16" ht="13.5" thickBot="1" x14ac:dyDescent="0.25">
      <c r="B35" s="31" t="str">
        <f>'8. Funding_Adder_Revs'!B34</f>
        <v>2008 Q3</v>
      </c>
      <c r="C35" s="113">
        <f>'8. Funding_Adder_Revs'!C34</f>
        <v>3.3500000000000002E-2</v>
      </c>
      <c r="D35" s="113">
        <f>'8. Funding_Adder_Revs'!D34</f>
        <v>5.4300000000000001E-2</v>
      </c>
      <c r="E35" s="149"/>
      <c r="F35" s="151">
        <f>'8. Funding_Adder_Revs'!F34</f>
        <v>39022</v>
      </c>
      <c r="G35" s="168">
        <f>'8. Funding_Adder_Revs'!G34</f>
        <v>2006</v>
      </c>
      <c r="H35" s="169" t="str">
        <f>'8. Funding_Adder_Revs'!H34</f>
        <v>Q4</v>
      </c>
      <c r="J35" s="170">
        <f t="shared" si="2"/>
        <v>0</v>
      </c>
      <c r="K35" s="346"/>
      <c r="L35" s="346"/>
      <c r="M35" s="170">
        <f t="shared" si="0"/>
        <v>0</v>
      </c>
      <c r="N35" s="53">
        <f>'8. Funding_Adder_Revs'!L34</f>
        <v>4.5900000000000003E-2</v>
      </c>
      <c r="O35" s="170">
        <f t="shared" si="1"/>
        <v>0</v>
      </c>
      <c r="P35" s="170">
        <f t="shared" si="3"/>
        <v>0</v>
      </c>
    </row>
    <row r="36" spans="2:16" ht="13.5" thickBot="1" x14ac:dyDescent="0.25">
      <c r="B36" s="31" t="str">
        <f>'8. Funding_Adder_Revs'!B35</f>
        <v>2008 Q4</v>
      </c>
      <c r="C36" s="113">
        <f>'8. Funding_Adder_Revs'!C35</f>
        <v>3.3500000000000002E-2</v>
      </c>
      <c r="D36" s="113">
        <f>'8. Funding_Adder_Revs'!D35</f>
        <v>5.4300000000000001E-2</v>
      </c>
      <c r="E36" s="149"/>
      <c r="F36" s="151">
        <f>'8. Funding_Adder_Revs'!F35</f>
        <v>39052</v>
      </c>
      <c r="G36" s="168">
        <f>'8. Funding_Adder_Revs'!G35</f>
        <v>2006</v>
      </c>
      <c r="H36" s="169" t="str">
        <f>'8. Funding_Adder_Revs'!H35</f>
        <v>Q4</v>
      </c>
      <c r="J36" s="170">
        <f t="shared" si="2"/>
        <v>0</v>
      </c>
      <c r="K36" s="346"/>
      <c r="L36" s="346"/>
      <c r="M36" s="170">
        <f t="shared" si="0"/>
        <v>0</v>
      </c>
      <c r="N36" s="53">
        <f>'8. Funding_Adder_Revs'!L35</f>
        <v>4.5900000000000003E-2</v>
      </c>
      <c r="O36" s="170">
        <f t="shared" si="1"/>
        <v>0</v>
      </c>
      <c r="P36" s="170">
        <f t="shared" si="3"/>
        <v>0</v>
      </c>
    </row>
    <row r="37" spans="2:16" ht="13.5" thickBot="1" x14ac:dyDescent="0.25">
      <c r="B37" s="31" t="str">
        <f>'8. Funding_Adder_Revs'!B36</f>
        <v>2009 Q1</v>
      </c>
      <c r="C37" s="113">
        <f>'8. Funding_Adder_Revs'!C36</f>
        <v>2.4500000000000001E-2</v>
      </c>
      <c r="D37" s="113">
        <f>'8. Funding_Adder_Revs'!D36</f>
        <v>6.6100000000000006E-2</v>
      </c>
      <c r="E37" s="149"/>
      <c r="F37" s="151">
        <f>'8. Funding_Adder_Revs'!F36</f>
        <v>39083</v>
      </c>
      <c r="G37" s="168">
        <f>'8. Funding_Adder_Revs'!G36</f>
        <v>2007</v>
      </c>
      <c r="H37" s="169" t="str">
        <f>'8. Funding_Adder_Revs'!H36</f>
        <v>Q1</v>
      </c>
      <c r="J37" s="170">
        <f t="shared" si="2"/>
        <v>0</v>
      </c>
      <c r="K37" s="346"/>
      <c r="L37" s="346"/>
      <c r="M37" s="170">
        <f t="shared" si="0"/>
        <v>0</v>
      </c>
      <c r="N37" s="53">
        <f>'8. Funding_Adder_Revs'!L36</f>
        <v>4.5900000000000003E-2</v>
      </c>
      <c r="O37" s="170">
        <f t="shared" si="1"/>
        <v>0</v>
      </c>
      <c r="P37" s="170">
        <f t="shared" si="3"/>
        <v>0</v>
      </c>
    </row>
    <row r="38" spans="2:16" ht="13.5" thickBot="1" x14ac:dyDescent="0.25">
      <c r="B38" s="31" t="str">
        <f>'8. Funding_Adder_Revs'!B37</f>
        <v>2009 Q2</v>
      </c>
      <c r="C38" s="113">
        <f>'8. Funding_Adder_Revs'!C37</f>
        <v>0.01</v>
      </c>
      <c r="D38" s="113">
        <f>'8. Funding_Adder_Revs'!D37</f>
        <v>6.6100000000000006E-2</v>
      </c>
      <c r="E38" s="149"/>
      <c r="F38" s="151">
        <f>'8. Funding_Adder_Revs'!F37</f>
        <v>39114</v>
      </c>
      <c r="G38" s="168">
        <f>'8. Funding_Adder_Revs'!G37</f>
        <v>2007</v>
      </c>
      <c r="H38" s="169" t="str">
        <f>'8. Funding_Adder_Revs'!H37</f>
        <v>Q1</v>
      </c>
      <c r="J38" s="170">
        <f t="shared" si="2"/>
        <v>0</v>
      </c>
      <c r="K38" s="346"/>
      <c r="L38" s="346"/>
      <c r="M38" s="170">
        <f t="shared" si="0"/>
        <v>0</v>
      </c>
      <c r="N38" s="53">
        <f>'8. Funding_Adder_Revs'!L37</f>
        <v>4.5900000000000003E-2</v>
      </c>
      <c r="O38" s="170">
        <f t="shared" si="1"/>
        <v>0</v>
      </c>
      <c r="P38" s="170">
        <f t="shared" si="3"/>
        <v>0</v>
      </c>
    </row>
    <row r="39" spans="2:16" ht="13.5" thickBot="1" x14ac:dyDescent="0.25">
      <c r="B39" s="31" t="str">
        <f>'8. Funding_Adder_Revs'!B38</f>
        <v>2009 Q3</v>
      </c>
      <c r="C39" s="113">
        <f>'8. Funding_Adder_Revs'!C38</f>
        <v>5.4999999999999997E-3</v>
      </c>
      <c r="D39" s="113">
        <f>'8. Funding_Adder_Revs'!D38</f>
        <v>5.67E-2</v>
      </c>
      <c r="E39" s="149"/>
      <c r="F39" s="151">
        <f>'8. Funding_Adder_Revs'!F38</f>
        <v>39142</v>
      </c>
      <c r="G39" s="168">
        <f>'8. Funding_Adder_Revs'!G38</f>
        <v>2007</v>
      </c>
      <c r="H39" s="169" t="str">
        <f>'8. Funding_Adder_Revs'!H38</f>
        <v>Q1</v>
      </c>
      <c r="J39" s="170">
        <f t="shared" si="2"/>
        <v>0</v>
      </c>
      <c r="K39" s="346"/>
      <c r="L39" s="346"/>
      <c r="M39" s="170">
        <f t="shared" si="0"/>
        <v>0</v>
      </c>
      <c r="N39" s="53">
        <f>'8. Funding_Adder_Revs'!L38</f>
        <v>4.5900000000000003E-2</v>
      </c>
      <c r="O39" s="170">
        <f t="shared" si="1"/>
        <v>0</v>
      </c>
      <c r="P39" s="170">
        <f t="shared" si="3"/>
        <v>0</v>
      </c>
    </row>
    <row r="40" spans="2:16" ht="13.5" thickBot="1" x14ac:dyDescent="0.25">
      <c r="B40" s="31" t="str">
        <f>'8. Funding_Adder_Revs'!B39</f>
        <v>2009 Q4</v>
      </c>
      <c r="C40" s="113">
        <f>'8. Funding_Adder_Revs'!C39</f>
        <v>5.4999999999999997E-3</v>
      </c>
      <c r="D40" s="113">
        <f>'8. Funding_Adder_Revs'!D39</f>
        <v>4.6600000000000003E-2</v>
      </c>
      <c r="E40" s="149"/>
      <c r="F40" s="151">
        <f>'8. Funding_Adder_Revs'!F39</f>
        <v>39173</v>
      </c>
      <c r="G40" s="168">
        <f>'8. Funding_Adder_Revs'!G39</f>
        <v>2007</v>
      </c>
      <c r="H40" s="169" t="str">
        <f>'8. Funding_Adder_Revs'!H39</f>
        <v>Q2</v>
      </c>
      <c r="J40" s="170">
        <f t="shared" si="2"/>
        <v>0</v>
      </c>
      <c r="K40" s="346"/>
      <c r="L40" s="346"/>
      <c r="M40" s="170">
        <f t="shared" si="0"/>
        <v>0</v>
      </c>
      <c r="N40" s="53">
        <f>'8. Funding_Adder_Revs'!L39</f>
        <v>4.5900000000000003E-2</v>
      </c>
      <c r="O40" s="170">
        <f t="shared" si="1"/>
        <v>0</v>
      </c>
      <c r="P40" s="170">
        <f t="shared" si="3"/>
        <v>0</v>
      </c>
    </row>
    <row r="41" spans="2:16" ht="13.5" thickBot="1" x14ac:dyDescent="0.25">
      <c r="B41" s="31" t="str">
        <f>'8. Funding_Adder_Revs'!B40</f>
        <v>2010 Q1</v>
      </c>
      <c r="C41" s="113">
        <f>'8. Funding_Adder_Revs'!C40</f>
        <v>5.4999999999999997E-3</v>
      </c>
      <c r="D41" s="113">
        <f>'8. Funding_Adder_Revs'!D40</f>
        <v>4.3400000000000001E-2</v>
      </c>
      <c r="E41" s="149"/>
      <c r="F41" s="151">
        <f>'8. Funding_Adder_Revs'!F40</f>
        <v>39203</v>
      </c>
      <c r="G41" s="168">
        <f>'8. Funding_Adder_Revs'!G40</f>
        <v>2007</v>
      </c>
      <c r="H41" s="169" t="str">
        <f>'8. Funding_Adder_Revs'!H40</f>
        <v>Q2</v>
      </c>
      <c r="J41" s="170">
        <f t="shared" si="2"/>
        <v>0</v>
      </c>
      <c r="K41" s="346"/>
      <c r="L41" s="346"/>
      <c r="M41" s="170">
        <f t="shared" si="0"/>
        <v>0</v>
      </c>
      <c r="N41" s="53">
        <f>'8. Funding_Adder_Revs'!L40</f>
        <v>4.5900000000000003E-2</v>
      </c>
      <c r="O41" s="170">
        <f t="shared" si="1"/>
        <v>0</v>
      </c>
      <c r="P41" s="170">
        <f t="shared" si="3"/>
        <v>0</v>
      </c>
    </row>
    <row r="42" spans="2:16" ht="13.5" thickBot="1" x14ac:dyDescent="0.25">
      <c r="B42" s="31" t="str">
        <f>'8. Funding_Adder_Revs'!B41</f>
        <v>2010 Q2</v>
      </c>
      <c r="C42" s="113">
        <f>'8. Funding_Adder_Revs'!C41</f>
        <v>5.4999999999999997E-3</v>
      </c>
      <c r="D42" s="113">
        <f>'8. Funding_Adder_Revs'!D41</f>
        <v>4.3400000000000001E-2</v>
      </c>
      <c r="E42" s="149"/>
      <c r="F42" s="151">
        <f>'8. Funding_Adder_Revs'!F41</f>
        <v>39234</v>
      </c>
      <c r="G42" s="168">
        <f>'8. Funding_Adder_Revs'!G41</f>
        <v>2007</v>
      </c>
      <c r="H42" s="169" t="str">
        <f>'8. Funding_Adder_Revs'!H41</f>
        <v>Q2</v>
      </c>
      <c r="J42" s="170">
        <f t="shared" si="2"/>
        <v>0</v>
      </c>
      <c r="K42" s="346"/>
      <c r="L42" s="346"/>
      <c r="M42" s="170">
        <f t="shared" si="0"/>
        <v>0</v>
      </c>
      <c r="N42" s="53">
        <f>'8. Funding_Adder_Revs'!L41</f>
        <v>4.5900000000000003E-2</v>
      </c>
      <c r="O42" s="170">
        <f t="shared" si="1"/>
        <v>0</v>
      </c>
      <c r="P42" s="170">
        <f t="shared" si="3"/>
        <v>0</v>
      </c>
    </row>
    <row r="43" spans="2:16" ht="13.5" thickBot="1" x14ac:dyDescent="0.25">
      <c r="B43" s="31" t="str">
        <f>'8. Funding_Adder_Revs'!B42</f>
        <v>2010 Q3</v>
      </c>
      <c r="C43" s="113">
        <f>'8. Funding_Adder_Revs'!C42</f>
        <v>8.8999999999999999E-3</v>
      </c>
      <c r="D43" s="113">
        <f>'8. Funding_Adder_Revs'!D42</f>
        <v>4.6600000000000003E-2</v>
      </c>
      <c r="E43" s="149"/>
      <c r="F43" s="151">
        <f>'8. Funding_Adder_Revs'!F42</f>
        <v>39264</v>
      </c>
      <c r="G43" s="168">
        <f>'8. Funding_Adder_Revs'!G42</f>
        <v>2007</v>
      </c>
      <c r="H43" s="169" t="str">
        <f>'8. Funding_Adder_Revs'!H42</f>
        <v>Q3</v>
      </c>
      <c r="J43" s="170">
        <f t="shared" si="2"/>
        <v>0</v>
      </c>
      <c r="K43" s="346"/>
      <c r="L43" s="346"/>
      <c r="M43" s="170">
        <f t="shared" si="0"/>
        <v>0</v>
      </c>
      <c r="N43" s="53">
        <f>'8. Funding_Adder_Revs'!L42</f>
        <v>4.5900000000000003E-2</v>
      </c>
      <c r="O43" s="170">
        <f t="shared" si="1"/>
        <v>0</v>
      </c>
      <c r="P43" s="170">
        <f t="shared" si="3"/>
        <v>0</v>
      </c>
    </row>
    <row r="44" spans="2:16" ht="13.5" thickBot="1" x14ac:dyDescent="0.25">
      <c r="B44" s="31" t="str">
        <f>'8. Funding_Adder_Revs'!B43</f>
        <v>2010 Q4</v>
      </c>
      <c r="C44" s="113">
        <f>'8. Funding_Adder_Revs'!C43</f>
        <v>1.2E-2</v>
      </c>
      <c r="D44" s="113">
        <f>'8. Funding_Adder_Revs'!D43</f>
        <v>4.0099999999999997E-2</v>
      </c>
      <c r="E44" s="149"/>
      <c r="F44" s="151">
        <f>'8. Funding_Adder_Revs'!F43</f>
        <v>39295</v>
      </c>
      <c r="G44" s="168">
        <f>'8. Funding_Adder_Revs'!G43</f>
        <v>2007</v>
      </c>
      <c r="H44" s="169" t="str">
        <f>'8. Funding_Adder_Revs'!H43</f>
        <v>Q3</v>
      </c>
      <c r="J44" s="170">
        <f t="shared" si="2"/>
        <v>0</v>
      </c>
      <c r="K44" s="346"/>
      <c r="L44" s="346"/>
      <c r="M44" s="170">
        <f t="shared" si="0"/>
        <v>0</v>
      </c>
      <c r="N44" s="53">
        <f>'8. Funding_Adder_Revs'!L43</f>
        <v>4.5900000000000003E-2</v>
      </c>
      <c r="O44" s="170">
        <f t="shared" si="1"/>
        <v>0</v>
      </c>
      <c r="P44" s="170">
        <f t="shared" si="3"/>
        <v>0</v>
      </c>
    </row>
    <row r="45" spans="2:16" ht="13.5" thickBot="1" x14ac:dyDescent="0.25">
      <c r="B45" s="31" t="str">
        <f>'8. Funding_Adder_Revs'!B44</f>
        <v>2011 Q1</v>
      </c>
      <c r="C45" s="113">
        <f>'8. Funding_Adder_Revs'!C44</f>
        <v>1.47E-2</v>
      </c>
      <c r="D45" s="113">
        <f>'8. Funding_Adder_Revs'!D44</f>
        <v>4.2900000000000001E-2</v>
      </c>
      <c r="E45" s="149"/>
      <c r="F45" s="151">
        <f>'8. Funding_Adder_Revs'!F44</f>
        <v>39326</v>
      </c>
      <c r="G45" s="168">
        <f>'8. Funding_Adder_Revs'!G44</f>
        <v>2007</v>
      </c>
      <c r="H45" s="169" t="str">
        <f>'8. Funding_Adder_Revs'!H44</f>
        <v>Q3</v>
      </c>
      <c r="J45" s="170">
        <f t="shared" si="2"/>
        <v>0</v>
      </c>
      <c r="K45" s="346"/>
      <c r="L45" s="346"/>
      <c r="M45" s="170">
        <f t="shared" si="0"/>
        <v>0</v>
      </c>
      <c r="N45" s="53">
        <f>'8. Funding_Adder_Revs'!L44</f>
        <v>4.5900000000000003E-2</v>
      </c>
      <c r="O45" s="170">
        <f t="shared" si="1"/>
        <v>0</v>
      </c>
      <c r="P45" s="170">
        <f t="shared" si="3"/>
        <v>0</v>
      </c>
    </row>
    <row r="46" spans="2:16" ht="13.5" thickBot="1" x14ac:dyDescent="0.25">
      <c r="B46" s="31" t="str">
        <f>'8. Funding_Adder_Revs'!B45</f>
        <v>2011 Q2</v>
      </c>
      <c r="C46" s="113">
        <f>'8. Funding_Adder_Revs'!C45</f>
        <v>1.47E-2</v>
      </c>
      <c r="D46" s="113">
        <f>'8. Funding_Adder_Revs'!D45</f>
        <v>4.2900000000000001E-2</v>
      </c>
      <c r="E46" s="149"/>
      <c r="F46" s="151">
        <f>'8. Funding_Adder_Revs'!F45</f>
        <v>39356</v>
      </c>
      <c r="G46" s="168">
        <f>'8. Funding_Adder_Revs'!G45</f>
        <v>2007</v>
      </c>
      <c r="H46" s="169" t="str">
        <f>'8. Funding_Adder_Revs'!H45</f>
        <v>Q4</v>
      </c>
      <c r="J46" s="170">
        <f t="shared" si="2"/>
        <v>0</v>
      </c>
      <c r="K46" s="346"/>
      <c r="L46" s="346"/>
      <c r="M46" s="170">
        <f t="shared" si="0"/>
        <v>0</v>
      </c>
      <c r="N46" s="53">
        <f>'8. Funding_Adder_Revs'!L45</f>
        <v>5.1400000000000001E-2</v>
      </c>
      <c r="O46" s="170">
        <f t="shared" si="1"/>
        <v>0</v>
      </c>
      <c r="P46" s="170">
        <f t="shared" si="3"/>
        <v>0</v>
      </c>
    </row>
    <row r="47" spans="2:16" ht="13.5" thickBot="1" x14ac:dyDescent="0.25">
      <c r="B47" s="31" t="str">
        <f>'8. Funding_Adder_Revs'!B46</f>
        <v>2011 Q3</v>
      </c>
      <c r="C47" s="113">
        <f>'8. Funding_Adder_Revs'!C46</f>
        <v>1.47E-2</v>
      </c>
      <c r="D47" s="113">
        <f>'8. Funding_Adder_Revs'!D46</f>
        <v>4.2900000000000001E-2</v>
      </c>
      <c r="E47" s="149"/>
      <c r="F47" s="151">
        <f>'8. Funding_Adder_Revs'!F46</f>
        <v>39387</v>
      </c>
      <c r="G47" s="168">
        <f>'8. Funding_Adder_Revs'!G46</f>
        <v>2007</v>
      </c>
      <c r="H47" s="169" t="str">
        <f>'8. Funding_Adder_Revs'!H46</f>
        <v>Q4</v>
      </c>
      <c r="J47" s="170">
        <f t="shared" si="2"/>
        <v>0</v>
      </c>
      <c r="K47" s="346"/>
      <c r="L47" s="346"/>
      <c r="M47" s="170">
        <f t="shared" si="0"/>
        <v>0</v>
      </c>
      <c r="N47" s="53">
        <f>'8. Funding_Adder_Revs'!L46</f>
        <v>5.1400000000000001E-2</v>
      </c>
      <c r="O47" s="170">
        <f t="shared" si="1"/>
        <v>0</v>
      </c>
      <c r="P47" s="170">
        <f t="shared" si="3"/>
        <v>0</v>
      </c>
    </row>
    <row r="48" spans="2:16" ht="13.5" thickBot="1" x14ac:dyDescent="0.25">
      <c r="B48" s="31" t="str">
        <f>'8. Funding_Adder_Revs'!B47</f>
        <v>2011 Q4</v>
      </c>
      <c r="C48" s="113">
        <f>'8. Funding_Adder_Revs'!C47</f>
        <v>1.47E-2</v>
      </c>
      <c r="D48" s="113">
        <f>'8. Funding_Adder_Revs'!D47</f>
        <v>3.9199999999999999E-2</v>
      </c>
      <c r="E48" s="149"/>
      <c r="F48" s="151">
        <f>'8. Funding_Adder_Revs'!F47</f>
        <v>39417</v>
      </c>
      <c r="G48" s="168">
        <f>'8. Funding_Adder_Revs'!G47</f>
        <v>2007</v>
      </c>
      <c r="H48" s="169" t="str">
        <f>'8. Funding_Adder_Revs'!H47</f>
        <v>Q4</v>
      </c>
      <c r="J48" s="170">
        <f t="shared" si="2"/>
        <v>0</v>
      </c>
      <c r="K48" s="346"/>
      <c r="L48" s="346"/>
      <c r="M48" s="170">
        <f t="shared" si="0"/>
        <v>0</v>
      </c>
      <c r="N48" s="53">
        <f>'8. Funding_Adder_Revs'!L47</f>
        <v>5.1400000000000001E-2</v>
      </c>
      <c r="O48" s="170">
        <f t="shared" si="1"/>
        <v>0</v>
      </c>
      <c r="P48" s="170">
        <f t="shared" si="3"/>
        <v>0</v>
      </c>
    </row>
    <row r="49" spans="2:16" ht="13.5" thickBot="1" x14ac:dyDescent="0.25">
      <c r="B49" s="31" t="str">
        <f>'8. Funding_Adder_Revs'!B48</f>
        <v>2012 Q1</v>
      </c>
      <c r="C49" s="113">
        <f>'8. Funding_Adder_Revs'!C48</f>
        <v>1.47E-2</v>
      </c>
      <c r="D49" s="113">
        <f>'8. Funding_Adder_Revs'!D48</f>
        <v>3.9199999999999999E-2</v>
      </c>
      <c r="E49" s="149"/>
      <c r="F49" s="151">
        <f>'8. Funding_Adder_Revs'!F48</f>
        <v>39448</v>
      </c>
      <c r="G49" s="168">
        <f>'8. Funding_Adder_Revs'!G48</f>
        <v>2008</v>
      </c>
      <c r="H49" s="169" t="str">
        <f>'8. Funding_Adder_Revs'!H48</f>
        <v>Q1</v>
      </c>
      <c r="J49" s="170">
        <f t="shared" si="2"/>
        <v>0</v>
      </c>
      <c r="K49" s="346"/>
      <c r="L49" s="346"/>
      <c r="M49" s="170">
        <f t="shared" si="0"/>
        <v>0</v>
      </c>
      <c r="N49" s="53">
        <f>'8. Funding_Adder_Revs'!L48</f>
        <v>5.1400000000000001E-2</v>
      </c>
      <c r="O49" s="170">
        <f t="shared" si="1"/>
        <v>0</v>
      </c>
      <c r="P49" s="170">
        <f t="shared" si="3"/>
        <v>0</v>
      </c>
    </row>
    <row r="50" spans="2:16" ht="13.5" thickBot="1" x14ac:dyDescent="0.25">
      <c r="B50" s="31" t="str">
        <f>'8. Funding_Adder_Revs'!B49</f>
        <v>2012 Q2</v>
      </c>
      <c r="C50" s="113">
        <f>'8. Funding_Adder_Revs'!C49</f>
        <v>1.47E-2</v>
      </c>
      <c r="D50" s="113">
        <f>'8. Funding_Adder_Revs'!D49</f>
        <v>3.5099999999999999E-2</v>
      </c>
      <c r="E50" s="149"/>
      <c r="F50" s="151">
        <f>'8. Funding_Adder_Revs'!F49</f>
        <v>39479</v>
      </c>
      <c r="G50" s="168">
        <f>'8. Funding_Adder_Revs'!G49</f>
        <v>2008</v>
      </c>
      <c r="H50" s="169" t="str">
        <f>'8. Funding_Adder_Revs'!H49</f>
        <v>Q1</v>
      </c>
      <c r="J50" s="170">
        <f t="shared" si="2"/>
        <v>0</v>
      </c>
      <c r="K50" s="346"/>
      <c r="L50" s="346"/>
      <c r="M50" s="170">
        <f t="shared" si="0"/>
        <v>0</v>
      </c>
      <c r="N50" s="53">
        <f>'8. Funding_Adder_Revs'!L49</f>
        <v>5.1400000000000001E-2</v>
      </c>
      <c r="O50" s="170">
        <f t="shared" si="1"/>
        <v>0</v>
      </c>
      <c r="P50" s="170">
        <f t="shared" si="3"/>
        <v>0</v>
      </c>
    </row>
    <row r="51" spans="2:16" ht="13.5" thickBot="1" x14ac:dyDescent="0.25">
      <c r="B51" s="31" t="str">
        <f>'8. Funding_Adder_Revs'!B50</f>
        <v>2012 Q3</v>
      </c>
      <c r="C51" s="113">
        <f>'8. Funding_Adder_Revs'!C50</f>
        <v>1.47E-2</v>
      </c>
      <c r="D51" s="113">
        <f>'8. Funding_Adder_Revs'!D50</f>
        <v>3.5099999999999999E-2</v>
      </c>
      <c r="E51" s="149"/>
      <c r="F51" s="151">
        <f>'8. Funding_Adder_Revs'!F50</f>
        <v>39508</v>
      </c>
      <c r="G51" s="168">
        <f>'8. Funding_Adder_Revs'!G50</f>
        <v>2008</v>
      </c>
      <c r="H51" s="169" t="str">
        <f>'8. Funding_Adder_Revs'!H50</f>
        <v>Q1</v>
      </c>
      <c r="J51" s="170">
        <f t="shared" si="2"/>
        <v>0</v>
      </c>
      <c r="K51" s="346"/>
      <c r="L51" s="346"/>
      <c r="M51" s="170">
        <f t="shared" si="0"/>
        <v>0</v>
      </c>
      <c r="N51" s="53">
        <f>'8. Funding_Adder_Revs'!L50</f>
        <v>5.1400000000000001E-2</v>
      </c>
      <c r="O51" s="170">
        <f t="shared" si="1"/>
        <v>0</v>
      </c>
      <c r="P51" s="170">
        <f t="shared" si="3"/>
        <v>0</v>
      </c>
    </row>
    <row r="52" spans="2:16" ht="13.5" thickBot="1" x14ac:dyDescent="0.25">
      <c r="B52" s="31" t="str">
        <f>'8. Funding_Adder_Revs'!B51</f>
        <v>2012 Q4</v>
      </c>
      <c r="C52" s="113">
        <f>'8. Funding_Adder_Revs'!C51</f>
        <v>0</v>
      </c>
      <c r="D52" s="113">
        <f>'8. Funding_Adder_Revs'!D51</f>
        <v>0</v>
      </c>
      <c r="E52" s="149"/>
      <c r="F52" s="151">
        <f>'8. Funding_Adder_Revs'!F51</f>
        <v>39539</v>
      </c>
      <c r="G52" s="168">
        <f>'8. Funding_Adder_Revs'!G51</f>
        <v>2008</v>
      </c>
      <c r="H52" s="169" t="str">
        <f>'8. Funding_Adder_Revs'!H51</f>
        <v>Q2</v>
      </c>
      <c r="J52" s="170">
        <f t="shared" si="2"/>
        <v>0</v>
      </c>
      <c r="K52" s="346"/>
      <c r="L52" s="346"/>
      <c r="M52" s="170">
        <f t="shared" si="0"/>
        <v>0</v>
      </c>
      <c r="N52" s="53">
        <f>'8. Funding_Adder_Revs'!L51</f>
        <v>4.0800000000000003E-2</v>
      </c>
      <c r="O52" s="170">
        <f t="shared" si="1"/>
        <v>0</v>
      </c>
      <c r="P52" s="170">
        <f t="shared" si="3"/>
        <v>0</v>
      </c>
    </row>
    <row r="53" spans="2:16" ht="13.5" thickBot="1" x14ac:dyDescent="0.25">
      <c r="B53" s="31" t="str">
        <f>'8. Funding_Adder_Revs'!B52</f>
        <v>2013 Q1</v>
      </c>
      <c r="C53" s="113">
        <f>'8. Funding_Adder_Revs'!C52</f>
        <v>0</v>
      </c>
      <c r="D53" s="113">
        <f>'8. Funding_Adder_Revs'!D52</f>
        <v>0</v>
      </c>
      <c r="E53" s="149"/>
      <c r="F53" s="151">
        <f>'8. Funding_Adder_Revs'!F52</f>
        <v>39569</v>
      </c>
      <c r="G53" s="168">
        <f>'8. Funding_Adder_Revs'!G52</f>
        <v>2008</v>
      </c>
      <c r="H53" s="169" t="str">
        <f>'8. Funding_Adder_Revs'!H52</f>
        <v>Q2</v>
      </c>
      <c r="J53" s="170">
        <f t="shared" si="2"/>
        <v>0</v>
      </c>
      <c r="K53" s="346"/>
      <c r="L53" s="346"/>
      <c r="M53" s="170">
        <f t="shared" si="0"/>
        <v>0</v>
      </c>
      <c r="N53" s="53">
        <f>'8. Funding_Adder_Revs'!L52</f>
        <v>4.0800000000000003E-2</v>
      </c>
      <c r="O53" s="170">
        <f t="shared" si="1"/>
        <v>0</v>
      </c>
      <c r="P53" s="170">
        <f t="shared" si="3"/>
        <v>0</v>
      </c>
    </row>
    <row r="54" spans="2:16" ht="13.5" thickBot="1" x14ac:dyDescent="0.25">
      <c r="B54" s="31" t="str">
        <f>'8. Funding_Adder_Revs'!B53</f>
        <v>2013 Q2</v>
      </c>
      <c r="C54" s="113">
        <f>'8. Funding_Adder_Revs'!C53</f>
        <v>0</v>
      </c>
      <c r="D54" s="113">
        <f>'8. Funding_Adder_Revs'!D53</f>
        <v>0</v>
      </c>
      <c r="E54" s="149"/>
      <c r="F54" s="151">
        <f>'8. Funding_Adder_Revs'!F53</f>
        <v>39600</v>
      </c>
      <c r="G54" s="168">
        <f>'8. Funding_Adder_Revs'!G53</f>
        <v>2008</v>
      </c>
      <c r="H54" s="169" t="str">
        <f>'8. Funding_Adder_Revs'!H53</f>
        <v>Q2</v>
      </c>
      <c r="J54" s="170">
        <f t="shared" si="2"/>
        <v>0</v>
      </c>
      <c r="K54" s="346"/>
      <c r="L54" s="346"/>
      <c r="M54" s="170">
        <f t="shared" si="0"/>
        <v>0</v>
      </c>
      <c r="N54" s="53">
        <f>'8. Funding_Adder_Revs'!L53</f>
        <v>4.0800000000000003E-2</v>
      </c>
      <c r="O54" s="170">
        <f t="shared" si="1"/>
        <v>0</v>
      </c>
      <c r="P54" s="170">
        <f t="shared" si="3"/>
        <v>0</v>
      </c>
    </row>
    <row r="55" spans="2:16" ht="13.5" thickBot="1" x14ac:dyDescent="0.25">
      <c r="B55" s="31" t="str">
        <f>'8. Funding_Adder_Revs'!B54</f>
        <v>2013 Q3</v>
      </c>
      <c r="C55" s="113">
        <f>'8. Funding_Adder_Revs'!C54</f>
        <v>0</v>
      </c>
      <c r="D55" s="113">
        <f>'8. Funding_Adder_Revs'!D54</f>
        <v>0</v>
      </c>
      <c r="E55" s="149"/>
      <c r="F55" s="151">
        <f>'8. Funding_Adder_Revs'!F54</f>
        <v>39630</v>
      </c>
      <c r="G55" s="168">
        <f>'8. Funding_Adder_Revs'!G54</f>
        <v>2008</v>
      </c>
      <c r="H55" s="169" t="str">
        <f>'8. Funding_Adder_Revs'!H54</f>
        <v>Q3</v>
      </c>
      <c r="J55" s="170">
        <f t="shared" si="2"/>
        <v>0</v>
      </c>
      <c r="K55" s="346"/>
      <c r="L55" s="346"/>
      <c r="M55" s="170">
        <f t="shared" si="0"/>
        <v>0</v>
      </c>
      <c r="N55" s="53">
        <f>'8. Funding_Adder_Revs'!L54</f>
        <v>3.3500000000000002E-2</v>
      </c>
      <c r="O55" s="170">
        <f t="shared" si="1"/>
        <v>0</v>
      </c>
      <c r="P55" s="170">
        <f t="shared" si="3"/>
        <v>0</v>
      </c>
    </row>
    <row r="56" spans="2:16" ht="13.5" thickBot="1" x14ac:dyDescent="0.25">
      <c r="B56" s="31" t="str">
        <f>'8. Funding_Adder_Revs'!B55</f>
        <v>2013 Q4</v>
      </c>
      <c r="C56" s="113">
        <f>'8. Funding_Adder_Revs'!C55</f>
        <v>0</v>
      </c>
      <c r="D56" s="113">
        <f>'8. Funding_Adder_Revs'!D55</f>
        <v>0</v>
      </c>
      <c r="E56" s="149"/>
      <c r="F56" s="151">
        <f>'8. Funding_Adder_Revs'!F55</f>
        <v>39661</v>
      </c>
      <c r="G56" s="168">
        <f>'8. Funding_Adder_Revs'!G55</f>
        <v>2008</v>
      </c>
      <c r="H56" s="169" t="str">
        <f>'8. Funding_Adder_Revs'!H55</f>
        <v>Q3</v>
      </c>
      <c r="J56" s="170">
        <f t="shared" si="2"/>
        <v>0</v>
      </c>
      <c r="K56" s="346"/>
      <c r="L56" s="346"/>
      <c r="M56" s="170">
        <f t="shared" si="0"/>
        <v>0</v>
      </c>
      <c r="N56" s="53">
        <f>'8. Funding_Adder_Revs'!L55</f>
        <v>3.3500000000000002E-2</v>
      </c>
      <c r="O56" s="170">
        <f t="shared" si="1"/>
        <v>0</v>
      </c>
      <c r="P56" s="170">
        <f t="shared" si="3"/>
        <v>0</v>
      </c>
    </row>
    <row r="57" spans="2:16" ht="13.5" thickBot="1" x14ac:dyDescent="0.25">
      <c r="E57" s="149"/>
      <c r="F57" s="151">
        <f>'8. Funding_Adder_Revs'!F56</f>
        <v>39692</v>
      </c>
      <c r="G57" s="168">
        <f>'8. Funding_Adder_Revs'!G56</f>
        <v>2008</v>
      </c>
      <c r="H57" s="169" t="str">
        <f>'8. Funding_Adder_Revs'!H56</f>
        <v>Q3</v>
      </c>
      <c r="J57" s="170">
        <f t="shared" si="2"/>
        <v>0</v>
      </c>
      <c r="K57" s="346"/>
      <c r="L57" s="346"/>
      <c r="M57" s="170">
        <f t="shared" si="0"/>
        <v>0</v>
      </c>
      <c r="N57" s="53">
        <f>'8. Funding_Adder_Revs'!L56</f>
        <v>3.3500000000000002E-2</v>
      </c>
      <c r="O57" s="170">
        <f t="shared" si="1"/>
        <v>0</v>
      </c>
      <c r="P57" s="170">
        <f t="shared" si="3"/>
        <v>0</v>
      </c>
    </row>
    <row r="58" spans="2:16" ht="13.5" thickBot="1" x14ac:dyDescent="0.25">
      <c r="E58" s="149"/>
      <c r="F58" s="151">
        <f>'8. Funding_Adder_Revs'!F57</f>
        <v>39722</v>
      </c>
      <c r="G58" s="168">
        <f>'8. Funding_Adder_Revs'!G57</f>
        <v>2008</v>
      </c>
      <c r="H58" s="169" t="str">
        <f>'8. Funding_Adder_Revs'!H57</f>
        <v>Q4</v>
      </c>
      <c r="J58" s="170">
        <f t="shared" si="2"/>
        <v>0</v>
      </c>
      <c r="K58" s="346"/>
      <c r="L58" s="346"/>
      <c r="M58" s="170">
        <f t="shared" si="0"/>
        <v>0</v>
      </c>
      <c r="N58" s="53">
        <f>'8. Funding_Adder_Revs'!L57</f>
        <v>3.3500000000000002E-2</v>
      </c>
      <c r="O58" s="170">
        <f t="shared" si="1"/>
        <v>0</v>
      </c>
      <c r="P58" s="170">
        <f t="shared" si="3"/>
        <v>0</v>
      </c>
    </row>
    <row r="59" spans="2:16" ht="13.5" thickBot="1" x14ac:dyDescent="0.25">
      <c r="E59" s="149"/>
      <c r="F59" s="151">
        <f>'8. Funding_Adder_Revs'!F58</f>
        <v>39753</v>
      </c>
      <c r="G59" s="168">
        <f>'8. Funding_Adder_Revs'!G58</f>
        <v>2008</v>
      </c>
      <c r="H59" s="169" t="str">
        <f>'8. Funding_Adder_Revs'!H58</f>
        <v>Q4</v>
      </c>
      <c r="J59" s="170">
        <f t="shared" si="2"/>
        <v>0</v>
      </c>
      <c r="K59" s="346"/>
      <c r="L59" s="346"/>
      <c r="M59" s="170">
        <f t="shared" si="0"/>
        <v>0</v>
      </c>
      <c r="N59" s="53">
        <f>'8. Funding_Adder_Revs'!L58</f>
        <v>3.3500000000000002E-2</v>
      </c>
      <c r="O59" s="170">
        <f t="shared" si="1"/>
        <v>0</v>
      </c>
      <c r="P59" s="170">
        <f t="shared" si="3"/>
        <v>0</v>
      </c>
    </row>
    <row r="60" spans="2:16" ht="13.5" thickBot="1" x14ac:dyDescent="0.25">
      <c r="E60" s="149"/>
      <c r="F60" s="151">
        <f>'8. Funding_Adder_Revs'!F59</f>
        <v>39783</v>
      </c>
      <c r="G60" s="168">
        <f>'8. Funding_Adder_Revs'!G59</f>
        <v>2008</v>
      </c>
      <c r="H60" s="169" t="str">
        <f>'8. Funding_Adder_Revs'!H59</f>
        <v>Q4</v>
      </c>
      <c r="J60" s="170">
        <f t="shared" si="2"/>
        <v>0</v>
      </c>
      <c r="K60" s="346"/>
      <c r="L60" s="346"/>
      <c r="M60" s="170">
        <f t="shared" si="0"/>
        <v>0</v>
      </c>
      <c r="N60" s="53">
        <f>'8. Funding_Adder_Revs'!L59</f>
        <v>3.3500000000000002E-2</v>
      </c>
      <c r="O60" s="170">
        <f t="shared" si="1"/>
        <v>0</v>
      </c>
      <c r="P60" s="170">
        <f t="shared" si="3"/>
        <v>0</v>
      </c>
    </row>
    <row r="61" spans="2:16" ht="13.5" thickBot="1" x14ac:dyDescent="0.25">
      <c r="E61" s="149"/>
      <c r="F61" s="151">
        <f>'8. Funding_Adder_Revs'!F60</f>
        <v>39814</v>
      </c>
      <c r="G61" s="168">
        <f>'8. Funding_Adder_Revs'!G60</f>
        <v>2009</v>
      </c>
      <c r="H61" s="169" t="str">
        <f>'8. Funding_Adder_Revs'!H60</f>
        <v>Q1</v>
      </c>
      <c r="J61" s="170">
        <f t="shared" si="2"/>
        <v>0</v>
      </c>
      <c r="K61" s="346"/>
      <c r="L61" s="346"/>
      <c r="M61" s="170">
        <f t="shared" si="0"/>
        <v>0</v>
      </c>
      <c r="N61" s="53">
        <f>'8. Funding_Adder_Revs'!L60</f>
        <v>2.4500000000000001E-2</v>
      </c>
      <c r="O61" s="170">
        <f t="shared" si="1"/>
        <v>0</v>
      </c>
      <c r="P61" s="170">
        <f t="shared" si="3"/>
        <v>0</v>
      </c>
    </row>
    <row r="62" spans="2:16" ht="13.5" thickBot="1" x14ac:dyDescent="0.25">
      <c r="E62" s="149"/>
      <c r="F62" s="151">
        <f>'8. Funding_Adder_Revs'!F61</f>
        <v>39845</v>
      </c>
      <c r="G62" s="168">
        <f>'8. Funding_Adder_Revs'!G61</f>
        <v>2009</v>
      </c>
      <c r="H62" s="169" t="str">
        <f>'8. Funding_Adder_Revs'!H61</f>
        <v>Q1</v>
      </c>
      <c r="J62" s="170">
        <f t="shared" si="2"/>
        <v>0</v>
      </c>
      <c r="K62" s="346">
        <v>950</v>
      </c>
      <c r="L62" s="346"/>
      <c r="M62" s="170">
        <f t="shared" si="0"/>
        <v>950</v>
      </c>
      <c r="N62" s="53">
        <f>'8. Funding_Adder_Revs'!L61</f>
        <v>2.4500000000000001E-2</v>
      </c>
      <c r="O62" s="170">
        <f t="shared" si="1"/>
        <v>0</v>
      </c>
      <c r="P62" s="170">
        <f t="shared" si="3"/>
        <v>0</v>
      </c>
    </row>
    <row r="63" spans="2:16" ht="13.5" thickBot="1" x14ac:dyDescent="0.25">
      <c r="E63" s="149"/>
      <c r="F63" s="151">
        <f>'8. Funding_Adder_Revs'!F62</f>
        <v>39873</v>
      </c>
      <c r="G63" s="168">
        <f>'8. Funding_Adder_Revs'!G62</f>
        <v>2009</v>
      </c>
      <c r="H63" s="169" t="str">
        <f>'8. Funding_Adder_Revs'!H62</f>
        <v>Q1</v>
      </c>
      <c r="J63" s="170">
        <f t="shared" si="2"/>
        <v>950</v>
      </c>
      <c r="K63" s="346"/>
      <c r="L63" s="346"/>
      <c r="M63" s="170">
        <f t="shared" si="0"/>
        <v>950</v>
      </c>
      <c r="N63" s="53">
        <f>'8. Funding_Adder_Revs'!L62</f>
        <v>2.4500000000000001E-2</v>
      </c>
      <c r="O63" s="170">
        <f t="shared" si="1"/>
        <v>1.9395833333333334</v>
      </c>
      <c r="P63" s="170">
        <f t="shared" si="3"/>
        <v>1.9395833333333334</v>
      </c>
    </row>
    <row r="64" spans="2:16" ht="13.5" thickBot="1" x14ac:dyDescent="0.25">
      <c r="E64" s="149"/>
      <c r="F64" s="151">
        <f>'8. Funding_Adder_Revs'!F63</f>
        <v>39904</v>
      </c>
      <c r="G64" s="168">
        <f>'8. Funding_Adder_Revs'!G63</f>
        <v>2009</v>
      </c>
      <c r="H64" s="169" t="str">
        <f>'8. Funding_Adder_Revs'!H63</f>
        <v>Q2</v>
      </c>
      <c r="J64" s="170">
        <f t="shared" si="2"/>
        <v>950</v>
      </c>
      <c r="K64" s="346">
        <v>3204.42</v>
      </c>
      <c r="L64" s="346"/>
      <c r="M64" s="170">
        <f t="shared" si="0"/>
        <v>4154.42</v>
      </c>
      <c r="N64" s="53">
        <f>'8. Funding_Adder_Revs'!L63</f>
        <v>0.01</v>
      </c>
      <c r="O64" s="170">
        <f t="shared" si="1"/>
        <v>0.79166666666666663</v>
      </c>
      <c r="P64" s="170">
        <f t="shared" si="3"/>
        <v>2.7312500000000002</v>
      </c>
    </row>
    <row r="65" spans="5:16" ht="13.5" thickBot="1" x14ac:dyDescent="0.25">
      <c r="E65" s="149"/>
      <c r="F65" s="151">
        <f>'8. Funding_Adder_Revs'!F64</f>
        <v>39934</v>
      </c>
      <c r="G65" s="168">
        <f>'8. Funding_Adder_Revs'!G64</f>
        <v>2009</v>
      </c>
      <c r="H65" s="169" t="str">
        <f>'8. Funding_Adder_Revs'!H64</f>
        <v>Q2</v>
      </c>
      <c r="J65" s="170">
        <f t="shared" si="2"/>
        <v>4154.42</v>
      </c>
      <c r="K65" s="346">
        <v>5058.6000000000004</v>
      </c>
      <c r="L65" s="346"/>
      <c r="M65" s="170">
        <f t="shared" si="0"/>
        <v>9213.02</v>
      </c>
      <c r="N65" s="53">
        <f>'8. Funding_Adder_Revs'!L64</f>
        <v>0.01</v>
      </c>
      <c r="O65" s="170">
        <f t="shared" si="1"/>
        <v>3.462016666666667</v>
      </c>
      <c r="P65" s="170">
        <f t="shared" si="3"/>
        <v>6.1932666666666671</v>
      </c>
    </row>
    <row r="66" spans="5:16" ht="13.5" thickBot="1" x14ac:dyDescent="0.25">
      <c r="E66" s="149"/>
      <c r="F66" s="151">
        <f>'8. Funding_Adder_Revs'!F65</f>
        <v>39965</v>
      </c>
      <c r="G66" s="168">
        <f>'8. Funding_Adder_Revs'!G65</f>
        <v>2009</v>
      </c>
      <c r="H66" s="169" t="str">
        <f>'8. Funding_Adder_Revs'!H65</f>
        <v>Q2</v>
      </c>
      <c r="J66" s="170">
        <f t="shared" si="2"/>
        <v>9213.02</v>
      </c>
      <c r="K66" s="346">
        <v>466.89</v>
      </c>
      <c r="L66" s="346"/>
      <c r="M66" s="170">
        <f t="shared" si="0"/>
        <v>9679.91</v>
      </c>
      <c r="N66" s="53">
        <f>'8. Funding_Adder_Revs'!L65</f>
        <v>0.01</v>
      </c>
      <c r="O66" s="170">
        <f t="shared" si="1"/>
        <v>7.6775166666666665</v>
      </c>
      <c r="P66" s="170">
        <f t="shared" si="3"/>
        <v>13.870783333333334</v>
      </c>
    </row>
    <row r="67" spans="5:16" ht="13.5" thickBot="1" x14ac:dyDescent="0.25">
      <c r="E67" s="149"/>
      <c r="F67" s="151">
        <f>'8. Funding_Adder_Revs'!F66</f>
        <v>39995</v>
      </c>
      <c r="G67" s="168">
        <f>'8. Funding_Adder_Revs'!G66</f>
        <v>2009</v>
      </c>
      <c r="H67" s="169" t="str">
        <f>'8. Funding_Adder_Revs'!H66</f>
        <v>Q3</v>
      </c>
      <c r="J67" s="170">
        <f t="shared" si="2"/>
        <v>9679.91</v>
      </c>
      <c r="K67" s="346">
        <v>488.5</v>
      </c>
      <c r="L67" s="346"/>
      <c r="M67" s="170">
        <f t="shared" si="0"/>
        <v>10168.41</v>
      </c>
      <c r="N67" s="53">
        <f>'8. Funding_Adder_Revs'!L66</f>
        <v>5.4999999999999997E-3</v>
      </c>
      <c r="O67" s="170">
        <f t="shared" si="1"/>
        <v>4.4366254166666659</v>
      </c>
      <c r="P67" s="170">
        <f t="shared" si="3"/>
        <v>18.30740875</v>
      </c>
    </row>
    <row r="68" spans="5:16" ht="13.5" thickBot="1" x14ac:dyDescent="0.25">
      <c r="E68" s="149"/>
      <c r="F68" s="151">
        <f>'8. Funding_Adder_Revs'!F67</f>
        <v>40026</v>
      </c>
      <c r="G68" s="168">
        <f>'8. Funding_Adder_Revs'!G67</f>
        <v>2009</v>
      </c>
      <c r="H68" s="169" t="str">
        <f>'8. Funding_Adder_Revs'!H67</f>
        <v>Q3</v>
      </c>
      <c r="J68" s="170">
        <f t="shared" si="2"/>
        <v>10168.41</v>
      </c>
      <c r="K68" s="346"/>
      <c r="L68" s="346"/>
      <c r="M68" s="170">
        <f t="shared" si="0"/>
        <v>10168.41</v>
      </c>
      <c r="N68" s="53">
        <f>'8. Funding_Adder_Revs'!L67</f>
        <v>5.4999999999999997E-3</v>
      </c>
      <c r="O68" s="170">
        <f t="shared" si="1"/>
        <v>4.6605212499999995</v>
      </c>
      <c r="P68" s="170">
        <f t="shared" si="3"/>
        <v>22.967929999999999</v>
      </c>
    </row>
    <row r="69" spans="5:16" ht="13.5" thickBot="1" x14ac:dyDescent="0.25">
      <c r="E69" s="149"/>
      <c r="F69" s="151">
        <f>'8. Funding_Adder_Revs'!F68</f>
        <v>40057</v>
      </c>
      <c r="G69" s="168">
        <f>'8. Funding_Adder_Revs'!G68</f>
        <v>2009</v>
      </c>
      <c r="H69" s="169" t="str">
        <f>'8. Funding_Adder_Revs'!H68</f>
        <v>Q3</v>
      </c>
      <c r="J69" s="170">
        <f t="shared" si="2"/>
        <v>10168.41</v>
      </c>
      <c r="K69" s="346">
        <v>301.07</v>
      </c>
      <c r="L69" s="346"/>
      <c r="M69" s="170">
        <f t="shared" si="0"/>
        <v>10469.48</v>
      </c>
      <c r="N69" s="53">
        <f>'8. Funding_Adder_Revs'!L68</f>
        <v>5.4999999999999997E-3</v>
      </c>
      <c r="O69" s="170">
        <f t="shared" si="1"/>
        <v>4.6605212499999995</v>
      </c>
      <c r="P69" s="170">
        <f t="shared" si="3"/>
        <v>27.628451249999998</v>
      </c>
    </row>
    <row r="70" spans="5:16" ht="13.5" thickBot="1" x14ac:dyDescent="0.25">
      <c r="E70" s="149"/>
      <c r="F70" s="151">
        <f>'8. Funding_Adder_Revs'!F69</f>
        <v>40087</v>
      </c>
      <c r="G70" s="168">
        <f>'8. Funding_Adder_Revs'!G69</f>
        <v>2009</v>
      </c>
      <c r="H70" s="169" t="str">
        <f>'8. Funding_Adder_Revs'!H69</f>
        <v>Q4</v>
      </c>
      <c r="J70" s="170">
        <f t="shared" si="2"/>
        <v>10469.48</v>
      </c>
      <c r="K70" s="346">
        <v>1602.4</v>
      </c>
      <c r="L70" s="346"/>
      <c r="M70" s="170">
        <f t="shared" si="0"/>
        <v>12071.88</v>
      </c>
      <c r="N70" s="53">
        <f>'8. Funding_Adder_Revs'!L69</f>
        <v>5.4999999999999997E-3</v>
      </c>
      <c r="O70" s="170">
        <f t="shared" si="1"/>
        <v>4.7985116666666663</v>
      </c>
      <c r="P70" s="170">
        <f t="shared" si="3"/>
        <v>32.426962916666668</v>
      </c>
    </row>
    <row r="71" spans="5:16" ht="13.5" thickBot="1" x14ac:dyDescent="0.25">
      <c r="E71" s="149"/>
      <c r="F71" s="151">
        <f>'8. Funding_Adder_Revs'!F70</f>
        <v>40118</v>
      </c>
      <c r="G71" s="168">
        <f>'8. Funding_Adder_Revs'!G70</f>
        <v>2009</v>
      </c>
      <c r="H71" s="169" t="str">
        <f>'8. Funding_Adder_Revs'!H70</f>
        <v>Q4</v>
      </c>
      <c r="J71" s="170">
        <f t="shared" si="2"/>
        <v>12071.88</v>
      </c>
      <c r="K71" s="346">
        <v>197.28</v>
      </c>
      <c r="L71" s="346"/>
      <c r="M71" s="170">
        <f t="shared" si="0"/>
        <v>12269.16</v>
      </c>
      <c r="N71" s="53">
        <f>'8. Funding_Adder_Revs'!L70</f>
        <v>5.4999999999999997E-3</v>
      </c>
      <c r="O71" s="170">
        <f t="shared" si="1"/>
        <v>5.5329449999999989</v>
      </c>
      <c r="P71" s="170">
        <f t="shared" si="3"/>
        <v>37.959907916666666</v>
      </c>
    </row>
    <row r="72" spans="5:16" ht="13.5" thickBot="1" x14ac:dyDescent="0.25">
      <c r="E72" s="149"/>
      <c r="F72" s="151">
        <f>'8. Funding_Adder_Revs'!F71</f>
        <v>40148</v>
      </c>
      <c r="G72" s="168">
        <f>'8. Funding_Adder_Revs'!G71</f>
        <v>2009</v>
      </c>
      <c r="H72" s="169" t="str">
        <f>'8. Funding_Adder_Revs'!H71</f>
        <v>Q4</v>
      </c>
      <c r="J72" s="170">
        <f t="shared" si="2"/>
        <v>12269.16</v>
      </c>
      <c r="K72" s="346">
        <v>15364.19</v>
      </c>
      <c r="L72" s="346">
        <v>9966</v>
      </c>
      <c r="M72" s="170">
        <f t="shared" si="0"/>
        <v>37599.35</v>
      </c>
      <c r="N72" s="53">
        <f>'8. Funding_Adder_Revs'!L71</f>
        <v>5.4999999999999997E-3</v>
      </c>
      <c r="O72" s="170">
        <f t="shared" si="1"/>
        <v>5.6233649999999997</v>
      </c>
      <c r="P72" s="170">
        <f t="shared" si="3"/>
        <v>43.583272916666665</v>
      </c>
    </row>
    <row r="73" spans="5:16" ht="13.5" thickBot="1" x14ac:dyDescent="0.25">
      <c r="E73" s="149"/>
      <c r="F73" s="151">
        <f>'8. Funding_Adder_Revs'!F72</f>
        <v>40179</v>
      </c>
      <c r="G73" s="168">
        <f>'8. Funding_Adder_Revs'!G72</f>
        <v>2010</v>
      </c>
      <c r="H73" s="169" t="str">
        <f>'8. Funding_Adder_Revs'!H72</f>
        <v>Q1</v>
      </c>
      <c r="J73" s="170">
        <f t="shared" si="2"/>
        <v>37599.35</v>
      </c>
      <c r="K73" s="346">
        <v>301.07</v>
      </c>
      <c r="L73" s="346"/>
      <c r="M73" s="170">
        <f t="shared" si="0"/>
        <v>37900.42</v>
      </c>
      <c r="N73" s="53">
        <f>'8. Funding_Adder_Revs'!L72</f>
        <v>5.4999999999999997E-3</v>
      </c>
      <c r="O73" s="170">
        <f t="shared" si="1"/>
        <v>17.233035416666663</v>
      </c>
      <c r="P73" s="170">
        <f t="shared" si="3"/>
        <v>60.816308333333325</v>
      </c>
    </row>
    <row r="74" spans="5:16" ht="13.5" thickBot="1" x14ac:dyDescent="0.25">
      <c r="E74" s="149"/>
      <c r="F74" s="151">
        <f>'8. Funding_Adder_Revs'!F73</f>
        <v>40210</v>
      </c>
      <c r="G74" s="168">
        <f>'8. Funding_Adder_Revs'!G73</f>
        <v>2010</v>
      </c>
      <c r="H74" s="169" t="str">
        <f>'8. Funding_Adder_Revs'!H73</f>
        <v>Q1</v>
      </c>
      <c r="J74" s="170">
        <f t="shared" si="2"/>
        <v>37900.42</v>
      </c>
      <c r="K74" s="346">
        <v>186.99</v>
      </c>
      <c r="L74" s="346"/>
      <c r="M74" s="170">
        <f t="shared" si="0"/>
        <v>38087.409999999996</v>
      </c>
      <c r="N74" s="53">
        <f>'8. Funding_Adder_Revs'!L73</f>
        <v>5.4999999999999997E-3</v>
      </c>
      <c r="O74" s="170">
        <f t="shared" si="1"/>
        <v>17.371025833333331</v>
      </c>
      <c r="P74" s="170">
        <f t="shared" si="3"/>
        <v>78.187334166666659</v>
      </c>
    </row>
    <row r="75" spans="5:16" ht="13.5" thickBot="1" x14ac:dyDescent="0.25">
      <c r="E75" s="149"/>
      <c r="F75" s="151">
        <f>'8. Funding_Adder_Revs'!F74</f>
        <v>40238</v>
      </c>
      <c r="G75" s="168">
        <f>'8. Funding_Adder_Revs'!G74</f>
        <v>2010</v>
      </c>
      <c r="H75" s="169" t="str">
        <f>'8. Funding_Adder_Revs'!H74</f>
        <v>Q1</v>
      </c>
      <c r="J75" s="170">
        <f t="shared" si="2"/>
        <v>38087.409999999996</v>
      </c>
      <c r="K75" s="346">
        <v>567.73</v>
      </c>
      <c r="L75" s="346"/>
      <c r="M75" s="170">
        <f t="shared" si="0"/>
        <v>38655.14</v>
      </c>
      <c r="N75" s="53">
        <f>'8. Funding_Adder_Revs'!L74</f>
        <v>5.4999999999999997E-3</v>
      </c>
      <c r="O75" s="170">
        <f t="shared" si="1"/>
        <v>17.456729583333331</v>
      </c>
      <c r="P75" s="170">
        <f t="shared" si="3"/>
        <v>95.644063749999987</v>
      </c>
    </row>
    <row r="76" spans="5:16" ht="13.5" thickBot="1" x14ac:dyDescent="0.25">
      <c r="E76" s="149"/>
      <c r="F76" s="151">
        <f>'8. Funding_Adder_Revs'!F75</f>
        <v>40269</v>
      </c>
      <c r="G76" s="168">
        <f>'8. Funding_Adder_Revs'!G75</f>
        <v>2010</v>
      </c>
      <c r="H76" s="169" t="str">
        <f>'8. Funding_Adder_Revs'!H75</f>
        <v>Q2</v>
      </c>
      <c r="J76" s="170">
        <f t="shared" si="2"/>
        <v>38655.14</v>
      </c>
      <c r="K76" s="346">
        <v>425.88</v>
      </c>
      <c r="L76" s="346"/>
      <c r="M76" s="170">
        <f t="shared" si="0"/>
        <v>39081.019999999997</v>
      </c>
      <c r="N76" s="53">
        <f>'8. Funding_Adder_Revs'!L75</f>
        <v>5.4999999999999997E-3</v>
      </c>
      <c r="O76" s="170">
        <f t="shared" si="1"/>
        <v>17.716939166666666</v>
      </c>
      <c r="P76" s="170">
        <f t="shared" si="3"/>
        <v>113.36100291666665</v>
      </c>
    </row>
    <row r="77" spans="5:16" ht="13.5" thickBot="1" x14ac:dyDescent="0.25">
      <c r="E77" s="149"/>
      <c r="F77" s="151">
        <f>'8. Funding_Adder_Revs'!F76</f>
        <v>40299</v>
      </c>
      <c r="G77" s="168">
        <f>'8. Funding_Adder_Revs'!G76</f>
        <v>2010</v>
      </c>
      <c r="H77" s="169" t="str">
        <f>'8. Funding_Adder_Revs'!H76</f>
        <v>Q2</v>
      </c>
      <c r="J77" s="170">
        <f t="shared" si="2"/>
        <v>39081.019999999997</v>
      </c>
      <c r="K77" s="346">
        <v>103.79</v>
      </c>
      <c r="L77" s="346"/>
      <c r="M77" s="170">
        <f t="shared" si="0"/>
        <v>39184.81</v>
      </c>
      <c r="N77" s="53">
        <f>'8. Funding_Adder_Revs'!L76</f>
        <v>5.4999999999999997E-3</v>
      </c>
      <c r="O77" s="170">
        <f t="shared" si="1"/>
        <v>17.912134166666664</v>
      </c>
      <c r="P77" s="170">
        <f t="shared" si="3"/>
        <v>131.27313708333332</v>
      </c>
    </row>
    <row r="78" spans="5:16" ht="13.5" thickBot="1" x14ac:dyDescent="0.25">
      <c r="E78" s="149"/>
      <c r="F78" s="151">
        <f>'8. Funding_Adder_Revs'!F77</f>
        <v>40330</v>
      </c>
      <c r="G78" s="168">
        <f>'8. Funding_Adder_Revs'!G77</f>
        <v>2010</v>
      </c>
      <c r="H78" s="169" t="str">
        <f>'8. Funding_Adder_Revs'!H77</f>
        <v>Q2</v>
      </c>
      <c r="J78" s="170">
        <f t="shared" si="2"/>
        <v>39184.81</v>
      </c>
      <c r="K78" s="346">
        <v>201.07</v>
      </c>
      <c r="L78" s="346"/>
      <c r="M78" s="170">
        <f t="shared" si="0"/>
        <v>39385.879999999997</v>
      </c>
      <c r="N78" s="53">
        <f>'8. Funding_Adder_Revs'!L77</f>
        <v>5.4999999999999997E-3</v>
      </c>
      <c r="O78" s="170">
        <f t="shared" si="1"/>
        <v>17.95970458333333</v>
      </c>
      <c r="P78" s="170">
        <f t="shared" si="3"/>
        <v>149.23284166666664</v>
      </c>
    </row>
    <row r="79" spans="5:16" ht="13.5" thickBot="1" x14ac:dyDescent="0.25">
      <c r="E79" s="149"/>
      <c r="F79" s="151">
        <f>'8. Funding_Adder_Revs'!F78</f>
        <v>40360</v>
      </c>
      <c r="G79" s="168">
        <f>'8. Funding_Adder_Revs'!G78</f>
        <v>2010</v>
      </c>
      <c r="H79" s="169" t="str">
        <f>'8. Funding_Adder_Revs'!H78</f>
        <v>Q3</v>
      </c>
      <c r="J79" s="170">
        <f t="shared" si="2"/>
        <v>39385.879999999997</v>
      </c>
      <c r="K79" s="346">
        <v>244.91</v>
      </c>
      <c r="L79" s="346"/>
      <c r="M79" s="170">
        <f t="shared" si="0"/>
        <v>39630.79</v>
      </c>
      <c r="N79" s="53">
        <f>'8. Funding_Adder_Revs'!L78</f>
        <v>8.8999999999999999E-3</v>
      </c>
      <c r="O79" s="170">
        <f t="shared" si="1"/>
        <v>29.211194333333328</v>
      </c>
      <c r="P79" s="170">
        <f t="shared" si="3"/>
        <v>178.44403599999998</v>
      </c>
    </row>
    <row r="80" spans="5:16" ht="13.5" thickBot="1" x14ac:dyDescent="0.25">
      <c r="E80" s="149"/>
      <c r="F80" s="151">
        <f>'8. Funding_Adder_Revs'!F79</f>
        <v>40391</v>
      </c>
      <c r="G80" s="168">
        <f>'8. Funding_Adder_Revs'!G79</f>
        <v>2010</v>
      </c>
      <c r="H80" s="169" t="str">
        <f>'8. Funding_Adder_Revs'!H79</f>
        <v>Q3</v>
      </c>
      <c r="J80" s="170">
        <f t="shared" si="2"/>
        <v>39630.79</v>
      </c>
      <c r="K80" s="346">
        <v>287.56</v>
      </c>
      <c r="L80" s="346"/>
      <c r="M80" s="170">
        <f t="shared" si="0"/>
        <v>39918.35</v>
      </c>
      <c r="N80" s="53">
        <f>'8. Funding_Adder_Revs'!L79</f>
        <v>8.8999999999999999E-3</v>
      </c>
      <c r="O80" s="170">
        <f t="shared" si="1"/>
        <v>29.392835916666666</v>
      </c>
      <c r="P80" s="170">
        <f t="shared" si="3"/>
        <v>207.83687191666664</v>
      </c>
    </row>
    <row r="81" spans="5:16" ht="13.5" thickBot="1" x14ac:dyDescent="0.25">
      <c r="E81" s="149"/>
      <c r="F81" s="151">
        <f>'8. Funding_Adder_Revs'!F80</f>
        <v>40422</v>
      </c>
      <c r="G81" s="168">
        <f>'8. Funding_Adder_Revs'!G80</f>
        <v>2010</v>
      </c>
      <c r="H81" s="169" t="str">
        <f>'8. Funding_Adder_Revs'!H80</f>
        <v>Q3</v>
      </c>
      <c r="J81" s="170">
        <f t="shared" si="2"/>
        <v>39918.35</v>
      </c>
      <c r="K81" s="346">
        <v>287.56</v>
      </c>
      <c r="L81" s="346"/>
      <c r="M81" s="170">
        <f t="shared" si="0"/>
        <v>40205.909999999996</v>
      </c>
      <c r="N81" s="53">
        <f>'8. Funding_Adder_Revs'!L80</f>
        <v>8.8999999999999999E-3</v>
      </c>
      <c r="O81" s="170">
        <f t="shared" si="1"/>
        <v>29.606109583333332</v>
      </c>
      <c r="P81" s="170">
        <f t="shared" si="3"/>
        <v>237.44298149999997</v>
      </c>
    </row>
    <row r="82" spans="5:16" ht="13.5" thickBot="1" x14ac:dyDescent="0.25">
      <c r="E82" s="149"/>
      <c r="F82" s="151">
        <f>'8. Funding_Adder_Revs'!F81</f>
        <v>40452</v>
      </c>
      <c r="G82" s="168">
        <f>'8. Funding_Adder_Revs'!G81</f>
        <v>2010</v>
      </c>
      <c r="H82" s="169" t="str">
        <f>'8. Funding_Adder_Revs'!H81</f>
        <v>Q4</v>
      </c>
      <c r="J82" s="170">
        <f t="shared" si="2"/>
        <v>40205.909999999996</v>
      </c>
      <c r="K82" s="346">
        <v>266.48</v>
      </c>
      <c r="L82" s="346"/>
      <c r="M82" s="170">
        <f t="shared" si="0"/>
        <v>40472.39</v>
      </c>
      <c r="N82" s="53">
        <f>'8. Funding_Adder_Revs'!L81</f>
        <v>1.2E-2</v>
      </c>
      <c r="O82" s="170">
        <f t="shared" si="1"/>
        <v>40.205909999999996</v>
      </c>
      <c r="P82" s="170">
        <f t="shared" si="3"/>
        <v>277.64889149999999</v>
      </c>
    </row>
    <row r="83" spans="5:16" ht="13.5" thickBot="1" x14ac:dyDescent="0.25">
      <c r="E83" s="149"/>
      <c r="F83" s="151">
        <f>'8. Funding_Adder_Revs'!F82</f>
        <v>40483</v>
      </c>
      <c r="G83" s="168">
        <f>'8. Funding_Adder_Revs'!G82</f>
        <v>2010</v>
      </c>
      <c r="H83" s="169" t="str">
        <f>'8. Funding_Adder_Revs'!H82</f>
        <v>Q4</v>
      </c>
      <c r="J83" s="170">
        <f t="shared" si="2"/>
        <v>40472.39</v>
      </c>
      <c r="K83" s="346">
        <v>202.25</v>
      </c>
      <c r="L83" s="346"/>
      <c r="M83" s="170">
        <f t="shared" si="0"/>
        <v>40674.639999999999</v>
      </c>
      <c r="N83" s="53">
        <f>'8. Funding_Adder_Revs'!L82</f>
        <v>1.2E-2</v>
      </c>
      <c r="O83" s="170">
        <f t="shared" si="1"/>
        <v>40.472389999999997</v>
      </c>
      <c r="P83" s="170">
        <f t="shared" si="3"/>
        <v>318.12128150000001</v>
      </c>
    </row>
    <row r="84" spans="5:16" ht="13.5" thickBot="1" x14ac:dyDescent="0.25">
      <c r="E84" s="149"/>
      <c r="F84" s="151">
        <f>'8. Funding_Adder_Revs'!F83</f>
        <v>40513</v>
      </c>
      <c r="G84" s="168">
        <f>'8. Funding_Adder_Revs'!G83</f>
        <v>2010</v>
      </c>
      <c r="H84" s="169" t="str">
        <f>'8. Funding_Adder_Revs'!H83</f>
        <v>Q4</v>
      </c>
      <c r="J84" s="170">
        <f t="shared" si="2"/>
        <v>40674.639999999999</v>
      </c>
      <c r="K84" s="346">
        <v>149.05000000000001</v>
      </c>
      <c r="L84" s="346">
        <v>36381</v>
      </c>
      <c r="M84" s="170">
        <f t="shared" si="0"/>
        <v>77204.69</v>
      </c>
      <c r="N84" s="53">
        <f>'8. Funding_Adder_Revs'!L83</f>
        <v>1.2E-2</v>
      </c>
      <c r="O84" s="170">
        <f t="shared" si="1"/>
        <v>40.674640000000004</v>
      </c>
      <c r="P84" s="170">
        <f t="shared" si="3"/>
        <v>358.79592150000002</v>
      </c>
    </row>
    <row r="85" spans="5:16" ht="13.5" thickBot="1" x14ac:dyDescent="0.25">
      <c r="E85" s="149"/>
      <c r="F85" s="151">
        <f>'8. Funding_Adder_Revs'!F84</f>
        <v>40544</v>
      </c>
      <c r="G85" s="168">
        <f>'8. Funding_Adder_Revs'!G84</f>
        <v>2011</v>
      </c>
      <c r="H85" s="169" t="str">
        <f>'8. Funding_Adder_Revs'!H84</f>
        <v>Q1</v>
      </c>
      <c r="J85" s="170">
        <f t="shared" si="2"/>
        <v>77204.69</v>
      </c>
      <c r="K85" s="346">
        <v>298.08999999999997</v>
      </c>
      <c r="L85" s="346"/>
      <c r="M85" s="170">
        <f t="shared" si="0"/>
        <v>77502.78</v>
      </c>
      <c r="N85" s="53">
        <f>'8. Funding_Adder_Revs'!L84</f>
        <v>1.47E-2</v>
      </c>
      <c r="O85" s="170">
        <f t="shared" si="1"/>
        <v>94.575745249999997</v>
      </c>
      <c r="P85" s="170">
        <f t="shared" si="3"/>
        <v>453.37166675000003</v>
      </c>
    </row>
    <row r="86" spans="5:16" ht="13.5" thickBot="1" x14ac:dyDescent="0.25">
      <c r="E86" s="149"/>
      <c r="F86" s="151">
        <f>'8. Funding_Adder_Revs'!F85</f>
        <v>40575</v>
      </c>
      <c r="G86" s="168">
        <f>'8. Funding_Adder_Revs'!G85</f>
        <v>2011</v>
      </c>
      <c r="H86" s="169" t="str">
        <f>'8. Funding_Adder_Revs'!H85</f>
        <v>Q1</v>
      </c>
      <c r="J86" s="170">
        <f t="shared" si="2"/>
        <v>77502.78</v>
      </c>
      <c r="K86" s="346">
        <v>1152.4100000000001</v>
      </c>
      <c r="L86" s="346"/>
      <c r="M86" s="170">
        <f t="shared" si="0"/>
        <v>78655.19</v>
      </c>
      <c r="N86" s="53">
        <f>'8. Funding_Adder_Revs'!L85</f>
        <v>1.47E-2</v>
      </c>
      <c r="O86" s="170">
        <f t="shared" si="1"/>
        <v>94.9409055</v>
      </c>
      <c r="P86" s="170">
        <f t="shared" si="3"/>
        <v>548.31257225000002</v>
      </c>
    </row>
    <row r="87" spans="5:16" ht="13.5" thickBot="1" x14ac:dyDescent="0.25">
      <c r="E87" s="149"/>
      <c r="F87" s="151">
        <f>'8. Funding_Adder_Revs'!F86</f>
        <v>40603</v>
      </c>
      <c r="G87" s="168">
        <f>'8. Funding_Adder_Revs'!G86</f>
        <v>2011</v>
      </c>
      <c r="H87" s="169" t="str">
        <f>'8. Funding_Adder_Revs'!H86</f>
        <v>Q1</v>
      </c>
      <c r="J87" s="170">
        <f t="shared" si="2"/>
        <v>78655.19</v>
      </c>
      <c r="K87" s="346">
        <v>85.31</v>
      </c>
      <c r="L87" s="346"/>
      <c r="M87" s="170">
        <f t="shared" si="0"/>
        <v>78740.5</v>
      </c>
      <c r="N87" s="53">
        <f>'8. Funding_Adder_Revs'!L86</f>
        <v>1.47E-2</v>
      </c>
      <c r="O87" s="170">
        <f t="shared" si="1"/>
        <v>96.352607750000004</v>
      </c>
      <c r="P87" s="170">
        <f t="shared" si="3"/>
        <v>644.66517999999996</v>
      </c>
    </row>
    <row r="88" spans="5:16" ht="13.5" thickBot="1" x14ac:dyDescent="0.25">
      <c r="E88" s="149"/>
      <c r="F88" s="151">
        <f>'8. Funding_Adder_Revs'!F87</f>
        <v>40634</v>
      </c>
      <c r="G88" s="168">
        <f>'8. Funding_Adder_Revs'!G87</f>
        <v>2011</v>
      </c>
      <c r="H88" s="169" t="str">
        <f>'8. Funding_Adder_Revs'!H87</f>
        <v>Q2</v>
      </c>
      <c r="J88" s="170">
        <f t="shared" si="2"/>
        <v>78740.5</v>
      </c>
      <c r="K88" s="346"/>
      <c r="L88" s="346"/>
      <c r="M88" s="170">
        <f t="shared" si="0"/>
        <v>78740.5</v>
      </c>
      <c r="N88" s="53">
        <f>'8. Funding_Adder_Revs'!L87</f>
        <v>1.47E-2</v>
      </c>
      <c r="O88" s="170">
        <f t="shared" si="1"/>
        <v>96.457112499999994</v>
      </c>
      <c r="P88" s="170">
        <f t="shared" si="3"/>
        <v>741.12229249999996</v>
      </c>
    </row>
    <row r="89" spans="5:16" ht="13.5" thickBot="1" x14ac:dyDescent="0.25">
      <c r="E89" s="149"/>
      <c r="F89" s="151">
        <f>'8. Funding_Adder_Revs'!F88</f>
        <v>40664</v>
      </c>
      <c r="G89" s="168">
        <f>'8. Funding_Adder_Revs'!G88</f>
        <v>2011</v>
      </c>
      <c r="H89" s="169" t="str">
        <f>'8. Funding_Adder_Revs'!H88</f>
        <v>Q2</v>
      </c>
      <c r="J89" s="170">
        <f t="shared" si="2"/>
        <v>78740.5</v>
      </c>
      <c r="K89" s="346"/>
      <c r="L89" s="346"/>
      <c r="M89" s="170">
        <f t="shared" si="0"/>
        <v>78740.5</v>
      </c>
      <c r="N89" s="53">
        <f>'8. Funding_Adder_Revs'!L88</f>
        <v>1.47E-2</v>
      </c>
      <c r="O89" s="170">
        <f t="shared" si="1"/>
        <v>96.457112499999994</v>
      </c>
      <c r="P89" s="170">
        <f t="shared" si="3"/>
        <v>837.57940499999995</v>
      </c>
    </row>
    <row r="90" spans="5:16" ht="13.5" thickBot="1" x14ac:dyDescent="0.25">
      <c r="E90" s="149"/>
      <c r="F90" s="151">
        <f>'8. Funding_Adder_Revs'!F89</f>
        <v>40695</v>
      </c>
      <c r="G90" s="168">
        <f>'8. Funding_Adder_Revs'!G89</f>
        <v>2011</v>
      </c>
      <c r="H90" s="169" t="str">
        <f>'8. Funding_Adder_Revs'!H89</f>
        <v>Q2</v>
      </c>
      <c r="J90" s="170">
        <f t="shared" si="2"/>
        <v>78740.5</v>
      </c>
      <c r="K90" s="346"/>
      <c r="L90" s="346"/>
      <c r="M90" s="170">
        <f t="shared" ref="M90:M108" si="4">J90+K90+L90</f>
        <v>78740.5</v>
      </c>
      <c r="N90" s="53">
        <f>'8. Funding_Adder_Revs'!L89</f>
        <v>1.47E-2</v>
      </c>
      <c r="O90" s="170">
        <f t="shared" ref="O90:O108" si="5">J90*N90/12</f>
        <v>96.457112499999994</v>
      </c>
      <c r="P90" s="170">
        <f t="shared" si="3"/>
        <v>934.03651749999995</v>
      </c>
    </row>
    <row r="91" spans="5:16" ht="13.5" thickBot="1" x14ac:dyDescent="0.25">
      <c r="E91" s="149"/>
      <c r="F91" s="151">
        <f>'8. Funding_Adder_Revs'!F90</f>
        <v>40725</v>
      </c>
      <c r="G91" s="168">
        <f>'8. Funding_Adder_Revs'!G90</f>
        <v>2011</v>
      </c>
      <c r="H91" s="169" t="str">
        <f>'8. Funding_Adder_Revs'!H90</f>
        <v>Q3</v>
      </c>
      <c r="J91" s="170">
        <f t="shared" ref="J91:J108" si="6">M90</f>
        <v>78740.5</v>
      </c>
      <c r="K91" s="346"/>
      <c r="L91" s="346"/>
      <c r="M91" s="170">
        <f t="shared" si="4"/>
        <v>78740.5</v>
      </c>
      <c r="N91" s="53">
        <f>'8. Funding_Adder_Revs'!L90</f>
        <v>1.47E-2</v>
      </c>
      <c r="O91" s="170">
        <f t="shared" si="5"/>
        <v>96.457112499999994</v>
      </c>
      <c r="P91" s="170">
        <f t="shared" ref="P91:P108" si="7">O91+P90</f>
        <v>1030.4936299999999</v>
      </c>
    </row>
    <row r="92" spans="5:16" ht="13.5" thickBot="1" x14ac:dyDescent="0.25">
      <c r="E92" s="149"/>
      <c r="F92" s="151">
        <f>'8. Funding_Adder_Revs'!F91</f>
        <v>40756</v>
      </c>
      <c r="G92" s="168">
        <f>'8. Funding_Adder_Revs'!G91</f>
        <v>2011</v>
      </c>
      <c r="H92" s="169" t="str">
        <f>'8. Funding_Adder_Revs'!H91</f>
        <v>Q3</v>
      </c>
      <c r="J92" s="170">
        <f t="shared" si="6"/>
        <v>78740.5</v>
      </c>
      <c r="K92" s="346"/>
      <c r="L92" s="346"/>
      <c r="M92" s="170">
        <f t="shared" si="4"/>
        <v>78740.5</v>
      </c>
      <c r="N92" s="53">
        <f>'8. Funding_Adder_Revs'!L91</f>
        <v>1.47E-2</v>
      </c>
      <c r="O92" s="170">
        <f t="shared" si="5"/>
        <v>96.457112499999994</v>
      </c>
      <c r="P92" s="170">
        <f t="shared" si="7"/>
        <v>1126.9507424999999</v>
      </c>
    </row>
    <row r="93" spans="5:16" ht="13.5" thickBot="1" x14ac:dyDescent="0.25">
      <c r="E93" s="149"/>
      <c r="F93" s="151">
        <f>'8. Funding_Adder_Revs'!F92</f>
        <v>40787</v>
      </c>
      <c r="G93" s="168">
        <f>'8. Funding_Adder_Revs'!G92</f>
        <v>2011</v>
      </c>
      <c r="H93" s="169" t="str">
        <f>'8. Funding_Adder_Revs'!H92</f>
        <v>Q3</v>
      </c>
      <c r="J93" s="170">
        <f t="shared" si="6"/>
        <v>78740.5</v>
      </c>
      <c r="K93" s="346"/>
      <c r="L93" s="346"/>
      <c r="M93" s="170">
        <f t="shared" si="4"/>
        <v>78740.5</v>
      </c>
      <c r="N93" s="53">
        <f>'8. Funding_Adder_Revs'!L92</f>
        <v>1.47E-2</v>
      </c>
      <c r="O93" s="170">
        <f t="shared" si="5"/>
        <v>96.457112499999994</v>
      </c>
      <c r="P93" s="170">
        <f t="shared" si="7"/>
        <v>1223.4078549999999</v>
      </c>
    </row>
    <row r="94" spans="5:16" ht="13.5" thickBot="1" x14ac:dyDescent="0.25">
      <c r="E94" s="149"/>
      <c r="F94" s="151">
        <f>'8. Funding_Adder_Revs'!F93</f>
        <v>40817</v>
      </c>
      <c r="G94" s="168">
        <f>'8. Funding_Adder_Revs'!G93</f>
        <v>2011</v>
      </c>
      <c r="H94" s="169" t="str">
        <f>'8. Funding_Adder_Revs'!H93</f>
        <v>Q4</v>
      </c>
      <c r="J94" s="170">
        <f t="shared" si="6"/>
        <v>78740.5</v>
      </c>
      <c r="K94" s="346"/>
      <c r="L94" s="346"/>
      <c r="M94" s="170">
        <f t="shared" si="4"/>
        <v>78740.5</v>
      </c>
      <c r="N94" s="53">
        <f>'8. Funding_Adder_Revs'!L93</f>
        <v>1.47E-2</v>
      </c>
      <c r="O94" s="170">
        <f t="shared" si="5"/>
        <v>96.457112499999994</v>
      </c>
      <c r="P94" s="170">
        <f t="shared" si="7"/>
        <v>1319.8649674999999</v>
      </c>
    </row>
    <row r="95" spans="5:16" ht="13.5" thickBot="1" x14ac:dyDescent="0.25">
      <c r="E95" s="149"/>
      <c r="F95" s="151">
        <f>'8. Funding_Adder_Revs'!F94</f>
        <v>40848</v>
      </c>
      <c r="G95" s="168">
        <f>'8. Funding_Adder_Revs'!G94</f>
        <v>2011</v>
      </c>
      <c r="H95" s="169" t="str">
        <f>'8. Funding_Adder_Revs'!H94</f>
        <v>Q4</v>
      </c>
      <c r="J95" s="170">
        <f t="shared" si="6"/>
        <v>78740.5</v>
      </c>
      <c r="K95" s="346"/>
      <c r="L95" s="346"/>
      <c r="M95" s="170">
        <f t="shared" si="4"/>
        <v>78740.5</v>
      </c>
      <c r="N95" s="53">
        <f>'8. Funding_Adder_Revs'!L94</f>
        <v>1.47E-2</v>
      </c>
      <c r="O95" s="170">
        <f t="shared" si="5"/>
        <v>96.457112499999994</v>
      </c>
      <c r="P95" s="170">
        <f t="shared" si="7"/>
        <v>1416.3220799999999</v>
      </c>
    </row>
    <row r="96" spans="5:16" ht="13.5" thickBot="1" x14ac:dyDescent="0.25">
      <c r="E96" s="149"/>
      <c r="F96" s="151">
        <f>'8. Funding_Adder_Revs'!F95</f>
        <v>40878</v>
      </c>
      <c r="G96" s="168">
        <f>'8. Funding_Adder_Revs'!G95</f>
        <v>2011</v>
      </c>
      <c r="H96" s="169" t="str">
        <f>'8. Funding_Adder_Revs'!H95</f>
        <v>Q4</v>
      </c>
      <c r="J96" s="170">
        <f t="shared" si="6"/>
        <v>78740.5</v>
      </c>
      <c r="K96" s="346">
        <v>2590.1999999999998</v>
      </c>
      <c r="L96" s="346">
        <v>37636</v>
      </c>
      <c r="M96" s="170">
        <f t="shared" si="4"/>
        <v>118966.7</v>
      </c>
      <c r="N96" s="53">
        <f>'8. Funding_Adder_Revs'!L95</f>
        <v>1.47E-2</v>
      </c>
      <c r="O96" s="170">
        <f t="shared" si="5"/>
        <v>96.457112499999994</v>
      </c>
      <c r="P96" s="170">
        <f t="shared" si="7"/>
        <v>1512.7791924999999</v>
      </c>
    </row>
    <row r="97" spans="5:16" ht="13.5" thickBot="1" x14ac:dyDescent="0.25">
      <c r="E97" s="149"/>
      <c r="F97" s="151">
        <f>'8. Funding_Adder_Revs'!F96</f>
        <v>40909</v>
      </c>
      <c r="G97" s="168">
        <f>'8. Funding_Adder_Revs'!G96</f>
        <v>2012</v>
      </c>
      <c r="H97" s="169" t="str">
        <f>'8. Funding_Adder_Revs'!H96</f>
        <v>Q1</v>
      </c>
      <c r="J97" s="170">
        <f t="shared" si="6"/>
        <v>118966.7</v>
      </c>
      <c r="K97" s="346"/>
      <c r="L97" s="346"/>
      <c r="M97" s="170">
        <f t="shared" si="4"/>
        <v>118966.7</v>
      </c>
      <c r="N97" s="53">
        <f>'8. Funding_Adder_Revs'!L96</f>
        <v>1.47E-2</v>
      </c>
      <c r="O97" s="170">
        <f t="shared" si="5"/>
        <v>145.7342075</v>
      </c>
      <c r="P97" s="170">
        <f t="shared" si="7"/>
        <v>1658.5133999999998</v>
      </c>
    </row>
    <row r="98" spans="5:16" ht="13.5" thickBot="1" x14ac:dyDescent="0.25">
      <c r="E98" s="149"/>
      <c r="F98" s="151">
        <f>'8. Funding_Adder_Revs'!F97</f>
        <v>40940</v>
      </c>
      <c r="G98" s="168">
        <f>'8. Funding_Adder_Revs'!G97</f>
        <v>2012</v>
      </c>
      <c r="H98" s="169" t="str">
        <f>'8. Funding_Adder_Revs'!H97</f>
        <v>Q1</v>
      </c>
      <c r="J98" s="170">
        <f t="shared" si="6"/>
        <v>118966.7</v>
      </c>
      <c r="K98" s="346"/>
      <c r="L98" s="346"/>
      <c r="M98" s="170">
        <f t="shared" si="4"/>
        <v>118966.7</v>
      </c>
      <c r="N98" s="53">
        <f>'8. Funding_Adder_Revs'!L97</f>
        <v>1.47E-2</v>
      </c>
      <c r="O98" s="170">
        <f t="shared" si="5"/>
        <v>145.7342075</v>
      </c>
      <c r="P98" s="170">
        <f t="shared" si="7"/>
        <v>1804.2476074999997</v>
      </c>
    </row>
    <row r="99" spans="5:16" ht="13.5" thickBot="1" x14ac:dyDescent="0.25">
      <c r="E99" s="149"/>
      <c r="F99" s="151">
        <f>'8. Funding_Adder_Revs'!F98</f>
        <v>40969</v>
      </c>
      <c r="G99" s="168">
        <f>'8. Funding_Adder_Revs'!G98</f>
        <v>2012</v>
      </c>
      <c r="H99" s="169" t="str">
        <f>'8. Funding_Adder_Revs'!H98</f>
        <v>Q1</v>
      </c>
      <c r="J99" s="170">
        <f t="shared" si="6"/>
        <v>118966.7</v>
      </c>
      <c r="K99" s="346"/>
      <c r="L99" s="346"/>
      <c r="M99" s="170">
        <f t="shared" si="4"/>
        <v>118966.7</v>
      </c>
      <c r="N99" s="53">
        <f>'8. Funding_Adder_Revs'!L98</f>
        <v>1.47E-2</v>
      </c>
      <c r="O99" s="170">
        <f t="shared" si="5"/>
        <v>145.7342075</v>
      </c>
      <c r="P99" s="170">
        <f t="shared" si="7"/>
        <v>1949.9818149999996</v>
      </c>
    </row>
    <row r="100" spans="5:16" ht="13.5" thickBot="1" x14ac:dyDescent="0.25">
      <c r="E100" s="149"/>
      <c r="F100" s="151">
        <f>'8. Funding_Adder_Revs'!F99</f>
        <v>41000</v>
      </c>
      <c r="G100" s="168">
        <f>'8. Funding_Adder_Revs'!G99</f>
        <v>2012</v>
      </c>
      <c r="H100" s="169" t="str">
        <f>'8. Funding_Adder_Revs'!H99</f>
        <v>Q2</v>
      </c>
      <c r="J100" s="170">
        <f t="shared" si="6"/>
        <v>118966.7</v>
      </c>
      <c r="K100" s="346"/>
      <c r="L100" s="346"/>
      <c r="M100" s="170">
        <f t="shared" si="4"/>
        <v>118966.7</v>
      </c>
      <c r="N100" s="53">
        <f>'8. Funding_Adder_Revs'!L99</f>
        <v>1.47E-2</v>
      </c>
      <c r="O100" s="170">
        <f t="shared" si="5"/>
        <v>145.7342075</v>
      </c>
      <c r="P100" s="170">
        <f t="shared" si="7"/>
        <v>2095.7160224999998</v>
      </c>
    </row>
    <row r="101" spans="5:16" ht="13.5" thickBot="1" x14ac:dyDescent="0.25">
      <c r="E101" s="149"/>
      <c r="F101" s="151">
        <f>'8. Funding_Adder_Revs'!F100</f>
        <v>41030</v>
      </c>
      <c r="G101" s="168">
        <f>'8. Funding_Adder_Revs'!G100</f>
        <v>2012</v>
      </c>
      <c r="H101" s="169" t="str">
        <f>'8. Funding_Adder_Revs'!H100</f>
        <v>Q2</v>
      </c>
      <c r="J101" s="170">
        <f t="shared" si="6"/>
        <v>118966.7</v>
      </c>
      <c r="K101" s="346"/>
      <c r="L101" s="346"/>
      <c r="M101" s="170">
        <f t="shared" si="4"/>
        <v>118966.7</v>
      </c>
      <c r="N101" s="53">
        <f>'8. Funding_Adder_Revs'!L100</f>
        <v>1.47E-2</v>
      </c>
      <c r="O101" s="170">
        <f t="shared" si="5"/>
        <v>145.7342075</v>
      </c>
      <c r="P101" s="170">
        <f t="shared" si="7"/>
        <v>2241.4502299999999</v>
      </c>
    </row>
    <row r="102" spans="5:16" ht="13.5" thickBot="1" x14ac:dyDescent="0.25">
      <c r="E102" s="149"/>
      <c r="F102" s="151">
        <f>'8. Funding_Adder_Revs'!F101</f>
        <v>41061</v>
      </c>
      <c r="G102" s="168">
        <f>'8. Funding_Adder_Revs'!G101</f>
        <v>2012</v>
      </c>
      <c r="H102" s="169" t="str">
        <f>'8. Funding_Adder_Revs'!H101</f>
        <v>Q2</v>
      </c>
      <c r="J102" s="170">
        <f t="shared" si="6"/>
        <v>118966.7</v>
      </c>
      <c r="K102" s="346"/>
      <c r="L102" s="346"/>
      <c r="M102" s="170">
        <f t="shared" si="4"/>
        <v>118966.7</v>
      </c>
      <c r="N102" s="53">
        <f>'8. Funding_Adder_Revs'!L101</f>
        <v>1.47E-2</v>
      </c>
      <c r="O102" s="170">
        <f t="shared" si="5"/>
        <v>145.7342075</v>
      </c>
      <c r="P102" s="170">
        <f t="shared" si="7"/>
        <v>2387.1844375000001</v>
      </c>
    </row>
    <row r="103" spans="5:16" ht="13.5" thickBot="1" x14ac:dyDescent="0.25">
      <c r="E103" s="149"/>
      <c r="F103" s="151">
        <f>'8. Funding_Adder_Revs'!F102</f>
        <v>41091</v>
      </c>
      <c r="G103" s="168">
        <f>'8. Funding_Adder_Revs'!G102</f>
        <v>2012</v>
      </c>
      <c r="H103" s="169" t="str">
        <f>'8. Funding_Adder_Revs'!H102</f>
        <v>Q3</v>
      </c>
      <c r="J103" s="170">
        <f t="shared" si="6"/>
        <v>118966.7</v>
      </c>
      <c r="K103" s="346"/>
      <c r="L103" s="346"/>
      <c r="M103" s="170">
        <f t="shared" si="4"/>
        <v>118966.7</v>
      </c>
      <c r="N103" s="53">
        <f>'8. Funding_Adder_Revs'!L102</f>
        <v>1.47E-2</v>
      </c>
      <c r="O103" s="170">
        <f t="shared" si="5"/>
        <v>145.7342075</v>
      </c>
      <c r="P103" s="170">
        <f t="shared" si="7"/>
        <v>2532.9186450000002</v>
      </c>
    </row>
    <row r="104" spans="5:16" ht="13.5" thickBot="1" x14ac:dyDescent="0.25">
      <c r="E104" s="149"/>
      <c r="F104" s="151">
        <f>'8. Funding_Adder_Revs'!F103</f>
        <v>41122</v>
      </c>
      <c r="G104" s="168">
        <f>'8. Funding_Adder_Revs'!G103</f>
        <v>2012</v>
      </c>
      <c r="H104" s="169" t="str">
        <f>'8. Funding_Adder_Revs'!H103</f>
        <v>Q3</v>
      </c>
      <c r="J104" s="170">
        <f t="shared" si="6"/>
        <v>118966.7</v>
      </c>
      <c r="K104" s="346"/>
      <c r="L104" s="346"/>
      <c r="M104" s="170">
        <f t="shared" si="4"/>
        <v>118966.7</v>
      </c>
      <c r="N104" s="53">
        <f>'8. Funding_Adder_Revs'!L103</f>
        <v>1.47E-2</v>
      </c>
      <c r="O104" s="170">
        <f t="shared" si="5"/>
        <v>145.7342075</v>
      </c>
      <c r="P104" s="170">
        <f t="shared" si="7"/>
        <v>2678.6528525000003</v>
      </c>
    </row>
    <row r="105" spans="5:16" ht="13.5" thickBot="1" x14ac:dyDescent="0.25">
      <c r="E105" s="149"/>
      <c r="F105" s="151">
        <f>'8. Funding_Adder_Revs'!F104</f>
        <v>41153</v>
      </c>
      <c r="G105" s="168">
        <f>'8. Funding_Adder_Revs'!G104</f>
        <v>2012</v>
      </c>
      <c r="H105" s="169" t="str">
        <f>'8. Funding_Adder_Revs'!H104</f>
        <v>Q3</v>
      </c>
      <c r="J105" s="170">
        <f t="shared" si="6"/>
        <v>118966.7</v>
      </c>
      <c r="K105" s="346"/>
      <c r="L105" s="346"/>
      <c r="M105" s="170">
        <f t="shared" si="4"/>
        <v>118966.7</v>
      </c>
      <c r="N105" s="53">
        <f>'8. Funding_Adder_Revs'!L104</f>
        <v>1.47E-2</v>
      </c>
      <c r="O105" s="170">
        <f t="shared" si="5"/>
        <v>145.7342075</v>
      </c>
      <c r="P105" s="170">
        <f t="shared" si="7"/>
        <v>2824.3870600000005</v>
      </c>
    </row>
    <row r="106" spans="5:16" ht="13.5" thickBot="1" x14ac:dyDescent="0.25">
      <c r="E106" s="149"/>
      <c r="F106" s="151">
        <f>'8. Funding_Adder_Revs'!F105</f>
        <v>41183</v>
      </c>
      <c r="G106" s="168">
        <f>'8. Funding_Adder_Revs'!G105</f>
        <v>2012</v>
      </c>
      <c r="H106" s="169" t="str">
        <f>'8. Funding_Adder_Revs'!H105</f>
        <v>Q4</v>
      </c>
      <c r="J106" s="170">
        <f t="shared" si="6"/>
        <v>118966.7</v>
      </c>
      <c r="K106" s="346"/>
      <c r="L106" s="346"/>
      <c r="M106" s="170">
        <f t="shared" si="4"/>
        <v>118966.7</v>
      </c>
      <c r="N106" s="53">
        <f>'8. Funding_Adder_Revs'!L105</f>
        <v>1.47E-2</v>
      </c>
      <c r="O106" s="170">
        <f t="shared" si="5"/>
        <v>145.7342075</v>
      </c>
      <c r="P106" s="170">
        <f t="shared" si="7"/>
        <v>2970.1212675000006</v>
      </c>
    </row>
    <row r="107" spans="5:16" ht="13.5" thickBot="1" x14ac:dyDescent="0.25">
      <c r="E107" s="149"/>
      <c r="F107" s="151">
        <f>'8. Funding_Adder_Revs'!F106</f>
        <v>41214</v>
      </c>
      <c r="G107" s="168">
        <f>'8. Funding_Adder_Revs'!G106</f>
        <v>2012</v>
      </c>
      <c r="H107" s="169" t="str">
        <f>'8. Funding_Adder_Revs'!H106</f>
        <v>Q4</v>
      </c>
      <c r="J107" s="170">
        <f t="shared" si="6"/>
        <v>118966.7</v>
      </c>
      <c r="K107" s="346"/>
      <c r="L107" s="346"/>
      <c r="M107" s="170">
        <f t="shared" si="4"/>
        <v>118966.7</v>
      </c>
      <c r="N107" s="53">
        <f>'8. Funding_Adder_Revs'!L106</f>
        <v>1.47E-2</v>
      </c>
      <c r="O107" s="170">
        <f t="shared" si="5"/>
        <v>145.7342075</v>
      </c>
      <c r="P107" s="170">
        <f t="shared" si="7"/>
        <v>3115.8554750000008</v>
      </c>
    </row>
    <row r="108" spans="5:16" ht="13.5" thickBot="1" x14ac:dyDescent="0.25">
      <c r="E108" s="149"/>
      <c r="F108" s="151">
        <f>'8. Funding_Adder_Revs'!F107</f>
        <v>41244</v>
      </c>
      <c r="G108" s="168">
        <f>'8. Funding_Adder_Revs'!G107</f>
        <v>2012</v>
      </c>
      <c r="H108" s="169" t="str">
        <f>'8. Funding_Adder_Revs'!H107</f>
        <v>Q4</v>
      </c>
      <c r="J108" s="170">
        <f t="shared" si="6"/>
        <v>118966.7</v>
      </c>
      <c r="K108" s="346"/>
      <c r="L108" s="346">
        <v>37631</v>
      </c>
      <c r="M108" s="170">
        <f t="shared" si="4"/>
        <v>156597.70000000001</v>
      </c>
      <c r="N108" s="53">
        <f>'8. Funding_Adder_Revs'!L107</f>
        <v>1.47E-2</v>
      </c>
      <c r="O108" s="170">
        <f t="shared" si="5"/>
        <v>145.7342075</v>
      </c>
      <c r="P108" s="170">
        <f t="shared" si="7"/>
        <v>3261.5896825000009</v>
      </c>
    </row>
    <row r="109" spans="5:16" ht="13.5" thickBot="1" x14ac:dyDescent="0.25">
      <c r="E109" s="149"/>
      <c r="F109" s="151">
        <f>'8. Funding_Adder_Revs'!F108</f>
        <v>41275</v>
      </c>
      <c r="G109" s="168">
        <f>'8. Funding_Adder_Revs'!G108</f>
        <v>2013</v>
      </c>
      <c r="H109" s="169" t="str">
        <f>'8. Funding_Adder_Revs'!H108</f>
        <v>Q1</v>
      </c>
      <c r="J109" s="170">
        <f t="shared" ref="J109:J120" si="8">M108</f>
        <v>156597.70000000001</v>
      </c>
      <c r="K109" s="346"/>
      <c r="L109" s="346"/>
      <c r="M109" s="170">
        <f t="shared" ref="M109:M120" si="9">J109+K109+L109</f>
        <v>156597.70000000001</v>
      </c>
      <c r="N109" s="53">
        <f>'8. Funding_Adder_Revs'!L108</f>
        <v>1.47E-2</v>
      </c>
      <c r="O109" s="170">
        <f t="shared" ref="O109:O120" si="10">J109*N109/12</f>
        <v>191.83218250000002</v>
      </c>
      <c r="P109" s="170">
        <f t="shared" ref="P109:P120" si="11">O109+P108</f>
        <v>3453.4218650000007</v>
      </c>
    </row>
    <row r="110" spans="5:16" ht="13.5" thickBot="1" x14ac:dyDescent="0.25">
      <c r="E110" s="149"/>
      <c r="F110" s="151">
        <f>'8. Funding_Adder_Revs'!F109</f>
        <v>41306</v>
      </c>
      <c r="G110" s="168">
        <f>'8. Funding_Adder_Revs'!G109</f>
        <v>2013</v>
      </c>
      <c r="H110" s="169" t="str">
        <f>'8. Funding_Adder_Revs'!H109</f>
        <v>Q1</v>
      </c>
      <c r="J110" s="170">
        <f t="shared" si="8"/>
        <v>156597.70000000001</v>
      </c>
      <c r="K110" s="346"/>
      <c r="L110" s="346"/>
      <c r="M110" s="170">
        <f t="shared" si="9"/>
        <v>156597.70000000001</v>
      </c>
      <c r="N110" s="53">
        <f>'8. Funding_Adder_Revs'!L109</f>
        <v>1.47E-2</v>
      </c>
      <c r="O110" s="170">
        <f t="shared" si="10"/>
        <v>191.83218250000002</v>
      </c>
      <c r="P110" s="170">
        <f t="shared" si="11"/>
        <v>3645.2540475000005</v>
      </c>
    </row>
    <row r="111" spans="5:16" ht="13.5" thickBot="1" x14ac:dyDescent="0.25">
      <c r="E111" s="149"/>
      <c r="F111" s="151">
        <f>'8. Funding_Adder_Revs'!F110</f>
        <v>41334</v>
      </c>
      <c r="G111" s="168">
        <f>'8. Funding_Adder_Revs'!G110</f>
        <v>2013</v>
      </c>
      <c r="H111" s="169" t="str">
        <f>'8. Funding_Adder_Revs'!H110</f>
        <v>Q1</v>
      </c>
      <c r="J111" s="170">
        <f t="shared" si="8"/>
        <v>156597.70000000001</v>
      </c>
      <c r="K111" s="346"/>
      <c r="L111" s="346"/>
      <c r="M111" s="170">
        <f t="shared" si="9"/>
        <v>156597.70000000001</v>
      </c>
      <c r="N111" s="53">
        <f>'8. Funding_Adder_Revs'!L110</f>
        <v>1.47E-2</v>
      </c>
      <c r="O111" s="170">
        <f t="shared" si="10"/>
        <v>191.83218250000002</v>
      </c>
      <c r="P111" s="170">
        <f t="shared" si="11"/>
        <v>3837.0862300000003</v>
      </c>
    </row>
    <row r="112" spans="5:16" ht="13.5" thickBot="1" x14ac:dyDescent="0.25">
      <c r="E112" s="149"/>
      <c r="F112" s="151">
        <f>'8. Funding_Adder_Revs'!F111</f>
        <v>41365</v>
      </c>
      <c r="G112" s="168">
        <f>'8. Funding_Adder_Revs'!G111</f>
        <v>2013</v>
      </c>
      <c r="H112" s="169" t="str">
        <f>'8. Funding_Adder_Revs'!H111</f>
        <v>Q2</v>
      </c>
      <c r="J112" s="170">
        <f t="shared" si="8"/>
        <v>156597.70000000001</v>
      </c>
      <c r="K112" s="346"/>
      <c r="L112" s="346"/>
      <c r="M112" s="170">
        <f t="shared" si="9"/>
        <v>156597.70000000001</v>
      </c>
      <c r="N112" s="53">
        <f>'8. Funding_Adder_Revs'!L111</f>
        <v>1.47E-2</v>
      </c>
      <c r="O112" s="170">
        <f t="shared" si="10"/>
        <v>191.83218250000002</v>
      </c>
      <c r="P112" s="170">
        <f t="shared" si="11"/>
        <v>4028.9184125000002</v>
      </c>
    </row>
    <row r="113" spans="5:16" ht="13.5" thickBot="1" x14ac:dyDescent="0.25">
      <c r="E113" s="149"/>
      <c r="F113" s="151">
        <f>'8. Funding_Adder_Revs'!F112</f>
        <v>41395</v>
      </c>
      <c r="G113" s="168">
        <f>'8. Funding_Adder_Revs'!G112</f>
        <v>2013</v>
      </c>
      <c r="H113" s="169" t="str">
        <f>'8. Funding_Adder_Revs'!H112</f>
        <v>Q2</v>
      </c>
      <c r="J113" s="170">
        <f t="shared" si="8"/>
        <v>156597.70000000001</v>
      </c>
      <c r="K113" s="346"/>
      <c r="L113" s="346"/>
      <c r="M113" s="170">
        <f t="shared" si="9"/>
        <v>156597.70000000001</v>
      </c>
      <c r="N113" s="53">
        <f>'8. Funding_Adder_Revs'!L112</f>
        <v>0</v>
      </c>
      <c r="O113" s="170">
        <f t="shared" si="10"/>
        <v>0</v>
      </c>
      <c r="P113" s="170">
        <f t="shared" si="11"/>
        <v>4028.9184125000002</v>
      </c>
    </row>
    <row r="114" spans="5:16" ht="13.5" thickBot="1" x14ac:dyDescent="0.25">
      <c r="E114" s="149"/>
      <c r="F114" s="151">
        <f>'8. Funding_Adder_Revs'!F113</f>
        <v>41426</v>
      </c>
      <c r="G114" s="168">
        <f>'8. Funding_Adder_Revs'!G113</f>
        <v>2013</v>
      </c>
      <c r="H114" s="169" t="str">
        <f>'8. Funding_Adder_Revs'!H113</f>
        <v>Q2</v>
      </c>
      <c r="J114" s="170">
        <f t="shared" si="8"/>
        <v>156597.70000000001</v>
      </c>
      <c r="K114" s="346"/>
      <c r="L114" s="346"/>
      <c r="M114" s="170">
        <f t="shared" si="9"/>
        <v>156597.70000000001</v>
      </c>
      <c r="N114" s="53">
        <f>'8. Funding_Adder_Revs'!L113</f>
        <v>0</v>
      </c>
      <c r="O114" s="170">
        <f t="shared" si="10"/>
        <v>0</v>
      </c>
      <c r="P114" s="170">
        <f t="shared" si="11"/>
        <v>4028.9184125000002</v>
      </c>
    </row>
    <row r="115" spans="5:16" ht="13.5" thickBot="1" x14ac:dyDescent="0.25">
      <c r="E115" s="149"/>
      <c r="F115" s="151">
        <f>'8. Funding_Adder_Revs'!F114</f>
        <v>41456</v>
      </c>
      <c r="G115" s="168">
        <f>'8. Funding_Adder_Revs'!G114</f>
        <v>2013</v>
      </c>
      <c r="H115" s="169" t="str">
        <f>'8. Funding_Adder_Revs'!H114</f>
        <v>Q3</v>
      </c>
      <c r="J115" s="170">
        <f t="shared" si="8"/>
        <v>156597.70000000001</v>
      </c>
      <c r="K115" s="346"/>
      <c r="L115" s="346"/>
      <c r="M115" s="170">
        <f t="shared" si="9"/>
        <v>156597.70000000001</v>
      </c>
      <c r="N115" s="53">
        <f>'8. Funding_Adder_Revs'!L114</f>
        <v>0</v>
      </c>
      <c r="O115" s="170">
        <f t="shared" si="10"/>
        <v>0</v>
      </c>
      <c r="P115" s="170">
        <f t="shared" si="11"/>
        <v>4028.9184125000002</v>
      </c>
    </row>
    <row r="116" spans="5:16" ht="13.5" thickBot="1" x14ac:dyDescent="0.25">
      <c r="E116" s="149"/>
      <c r="F116" s="151">
        <f>'8. Funding_Adder_Revs'!F115</f>
        <v>41487</v>
      </c>
      <c r="G116" s="168">
        <f>'8. Funding_Adder_Revs'!G115</f>
        <v>2013</v>
      </c>
      <c r="H116" s="169" t="str">
        <f>'8. Funding_Adder_Revs'!H115</f>
        <v>Q3</v>
      </c>
      <c r="J116" s="170">
        <f t="shared" si="8"/>
        <v>156597.70000000001</v>
      </c>
      <c r="K116" s="346"/>
      <c r="L116" s="346"/>
      <c r="M116" s="170">
        <f t="shared" si="9"/>
        <v>156597.70000000001</v>
      </c>
      <c r="N116" s="53">
        <f>'8. Funding_Adder_Revs'!L115</f>
        <v>0</v>
      </c>
      <c r="O116" s="170">
        <f t="shared" si="10"/>
        <v>0</v>
      </c>
      <c r="P116" s="170">
        <f t="shared" si="11"/>
        <v>4028.9184125000002</v>
      </c>
    </row>
    <row r="117" spans="5:16" ht="13.5" thickBot="1" x14ac:dyDescent="0.25">
      <c r="E117" s="149"/>
      <c r="F117" s="151">
        <f>'8. Funding_Adder_Revs'!F116</f>
        <v>41518</v>
      </c>
      <c r="G117" s="168">
        <f>'8. Funding_Adder_Revs'!G116</f>
        <v>2013</v>
      </c>
      <c r="H117" s="169" t="str">
        <f>'8. Funding_Adder_Revs'!H116</f>
        <v>Q3</v>
      </c>
      <c r="J117" s="170">
        <f t="shared" si="8"/>
        <v>156597.70000000001</v>
      </c>
      <c r="K117" s="346"/>
      <c r="L117" s="346"/>
      <c r="M117" s="170">
        <f t="shared" si="9"/>
        <v>156597.70000000001</v>
      </c>
      <c r="N117" s="53">
        <f>'8. Funding_Adder_Revs'!L116</f>
        <v>0</v>
      </c>
      <c r="O117" s="170">
        <f t="shared" si="10"/>
        <v>0</v>
      </c>
      <c r="P117" s="170">
        <f t="shared" si="11"/>
        <v>4028.9184125000002</v>
      </c>
    </row>
    <row r="118" spans="5:16" ht="13.5" thickBot="1" x14ac:dyDescent="0.25">
      <c r="E118" s="149"/>
      <c r="F118" s="151">
        <f>'8. Funding_Adder_Revs'!F117</f>
        <v>41548</v>
      </c>
      <c r="G118" s="168">
        <f>'8. Funding_Adder_Revs'!G117</f>
        <v>2013</v>
      </c>
      <c r="H118" s="169" t="str">
        <f>'8. Funding_Adder_Revs'!H117</f>
        <v>Q4</v>
      </c>
      <c r="J118" s="170">
        <f t="shared" si="8"/>
        <v>156597.70000000001</v>
      </c>
      <c r="K118" s="346"/>
      <c r="L118" s="346"/>
      <c r="M118" s="170">
        <f t="shared" si="9"/>
        <v>156597.70000000001</v>
      </c>
      <c r="N118" s="53">
        <f>'8. Funding_Adder_Revs'!L117</f>
        <v>0</v>
      </c>
      <c r="O118" s="170">
        <f t="shared" si="10"/>
        <v>0</v>
      </c>
      <c r="P118" s="170">
        <f t="shared" si="11"/>
        <v>4028.9184125000002</v>
      </c>
    </row>
    <row r="119" spans="5:16" ht="13.5" thickBot="1" x14ac:dyDescent="0.25">
      <c r="E119" s="149"/>
      <c r="F119" s="151">
        <f>'8. Funding_Adder_Revs'!F118</f>
        <v>41579</v>
      </c>
      <c r="G119" s="168">
        <f>'8. Funding_Adder_Revs'!G118</f>
        <v>2013</v>
      </c>
      <c r="H119" s="169" t="str">
        <f>'8. Funding_Adder_Revs'!H118</f>
        <v>Q4</v>
      </c>
      <c r="J119" s="170">
        <f t="shared" si="8"/>
        <v>156597.70000000001</v>
      </c>
      <c r="K119" s="346"/>
      <c r="L119" s="346"/>
      <c r="M119" s="170">
        <f t="shared" si="9"/>
        <v>156597.70000000001</v>
      </c>
      <c r="N119" s="53">
        <f>'8. Funding_Adder_Revs'!L118</f>
        <v>0</v>
      </c>
      <c r="O119" s="170">
        <f t="shared" si="10"/>
        <v>0</v>
      </c>
      <c r="P119" s="170">
        <f t="shared" si="11"/>
        <v>4028.9184125000002</v>
      </c>
    </row>
    <row r="120" spans="5:16" ht="13.5" thickBot="1" x14ac:dyDescent="0.25">
      <c r="E120" s="149"/>
      <c r="F120" s="151">
        <f>'8. Funding_Adder_Revs'!F119</f>
        <v>41609</v>
      </c>
      <c r="G120" s="168">
        <f>'8. Funding_Adder_Revs'!G119</f>
        <v>2013</v>
      </c>
      <c r="H120" s="169" t="str">
        <f>'8. Funding_Adder_Revs'!H119</f>
        <v>Q4</v>
      </c>
      <c r="J120" s="170">
        <f t="shared" si="8"/>
        <v>156597.70000000001</v>
      </c>
      <c r="K120" s="346"/>
      <c r="L120" s="346"/>
      <c r="M120" s="170">
        <f t="shared" si="9"/>
        <v>156597.70000000001</v>
      </c>
      <c r="N120" s="53">
        <f>'8. Funding_Adder_Revs'!L119</f>
        <v>0</v>
      </c>
      <c r="O120" s="170">
        <f t="shared" si="10"/>
        <v>0</v>
      </c>
      <c r="P120" s="170">
        <f t="shared" si="11"/>
        <v>4028.9184125000002</v>
      </c>
    </row>
    <row r="121" spans="5:16" x14ac:dyDescent="0.2">
      <c r="E121" s="171"/>
      <c r="F121" s="151"/>
      <c r="G121" s="43"/>
      <c r="H121" s="151"/>
    </row>
    <row r="122" spans="5:16" x14ac:dyDescent="0.2">
      <c r="E122" s="171"/>
      <c r="F122" s="151"/>
      <c r="G122" s="43"/>
      <c r="H122" s="151"/>
      <c r="K122" s="137">
        <f>SUM(K25:K108)</f>
        <v>34983.700000000004</v>
      </c>
      <c r="L122" s="137">
        <f>SUM(L25:L108)</f>
        <v>121614</v>
      </c>
      <c r="M122" s="137">
        <f>K122+L122</f>
        <v>156597.70000000001</v>
      </c>
    </row>
    <row r="123" spans="5:16" x14ac:dyDescent="0.2">
      <c r="E123" s="171"/>
      <c r="F123" s="151"/>
      <c r="G123" s="43"/>
      <c r="H123" s="151"/>
    </row>
    <row r="124" spans="5:16" x14ac:dyDescent="0.2">
      <c r="E124" s="171"/>
      <c r="F124" s="151"/>
      <c r="G124" s="43"/>
      <c r="H124" s="151"/>
    </row>
    <row r="125" spans="5:16" x14ac:dyDescent="0.2">
      <c r="E125" s="171"/>
      <c r="F125" s="151"/>
      <c r="G125" s="43"/>
      <c r="H125" s="151"/>
    </row>
    <row r="126" spans="5:16" x14ac:dyDescent="0.2">
      <c r="E126" s="171"/>
      <c r="F126" s="151"/>
      <c r="G126" s="43"/>
      <c r="H126" s="151"/>
    </row>
    <row r="127" spans="5:16" x14ac:dyDescent="0.2">
      <c r="E127" s="171"/>
      <c r="F127" s="151"/>
      <c r="G127" s="43"/>
      <c r="H127" s="151"/>
    </row>
    <row r="128" spans="5:16" x14ac:dyDescent="0.2">
      <c r="F128" s="151"/>
      <c r="G128" s="43"/>
      <c r="H128" s="151"/>
    </row>
    <row r="129" spans="6:8" x14ac:dyDescent="0.2">
      <c r="F129" s="151"/>
      <c r="G129" s="43"/>
      <c r="H129" s="151"/>
    </row>
    <row r="130" spans="6:8" x14ac:dyDescent="0.2">
      <c r="F130" s="151"/>
      <c r="G130" s="43"/>
      <c r="H130" s="151"/>
    </row>
    <row r="131" spans="6:8" x14ac:dyDescent="0.2">
      <c r="F131" s="151"/>
      <c r="G131" s="43"/>
      <c r="H131" s="151"/>
    </row>
    <row r="132" spans="6:8" x14ac:dyDescent="0.2">
      <c r="F132" s="151"/>
      <c r="G132" s="43"/>
      <c r="H132" s="151"/>
    </row>
    <row r="133" spans="6:8" x14ac:dyDescent="0.2">
      <c r="F133" s="151"/>
      <c r="G133" s="43"/>
      <c r="H133" s="151"/>
    </row>
    <row r="134" spans="6:8" x14ac:dyDescent="0.2">
      <c r="F134" s="151"/>
      <c r="G134" s="43"/>
      <c r="H134" s="151"/>
    </row>
    <row r="135" spans="6:8" x14ac:dyDescent="0.2">
      <c r="F135" s="151"/>
      <c r="G135" s="43"/>
      <c r="H135" s="151"/>
    </row>
    <row r="136" spans="6:8" x14ac:dyDescent="0.2">
      <c r="F136" s="151"/>
      <c r="G136" s="43"/>
      <c r="H136" s="151"/>
    </row>
    <row r="137" spans="6:8" x14ac:dyDescent="0.2">
      <c r="F137" s="151"/>
      <c r="G137" s="43"/>
      <c r="H137" s="151"/>
    </row>
    <row r="138" spans="6:8" x14ac:dyDescent="0.2">
      <c r="F138" s="151"/>
      <c r="G138" s="43"/>
      <c r="H138" s="151"/>
    </row>
    <row r="139" spans="6:8" x14ac:dyDescent="0.2">
      <c r="F139" s="151"/>
      <c r="G139" s="43"/>
      <c r="H139" s="151"/>
    </row>
    <row r="140" spans="6:8" x14ac:dyDescent="0.2">
      <c r="F140" s="151"/>
      <c r="G140" s="43"/>
      <c r="H140" s="151"/>
    </row>
    <row r="141" spans="6:8" x14ac:dyDescent="0.2">
      <c r="F141" s="151"/>
      <c r="G141" s="43"/>
      <c r="H141" s="151"/>
    </row>
    <row r="142" spans="6:8" x14ac:dyDescent="0.2">
      <c r="F142" s="151"/>
      <c r="G142" s="43"/>
      <c r="H142" s="151"/>
    </row>
    <row r="143" spans="6:8" x14ac:dyDescent="0.2">
      <c r="F143" s="151"/>
      <c r="G143" s="43"/>
      <c r="H143" s="151"/>
    </row>
    <row r="144" spans="6:8" x14ac:dyDescent="0.2">
      <c r="F144" s="151"/>
      <c r="G144" s="43"/>
      <c r="H144" s="151"/>
    </row>
    <row r="145" spans="6:8" x14ac:dyDescent="0.2">
      <c r="F145" s="151"/>
      <c r="G145" s="43"/>
      <c r="H145" s="151"/>
    </row>
    <row r="146" spans="6:8" x14ac:dyDescent="0.2">
      <c r="F146" s="151"/>
      <c r="G146" s="43"/>
      <c r="H146" s="151"/>
    </row>
  </sheetData>
  <sheetProtection password="C2FC" sheet="1" objects="1" scenarios="1"/>
  <mergeCells count="1">
    <mergeCell ref="D23:D24"/>
  </mergeCells>
  <phoneticPr fontId="7" type="noConversion"/>
  <pageMargins left="0.75" right="0.75" top="1" bottom="1" header="0.5" footer="0.5"/>
  <pageSetup scale="57" fitToHeight="0" orientation="landscape" r:id="rId1"/>
  <headerFooter alignWithMargins="0"/>
  <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3:N34"/>
  <sheetViews>
    <sheetView showGridLines="0" topLeftCell="A19" zoomScale="80" workbookViewId="0">
      <selection activeCell="B21" sqref="B21:N34"/>
    </sheetView>
  </sheetViews>
  <sheetFormatPr defaultColWidth="9.140625" defaultRowHeight="12.75" x14ac:dyDescent="0.2"/>
  <cols>
    <col min="1" max="1" width="2.85546875" style="31" customWidth="1"/>
    <col min="2" max="2" width="9.28515625" style="31" customWidth="1"/>
    <col min="3" max="3" width="2.85546875" style="31" customWidth="1"/>
    <col min="4" max="4" width="17.7109375" style="31" customWidth="1"/>
    <col min="5" max="5" width="2.85546875" style="31" customWidth="1"/>
    <col min="6" max="6" width="17.7109375" style="31" customWidth="1"/>
    <col min="7" max="7" width="2.7109375" style="31" customWidth="1"/>
    <col min="8" max="8" width="17.7109375" style="31" customWidth="1"/>
    <col min="9" max="9" width="2.7109375" style="31" customWidth="1"/>
    <col min="10" max="10" width="17.7109375" style="31" customWidth="1"/>
    <col min="11" max="11" width="2.85546875" style="31" customWidth="1"/>
    <col min="12" max="12" width="17.7109375" style="31" customWidth="1"/>
    <col min="13" max="13" width="2.7109375" style="31" customWidth="1"/>
    <col min="14" max="14" width="17.7109375" style="31" customWidth="1"/>
    <col min="15" max="16384" width="9.140625" style="31"/>
  </cols>
  <sheetData>
    <row r="13" spans="2:2" x14ac:dyDescent="0.2">
      <c r="B13" s="39" t="s">
        <v>454</v>
      </c>
    </row>
    <row r="21" spans="2:14" ht="89.25" x14ac:dyDescent="0.2">
      <c r="B21" s="39" t="s">
        <v>148</v>
      </c>
      <c r="D21" s="39" t="s">
        <v>346</v>
      </c>
      <c r="F21" s="172" t="s">
        <v>140</v>
      </c>
      <c r="H21" s="172" t="s">
        <v>349</v>
      </c>
      <c r="J21" s="172" t="s">
        <v>350</v>
      </c>
      <c r="L21" s="172" t="s">
        <v>352</v>
      </c>
      <c r="N21" s="172" t="s">
        <v>353</v>
      </c>
    </row>
    <row r="22" spans="2:14" ht="21.75" customHeight="1" x14ac:dyDescent="0.2">
      <c r="B22" s="39"/>
      <c r="D22" s="67" t="s">
        <v>351</v>
      </c>
      <c r="E22" s="173"/>
      <c r="F22" s="67" t="s">
        <v>351</v>
      </c>
    </row>
    <row r="23" spans="2:14" x14ac:dyDescent="0.2">
      <c r="B23" s="103">
        <v>2006</v>
      </c>
      <c r="D23" s="174">
        <f>'5. SM_Rev_Reqt'!G50</f>
        <v>0</v>
      </c>
      <c r="E23" s="174"/>
      <c r="F23" s="174">
        <f>'5. SM_Rev_Reqt'!G58</f>
        <v>0</v>
      </c>
      <c r="G23" s="174"/>
      <c r="H23" s="174">
        <f>D23+F23</f>
        <v>0</v>
      </c>
      <c r="I23" s="65"/>
      <c r="J23" s="174">
        <f>H23/2</f>
        <v>0</v>
      </c>
      <c r="K23" s="65"/>
      <c r="L23" s="113">
        <f>AVERAGE('8A. Opex_Interest_monthly'!$C$26:$C$28,'8A. Opex_Interest_monthly'!$C$26)</f>
        <v>4.3650000000000001E-2</v>
      </c>
      <c r="M23" s="65"/>
      <c r="N23" s="174">
        <f t="shared" ref="N23:N30" si="0">J23*L23</f>
        <v>0</v>
      </c>
    </row>
    <row r="24" spans="2:14" x14ac:dyDescent="0.2">
      <c r="B24" s="103">
        <v>2007</v>
      </c>
      <c r="D24" s="174">
        <f>'5. SM_Rev_Reqt'!I50</f>
        <v>0</v>
      </c>
      <c r="E24" s="174"/>
      <c r="F24" s="174">
        <f>'5. SM_Rev_Reqt'!I58</f>
        <v>0</v>
      </c>
      <c r="G24" s="174"/>
      <c r="H24" s="174">
        <f t="shared" ref="H24:H30" si="1">H23+D24+F24</f>
        <v>0</v>
      </c>
      <c r="I24" s="65"/>
      <c r="J24" s="175">
        <f t="shared" ref="J24:J30" si="2">(H24+H23)/2</f>
        <v>0</v>
      </c>
      <c r="K24" s="65"/>
      <c r="L24" s="113">
        <f>AVERAGE('8A. Opex_Interest_monthly'!$C$29:$C$32)</f>
        <v>4.7275000000000005E-2</v>
      </c>
      <c r="M24" s="65"/>
      <c r="N24" s="174">
        <f t="shared" si="0"/>
        <v>0</v>
      </c>
    </row>
    <row r="25" spans="2:14" x14ac:dyDescent="0.2">
      <c r="B25" s="103">
        <v>2008</v>
      </c>
      <c r="D25" s="174">
        <f>'5. SM_Rev_Reqt'!K50</f>
        <v>0</v>
      </c>
      <c r="E25" s="174"/>
      <c r="F25" s="174">
        <f>'5. SM_Rev_Reqt'!K58</f>
        <v>0</v>
      </c>
      <c r="G25" s="174"/>
      <c r="H25" s="174">
        <f t="shared" si="1"/>
        <v>0</v>
      </c>
      <c r="I25" s="65"/>
      <c r="J25" s="175">
        <f t="shared" si="2"/>
        <v>0</v>
      </c>
      <c r="K25" s="65"/>
      <c r="L25" s="113">
        <f>AVERAGE('8A. Opex_Interest_monthly'!$C$33:$C$36)</f>
        <v>3.9800000000000002E-2</v>
      </c>
      <c r="M25" s="65"/>
      <c r="N25" s="174">
        <f t="shared" si="0"/>
        <v>0</v>
      </c>
    </row>
    <row r="26" spans="2:14" x14ac:dyDescent="0.2">
      <c r="B26" s="103">
        <v>2009</v>
      </c>
      <c r="D26" s="174">
        <f>'5. SM_Rev_Reqt'!M50</f>
        <v>27633</v>
      </c>
      <c r="E26" s="174"/>
      <c r="F26" s="174">
        <f>'5. SM_Rev_Reqt'!M58</f>
        <v>11157.766666666666</v>
      </c>
      <c r="G26" s="65"/>
      <c r="H26" s="174">
        <f t="shared" si="1"/>
        <v>38790.766666666663</v>
      </c>
      <c r="I26" s="65"/>
      <c r="J26" s="175">
        <f t="shared" si="2"/>
        <v>19395.383333333331</v>
      </c>
      <c r="K26" s="65"/>
      <c r="L26" s="113">
        <f>AVERAGE('8A. Opex_Interest_monthly'!$C$37:$C$40)</f>
        <v>1.1375E-2</v>
      </c>
      <c r="M26" s="65"/>
      <c r="N26" s="174">
        <f t="shared" si="0"/>
        <v>220.62248541666665</v>
      </c>
    </row>
    <row r="27" spans="2:14" x14ac:dyDescent="0.2">
      <c r="B27" s="103">
        <v>2010</v>
      </c>
      <c r="D27" s="174">
        <f>'5. SM_Rev_Reqt'!O50</f>
        <v>3224</v>
      </c>
      <c r="E27" s="174"/>
      <c r="F27" s="174">
        <f>'5. SM_Rev_Reqt'!O58</f>
        <v>26307.9</v>
      </c>
      <c r="G27" s="65"/>
      <c r="H27" s="174">
        <f t="shared" si="1"/>
        <v>68322.666666666657</v>
      </c>
      <c r="I27" s="65"/>
      <c r="J27" s="175">
        <f t="shared" si="2"/>
        <v>53556.71666666666</v>
      </c>
      <c r="K27" s="65"/>
      <c r="L27" s="113">
        <f>AVERAGE('8A. Opex_Interest_monthly'!$C$41:$C$44)</f>
        <v>7.9749999999999995E-3</v>
      </c>
      <c r="M27" s="65"/>
      <c r="N27" s="174">
        <f t="shared" si="0"/>
        <v>427.1148154166666</v>
      </c>
    </row>
    <row r="28" spans="2:14" x14ac:dyDescent="0.2">
      <c r="B28" s="103">
        <v>2011</v>
      </c>
      <c r="D28" s="174">
        <f>'5. SM_Rev_Reqt'!Q50</f>
        <v>4126</v>
      </c>
      <c r="E28" s="174"/>
      <c r="F28" s="174">
        <f>'5. SM_Rev_Reqt'!Q58</f>
        <v>31219.666666666672</v>
      </c>
      <c r="G28" s="65"/>
      <c r="H28" s="174">
        <f t="shared" si="1"/>
        <v>103668.33333333333</v>
      </c>
      <c r="I28" s="65"/>
      <c r="J28" s="175">
        <f t="shared" si="2"/>
        <v>85995.5</v>
      </c>
      <c r="K28" s="65"/>
      <c r="L28" s="113">
        <f>AVERAGE('8A. Opex_Interest_monthly'!$C$45:$C$48)</f>
        <v>1.47E-2</v>
      </c>
      <c r="M28" s="65"/>
      <c r="N28" s="174">
        <f t="shared" si="0"/>
        <v>1264.1338499999999</v>
      </c>
    </row>
    <row r="29" spans="2:14" x14ac:dyDescent="0.2">
      <c r="B29" s="103">
        <v>2012</v>
      </c>
      <c r="D29" s="174">
        <f>'5. SM_Rev_Reqt'!S50</f>
        <v>0</v>
      </c>
      <c r="E29" s="174"/>
      <c r="F29" s="174">
        <f>'5. SM_Rev_Reqt'!S58</f>
        <v>31381.066666666666</v>
      </c>
      <c r="G29" s="65"/>
      <c r="H29" s="174">
        <f t="shared" si="1"/>
        <v>135049.4</v>
      </c>
      <c r="I29" s="65"/>
      <c r="J29" s="175">
        <f t="shared" si="2"/>
        <v>119358.86666666667</v>
      </c>
      <c r="K29" s="65"/>
      <c r="L29" s="157">
        <f>AVERAGE('8A. Opex_Interest_monthly'!N97:N108)</f>
        <v>1.4699999999999998E-2</v>
      </c>
      <c r="M29" s="65"/>
      <c r="N29" s="174">
        <f t="shared" si="0"/>
        <v>1754.5753399999999</v>
      </c>
    </row>
    <row r="30" spans="2:14" x14ac:dyDescent="0.2">
      <c r="B30" s="103">
        <v>2013</v>
      </c>
      <c r="D30" s="174">
        <f>'5. SM_Rev_Reqt'!U50</f>
        <v>0</v>
      </c>
      <c r="E30" s="174"/>
      <c r="F30" s="174">
        <f>'5. SM_Rev_Reqt'!U58</f>
        <v>31381.066666666666</v>
      </c>
      <c r="G30" s="65"/>
      <c r="H30" s="174">
        <f t="shared" si="1"/>
        <v>166430.46666666667</v>
      </c>
      <c r="I30" s="65"/>
      <c r="J30" s="175">
        <f t="shared" si="2"/>
        <v>150739.93333333335</v>
      </c>
      <c r="K30" s="65"/>
      <c r="L30" s="219">
        <f>AVERAGE('8A. Opex_Interest_monthly'!N109:N120)</f>
        <v>4.8999999999999998E-3</v>
      </c>
      <c r="M30" s="65"/>
      <c r="N30" s="174">
        <f t="shared" si="0"/>
        <v>738.62567333333334</v>
      </c>
    </row>
    <row r="31" spans="2:14" x14ac:dyDescent="0.2">
      <c r="D31" s="65"/>
      <c r="E31" s="65"/>
      <c r="F31" s="65"/>
      <c r="G31" s="65"/>
      <c r="H31" s="65"/>
      <c r="I31" s="65"/>
      <c r="J31" s="65"/>
      <c r="K31" s="65"/>
      <c r="L31" s="65"/>
      <c r="M31" s="65"/>
      <c r="N31" s="65"/>
    </row>
    <row r="32" spans="2:14" x14ac:dyDescent="0.2">
      <c r="B32" s="176" t="s">
        <v>347</v>
      </c>
      <c r="C32" s="177"/>
      <c r="D32" s="178"/>
      <c r="E32" s="178"/>
      <c r="F32" s="178"/>
      <c r="G32" s="178"/>
      <c r="H32" s="178"/>
      <c r="I32" s="178"/>
      <c r="J32" s="178"/>
      <c r="K32" s="178"/>
      <c r="L32" s="178"/>
      <c r="M32" s="178"/>
      <c r="N32" s="179">
        <f>SUM(N23:N28)</f>
        <v>1911.8711508333331</v>
      </c>
    </row>
    <row r="33" spans="2:14" x14ac:dyDescent="0.2">
      <c r="B33" s="176" t="s">
        <v>348</v>
      </c>
      <c r="C33" s="177"/>
      <c r="D33" s="178"/>
      <c r="E33" s="178"/>
      <c r="F33" s="178"/>
      <c r="G33" s="178"/>
      <c r="H33" s="178"/>
      <c r="I33" s="178"/>
      <c r="J33" s="178"/>
      <c r="K33" s="178"/>
      <c r="L33" s="178"/>
      <c r="M33" s="178"/>
      <c r="N33" s="179">
        <f>SUM(N23:N29)</f>
        <v>3666.446490833333</v>
      </c>
    </row>
    <row r="34" spans="2:14" x14ac:dyDescent="0.2">
      <c r="B34" s="176" t="s">
        <v>375</v>
      </c>
      <c r="C34" s="177"/>
      <c r="D34" s="178"/>
      <c r="E34" s="178"/>
      <c r="F34" s="178"/>
      <c r="G34" s="178"/>
      <c r="H34" s="178"/>
      <c r="I34" s="178"/>
      <c r="J34" s="178"/>
      <c r="K34" s="178"/>
      <c r="L34" s="178"/>
      <c r="M34" s="178"/>
      <c r="N34" s="179">
        <f>SUM(N23:N30)</f>
        <v>4405.072164166666</v>
      </c>
    </row>
  </sheetData>
  <sheetProtection password="C2FC" sheet="1" objects="1" scenarios="1"/>
  <phoneticPr fontId="7" type="noConversion"/>
  <pageMargins left="0.75" right="0.75" top="1" bottom="1" header="0.5" footer="0.5"/>
  <pageSetup scale="68"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4:X77"/>
  <sheetViews>
    <sheetView showGridLines="0" topLeftCell="A32" zoomScale="80" zoomScaleNormal="100" workbookViewId="0">
      <selection activeCell="F28" sqref="F28"/>
    </sheetView>
  </sheetViews>
  <sheetFormatPr defaultColWidth="9.140625" defaultRowHeight="12.75" x14ac:dyDescent="0.2"/>
  <cols>
    <col min="1" max="3" width="2.7109375" style="31" customWidth="1"/>
    <col min="4" max="4" width="5.85546875" style="31" customWidth="1"/>
    <col min="5" max="5" width="9.140625" style="31"/>
    <col min="6" max="6" width="54.85546875" style="31" customWidth="1"/>
    <col min="7" max="7" width="17.28515625" style="31" customWidth="1"/>
    <col min="8" max="8" width="2.7109375" style="31" customWidth="1"/>
    <col min="9" max="9" width="17.28515625" style="31" customWidth="1"/>
    <col min="10" max="10" width="2.7109375" style="31" customWidth="1"/>
    <col min="11" max="11" width="17.28515625" style="31" customWidth="1"/>
    <col min="12" max="12" width="2.7109375" style="31" customWidth="1"/>
    <col min="13" max="13" width="17.28515625" style="31" customWidth="1"/>
    <col min="14" max="14" width="2.7109375" style="31" customWidth="1"/>
    <col min="15" max="15" width="17.28515625" style="31" customWidth="1"/>
    <col min="16" max="16" width="2.7109375" style="31" customWidth="1"/>
    <col min="17" max="17" width="17.28515625" style="31" customWidth="1"/>
    <col min="18" max="18" width="2.7109375" style="31" customWidth="1"/>
    <col min="19" max="19" width="17.28515625" style="31" customWidth="1"/>
    <col min="20" max="20" width="2.7109375" style="31" customWidth="1"/>
    <col min="21" max="21" width="15.7109375" style="31" customWidth="1"/>
    <col min="22" max="22" width="2.7109375" style="31" customWidth="1"/>
    <col min="23" max="23" width="17.28515625" style="31" customWidth="1"/>
    <col min="24" max="24" width="2.7109375" style="31" customWidth="1"/>
    <col min="25" max="16384" width="9.140625" style="31"/>
  </cols>
  <sheetData>
    <row r="14" spans="2:19" s="39" customFormat="1" ht="76.5" customHeight="1" x14ac:dyDescent="0.2">
      <c r="B14" s="369" t="s">
        <v>453</v>
      </c>
      <c r="C14" s="377"/>
      <c r="D14" s="377"/>
      <c r="E14" s="377"/>
      <c r="F14" s="377"/>
      <c r="G14" s="377"/>
      <c r="H14" s="377"/>
      <c r="I14" s="377"/>
      <c r="J14" s="377"/>
      <c r="K14" s="377"/>
      <c r="L14" s="377"/>
      <c r="M14" s="377"/>
    </row>
    <row r="15" spans="2:19" s="39" customFormat="1" ht="55.5" customHeight="1" x14ac:dyDescent="0.25">
      <c r="B15" s="377"/>
      <c r="C15" s="377"/>
      <c r="D15" s="377"/>
      <c r="E15" s="377"/>
      <c r="F15" s="377"/>
      <c r="G15" s="377"/>
      <c r="H15" s="377"/>
      <c r="I15" s="377"/>
      <c r="J15" s="377"/>
      <c r="K15" s="377"/>
      <c r="L15" s="377"/>
      <c r="M15" s="377"/>
      <c r="N15" s="30"/>
      <c r="O15" s="30"/>
      <c r="P15" s="30"/>
      <c r="Q15" s="30"/>
      <c r="R15" s="30"/>
      <c r="S15" s="30"/>
    </row>
    <row r="17" spans="2:23" x14ac:dyDescent="0.2">
      <c r="C17" s="39"/>
      <c r="D17" s="39"/>
      <c r="E17" s="39"/>
    </row>
    <row r="18" spans="2:23" x14ac:dyDescent="0.2">
      <c r="C18" s="65"/>
    </row>
    <row r="19" spans="2:23" x14ac:dyDescent="0.2">
      <c r="C19" s="31" t="s">
        <v>187</v>
      </c>
    </row>
    <row r="20" spans="2:23" ht="27" customHeight="1" x14ac:dyDescent="0.2">
      <c r="B20" s="378" t="s">
        <v>186</v>
      </c>
      <c r="C20" s="378"/>
      <c r="D20" s="378"/>
      <c r="E20" s="39"/>
      <c r="F20" s="141"/>
      <c r="G20" s="39"/>
    </row>
    <row r="21" spans="2:23" ht="13.5" thickBot="1" x14ac:dyDescent="0.25">
      <c r="B21" s="38"/>
      <c r="C21" s="38"/>
      <c r="D21" s="38"/>
      <c r="E21" s="39"/>
      <c r="F21" s="141"/>
      <c r="G21" s="39"/>
    </row>
    <row r="22" spans="2:23" x14ac:dyDescent="0.2">
      <c r="C22" s="328"/>
      <c r="E22" s="103" t="s">
        <v>265</v>
      </c>
      <c r="G22" s="103"/>
      <c r="H22" s="103"/>
      <c r="I22" s="103"/>
      <c r="J22" s="103"/>
      <c r="K22" s="103"/>
      <c r="L22" s="103"/>
      <c r="M22" s="103"/>
      <c r="N22" s="103"/>
      <c r="O22" s="103"/>
      <c r="P22" s="103"/>
      <c r="Q22" s="103"/>
      <c r="R22" s="103"/>
      <c r="S22" s="103"/>
      <c r="T22" s="103"/>
      <c r="U22" s="103"/>
      <c r="V22" s="103"/>
      <c r="W22" s="103"/>
    </row>
    <row r="23" spans="2:23" ht="13.5" thickBot="1" x14ac:dyDescent="0.25">
      <c r="C23" s="180"/>
      <c r="E23" s="103"/>
      <c r="G23" s="103"/>
      <c r="H23" s="103"/>
      <c r="I23" s="103"/>
      <c r="J23" s="103"/>
      <c r="K23" s="103"/>
      <c r="L23" s="103"/>
      <c r="M23" s="103"/>
      <c r="N23" s="103"/>
      <c r="O23" s="103"/>
      <c r="P23" s="103"/>
      <c r="Q23" s="103"/>
      <c r="R23" s="103"/>
      <c r="S23" s="103"/>
      <c r="T23" s="103"/>
      <c r="U23" s="103"/>
      <c r="V23" s="103"/>
      <c r="W23" s="103"/>
    </row>
    <row r="24" spans="2:23" x14ac:dyDescent="0.2">
      <c r="C24" s="328" t="s">
        <v>355</v>
      </c>
      <c r="E24" s="103" t="s">
        <v>266</v>
      </c>
      <c r="G24" s="141" t="s">
        <v>312</v>
      </c>
      <c r="H24" s="103"/>
      <c r="I24" s="103"/>
      <c r="J24" s="103"/>
      <c r="K24" s="103"/>
      <c r="L24" s="103"/>
      <c r="M24" s="103"/>
      <c r="N24" s="103"/>
      <c r="O24" s="103"/>
      <c r="P24" s="103"/>
      <c r="Q24" s="103"/>
      <c r="R24" s="103"/>
      <c r="S24" s="103"/>
      <c r="T24" s="103"/>
      <c r="U24" s="103"/>
      <c r="V24" s="103"/>
      <c r="W24" s="103"/>
    </row>
    <row r="25" spans="2:23" ht="13.5" thickBot="1" x14ac:dyDescent="0.25">
      <c r="C25" s="180"/>
      <c r="E25" s="103"/>
      <c r="G25" s="103"/>
      <c r="H25" s="103"/>
      <c r="I25" s="103"/>
      <c r="J25" s="103"/>
      <c r="K25" s="103"/>
      <c r="L25" s="103"/>
      <c r="M25" s="103"/>
      <c r="N25" s="103"/>
      <c r="O25" s="103"/>
      <c r="P25" s="103"/>
      <c r="Q25" s="103"/>
      <c r="R25" s="103"/>
      <c r="S25" s="103"/>
      <c r="T25" s="103"/>
      <c r="U25" s="103"/>
      <c r="V25" s="103"/>
      <c r="W25" s="103"/>
    </row>
    <row r="26" spans="2:23" x14ac:dyDescent="0.2">
      <c r="C26" s="328"/>
      <c r="E26" s="103" t="s">
        <v>267</v>
      </c>
      <c r="G26" s="380" t="s">
        <v>313</v>
      </c>
      <c r="H26" s="380"/>
      <c r="I26" s="380"/>
      <c r="J26" s="380"/>
      <c r="K26" s="380"/>
      <c r="L26" s="380"/>
      <c r="M26" s="380"/>
      <c r="N26" s="381"/>
      <c r="O26" s="381"/>
      <c r="P26" s="103"/>
      <c r="Q26" s="103"/>
      <c r="R26" s="103"/>
      <c r="S26" s="103"/>
      <c r="T26" s="103"/>
      <c r="U26" s="103"/>
      <c r="V26" s="103"/>
      <c r="W26" s="103"/>
    </row>
    <row r="27" spans="2:23" x14ac:dyDescent="0.2">
      <c r="G27" s="382"/>
      <c r="H27" s="382"/>
      <c r="I27" s="382"/>
      <c r="J27" s="382"/>
      <c r="K27" s="382"/>
      <c r="L27" s="382"/>
      <c r="M27" s="382"/>
      <c r="N27" s="381"/>
      <c r="O27" s="381"/>
    </row>
    <row r="28" spans="2:23" ht="54.75" customHeight="1" x14ac:dyDescent="0.2">
      <c r="C28" s="375"/>
      <c r="D28" s="375"/>
      <c r="G28" s="37">
        <v>2006</v>
      </c>
      <c r="H28" s="37"/>
      <c r="I28" s="37">
        <v>2007</v>
      </c>
      <c r="J28" s="37"/>
      <c r="K28" s="37">
        <v>2008</v>
      </c>
      <c r="L28" s="37"/>
      <c r="M28" s="37">
        <v>2009</v>
      </c>
      <c r="N28" s="37"/>
      <c r="O28" s="37">
        <v>2010</v>
      </c>
      <c r="P28" s="37"/>
      <c r="Q28" s="37">
        <v>2011</v>
      </c>
      <c r="R28" s="37"/>
      <c r="S28" s="38">
        <v>2012</v>
      </c>
      <c r="T28" s="65"/>
      <c r="U28" s="37">
        <v>2013</v>
      </c>
      <c r="V28" s="65"/>
      <c r="W28" s="37" t="s">
        <v>7</v>
      </c>
    </row>
    <row r="30" spans="2:23" x14ac:dyDescent="0.2">
      <c r="C30" s="31" t="s">
        <v>307</v>
      </c>
      <c r="G30" s="181">
        <f>'5. SM_Rev_Reqt'!G70</f>
        <v>0</v>
      </c>
      <c r="I30" s="181">
        <f>'5. SM_Rev_Reqt'!I70</f>
        <v>0</v>
      </c>
      <c r="K30" s="181">
        <f>'5. SM_Rev_Reqt'!K70</f>
        <v>0</v>
      </c>
      <c r="M30" s="181">
        <f>'5. SM_Rev_Reqt'!M70</f>
        <v>52907.671720587939</v>
      </c>
      <c r="O30" s="181">
        <f>'5. SM_Rev_Reqt'!O70</f>
        <v>62126.239985845677</v>
      </c>
      <c r="Q30" s="181">
        <f>'5. SM_Rev_Reqt'!Q70</f>
        <v>71596.715728173571</v>
      </c>
      <c r="R30" s="181"/>
      <c r="S30" s="181">
        <f>'5. SM_Rev_Reqt'!S70</f>
        <v>62355.831418610796</v>
      </c>
      <c r="U30" s="181">
        <f>'5. SM_Rev_Reqt'!U70</f>
        <v>59028.070013641554</v>
      </c>
      <c r="W30" s="137">
        <f>SUM(G30:S30)</f>
        <v>248986.45885321798</v>
      </c>
    </row>
    <row r="31" spans="2:23" x14ac:dyDescent="0.2">
      <c r="G31" s="181"/>
      <c r="I31" s="181"/>
      <c r="K31" s="181"/>
      <c r="M31" s="181"/>
      <c r="O31" s="181"/>
      <c r="Q31" s="181"/>
      <c r="R31" s="181"/>
      <c r="S31" s="181"/>
      <c r="W31" s="137"/>
    </row>
    <row r="32" spans="2:23" x14ac:dyDescent="0.2">
      <c r="C32" s="31" t="s">
        <v>336</v>
      </c>
      <c r="G32" s="181">
        <f>IF($C35="X",G35,IF($C37="X",G37,0))</f>
        <v>0</v>
      </c>
      <c r="I32" s="181">
        <f>IF($C35="X",I35,IF($C37="X",I37,0))</f>
        <v>0</v>
      </c>
      <c r="K32" s="181">
        <f>IF($C35="X",K35,IF($C37="X",K37,0))</f>
        <v>0</v>
      </c>
      <c r="M32" s="181">
        <f>IF($C35="X",M35,IF($C37="X",M37,0))</f>
        <v>43.583272916666665</v>
      </c>
      <c r="O32" s="181">
        <f>IF($C35="X",O35,IF($C37="X",O37,0))</f>
        <v>315.2126485833333</v>
      </c>
      <c r="Q32" s="181">
        <f>IF($C35="X",Q35,IF($C37="X",Q37,0))</f>
        <v>1153.9832709999998</v>
      </c>
      <c r="R32" s="181"/>
      <c r="S32" s="181">
        <f>IF($C35="X",S35,IF($C37="X",S37,0))</f>
        <v>1748.8104899999996</v>
      </c>
      <c r="W32" s="137">
        <f>SUM(G32:S32)</f>
        <v>3261.5896824999991</v>
      </c>
    </row>
    <row r="33" spans="1:24" x14ac:dyDescent="0.2">
      <c r="B33" s="182"/>
      <c r="C33" s="182" t="s">
        <v>354</v>
      </c>
      <c r="D33" s="182"/>
      <c r="E33" s="182"/>
      <c r="F33" s="182"/>
      <c r="G33" s="183"/>
      <c r="H33" s="182"/>
      <c r="I33" s="183"/>
      <c r="J33" s="182"/>
      <c r="K33" s="183"/>
      <c r="L33" s="182"/>
      <c r="M33" s="183"/>
      <c r="N33" s="182"/>
      <c r="O33" s="183"/>
      <c r="P33" s="182"/>
      <c r="Q33" s="183"/>
      <c r="R33" s="183"/>
      <c r="S33" s="183"/>
      <c r="T33" s="182"/>
      <c r="U33" s="182"/>
      <c r="V33" s="182"/>
      <c r="W33" s="184"/>
      <c r="X33" s="182"/>
    </row>
    <row r="34" spans="1:24" ht="13.5" thickBot="1" x14ac:dyDescent="0.25">
      <c r="A34" s="185"/>
      <c r="B34" s="29"/>
      <c r="C34" s="29"/>
      <c r="D34" s="29"/>
      <c r="E34" s="186"/>
      <c r="F34" s="91"/>
      <c r="G34" s="187"/>
      <c r="H34" s="91"/>
      <c r="I34" s="187"/>
      <c r="J34" s="29"/>
      <c r="K34" s="188"/>
      <c r="L34" s="29"/>
      <c r="M34" s="188"/>
      <c r="N34" s="29"/>
      <c r="O34" s="188"/>
      <c r="P34" s="29"/>
      <c r="Q34" s="188"/>
      <c r="R34" s="188"/>
      <c r="S34" s="188"/>
      <c r="T34" s="29"/>
      <c r="U34" s="29"/>
      <c r="V34" s="29"/>
      <c r="W34" s="189"/>
      <c r="X34" s="190"/>
    </row>
    <row r="35" spans="1:24" x14ac:dyDescent="0.2">
      <c r="A35" s="185"/>
      <c r="B35" s="29"/>
      <c r="C35" s="328" t="s">
        <v>355</v>
      </c>
      <c r="D35" s="29"/>
      <c r="E35" s="29" t="s">
        <v>338</v>
      </c>
      <c r="F35" s="29"/>
      <c r="G35" s="191">
        <f>IF($C35="X",SUM('8A. Opex_Interest_monthly'!O25:O36),"")</f>
        <v>0</v>
      </c>
      <c r="H35" s="192"/>
      <c r="I35" s="191">
        <f>IF($C35="X",SUM('8A. Opex_Interest_monthly'!O37:O48),"")</f>
        <v>0</v>
      </c>
      <c r="J35" s="192"/>
      <c r="K35" s="191">
        <f>IF($C35="X",SUM('8A. Opex_Interest_monthly'!O49:O60),"")</f>
        <v>0</v>
      </c>
      <c r="L35" s="192"/>
      <c r="M35" s="191">
        <f>IF($C35="X",SUM('8A. Opex_Interest_monthly'!O61:O72),"")</f>
        <v>43.583272916666665</v>
      </c>
      <c r="N35" s="192"/>
      <c r="O35" s="191">
        <f>IF($C35="X",SUM('8A. Opex_Interest_monthly'!O73:O84),"")</f>
        <v>315.2126485833333</v>
      </c>
      <c r="P35" s="192"/>
      <c r="Q35" s="191">
        <f>IF($C35="X",SUM('8A. Opex_Interest_monthly'!O85:O96),"")</f>
        <v>1153.9832709999998</v>
      </c>
      <c r="R35" s="191"/>
      <c r="S35" s="191">
        <f>IF($C35="X",SUM('8A. Opex_Interest_monthly'!O97:O108),"")</f>
        <v>1748.8104899999996</v>
      </c>
      <c r="T35" s="192"/>
      <c r="U35" s="191">
        <f>IF($C35="X",SUM('8A. Opex_Interest_monthly'!O109:O120),"")</f>
        <v>767.32873000000006</v>
      </c>
      <c r="V35" s="192"/>
      <c r="W35" s="193">
        <f>IF($C$35="X",SUM(G35:S35),"")</f>
        <v>3261.5896824999991</v>
      </c>
      <c r="X35" s="185"/>
    </row>
    <row r="36" spans="1:24" s="10" customFormat="1" ht="13.5" thickBot="1" x14ac:dyDescent="0.25">
      <c r="A36" s="194"/>
      <c r="B36" s="91"/>
      <c r="C36" s="195"/>
      <c r="D36" s="91"/>
      <c r="E36" s="91"/>
      <c r="F36" s="91"/>
      <c r="G36" s="196"/>
      <c r="H36" s="197"/>
      <c r="I36" s="196"/>
      <c r="J36" s="197"/>
      <c r="K36" s="196"/>
      <c r="L36" s="197"/>
      <c r="M36" s="196"/>
      <c r="N36" s="197"/>
      <c r="O36" s="196"/>
      <c r="P36" s="197"/>
      <c r="Q36" s="196"/>
      <c r="R36" s="196"/>
      <c r="S36" s="196"/>
      <c r="T36" s="197"/>
      <c r="U36" s="197"/>
      <c r="V36" s="197"/>
      <c r="W36" s="198"/>
      <c r="X36" s="194"/>
    </row>
    <row r="37" spans="1:24" x14ac:dyDescent="0.2">
      <c r="A37" s="185"/>
      <c r="B37" s="29"/>
      <c r="C37" s="328"/>
      <c r="D37" s="29"/>
      <c r="E37" s="29" t="s">
        <v>339</v>
      </c>
      <c r="F37" s="29"/>
      <c r="G37" s="191" t="str">
        <f>IF($C37="X",'8B. Opex_Interest_annual'!N23,"")</f>
        <v/>
      </c>
      <c r="H37" s="192"/>
      <c r="I37" s="191" t="str">
        <f>IF($C37="X",'8B. Opex_Interest_annual'!N24,"")</f>
        <v/>
      </c>
      <c r="J37" s="192"/>
      <c r="K37" s="191" t="str">
        <f>IF($C37="X",'8B. Opex_Interest_annual'!N25,"")</f>
        <v/>
      </c>
      <c r="L37" s="192"/>
      <c r="M37" s="191" t="str">
        <f>IF($C37="X",'8B. Opex_Interest_annual'!N26,"")</f>
        <v/>
      </c>
      <c r="N37" s="192"/>
      <c r="O37" s="191" t="str">
        <f>IF($C37="X",'8B. Opex_Interest_annual'!N27,"")</f>
        <v/>
      </c>
      <c r="P37" s="192"/>
      <c r="Q37" s="191" t="str">
        <f>IF($C37="X",'8B. Opex_Interest_annual'!N28,"")</f>
        <v/>
      </c>
      <c r="R37" s="191"/>
      <c r="S37" s="191" t="str">
        <f>IF($C37="X",'8B. Opex_Interest_annual'!N29,"")</f>
        <v/>
      </c>
      <c r="T37" s="192"/>
      <c r="U37" s="191" t="str">
        <f>IF($C37="X",'8B. Opex_Interest_annual'!N30,"")</f>
        <v/>
      </c>
      <c r="V37" s="192"/>
      <c r="W37" s="193" t="str">
        <f>IF($C$37="X",SUM(G37:S37),"")</f>
        <v/>
      </c>
      <c r="X37" s="185"/>
    </row>
    <row r="38" spans="1:24" x14ac:dyDescent="0.2">
      <c r="A38" s="185"/>
      <c r="B38" s="199"/>
      <c r="C38" s="182"/>
      <c r="D38" s="182"/>
      <c r="E38" s="182"/>
      <c r="F38" s="182"/>
      <c r="G38" s="182"/>
      <c r="H38" s="182"/>
      <c r="I38" s="182"/>
      <c r="J38" s="182"/>
      <c r="K38" s="182"/>
      <c r="L38" s="182"/>
      <c r="M38" s="182"/>
      <c r="N38" s="182"/>
      <c r="O38" s="182"/>
      <c r="P38" s="182"/>
      <c r="Q38" s="182"/>
      <c r="R38" s="182"/>
      <c r="S38" s="182"/>
      <c r="T38" s="182"/>
      <c r="U38" s="182"/>
      <c r="V38" s="182"/>
      <c r="W38" s="182"/>
      <c r="X38" s="200"/>
    </row>
    <row r="39" spans="1:24" x14ac:dyDescent="0.2">
      <c r="L39" s="29"/>
      <c r="M39" s="29"/>
      <c r="N39" s="29"/>
      <c r="O39" s="29"/>
      <c r="P39" s="29"/>
      <c r="Q39" s="29"/>
      <c r="R39" s="29"/>
      <c r="S39" s="29"/>
      <c r="T39" s="29"/>
      <c r="U39" s="29"/>
      <c r="V39" s="29"/>
      <c r="W39" s="29"/>
      <c r="X39" s="29"/>
    </row>
    <row r="40" spans="1:24" x14ac:dyDescent="0.2">
      <c r="C40" s="31" t="s">
        <v>356</v>
      </c>
      <c r="G40" s="137">
        <f>SUM('8. Funding_Adder_Revs'!K24:K35)</f>
        <v>6427.54</v>
      </c>
      <c r="I40" s="137">
        <f>SUM('8. Funding_Adder_Revs'!K36:K47)</f>
        <v>11897.53</v>
      </c>
      <c r="K40" s="137">
        <f>SUM('8. Funding_Adder_Revs'!K48:K59)</f>
        <v>12123.930000000002</v>
      </c>
      <c r="M40" s="137">
        <f>SUM('8. Funding_Adder_Revs'!K60:K71)</f>
        <v>22203.86</v>
      </c>
      <c r="O40" s="189">
        <f>SUM('8. Funding_Adder_Revs'!K72:K83)</f>
        <v>46276.200000000004</v>
      </c>
      <c r="Q40" s="189">
        <f>SUM('8. Funding_Adder_Revs'!K84:K95)</f>
        <v>73773.23</v>
      </c>
      <c r="R40" s="29"/>
      <c r="S40" s="137">
        <f>SUM('8. Funding_Adder_Revs'!K96:K107)</f>
        <v>38120.83</v>
      </c>
      <c r="T40" s="29"/>
      <c r="U40" s="137">
        <f>SUM('8. Funding_Adder_Revs'!K108:K119)</f>
        <v>0</v>
      </c>
      <c r="V40" s="29"/>
      <c r="W40" s="189">
        <f>SUM(G40:U40)</f>
        <v>210823.12</v>
      </c>
    </row>
    <row r="41" spans="1:24" x14ac:dyDescent="0.2">
      <c r="G41" s="137"/>
      <c r="I41" s="137"/>
      <c r="K41" s="137"/>
      <c r="M41" s="137"/>
      <c r="O41" s="137"/>
      <c r="Q41" s="137"/>
      <c r="S41" s="137"/>
      <c r="U41" s="137"/>
      <c r="W41" s="137"/>
    </row>
    <row r="42" spans="1:24" x14ac:dyDescent="0.2">
      <c r="C42" s="31" t="s">
        <v>337</v>
      </c>
      <c r="G42" s="137">
        <f>SUM('8. Funding_Adder_Revs'!M24:M35)</f>
        <v>52.349999999999994</v>
      </c>
      <c r="I42" s="137">
        <f>SUM('8. Funding_Adder_Revs'!M36:M47)</f>
        <v>562.93999999999994</v>
      </c>
      <c r="K42" s="137">
        <f>SUM('8. Funding_Adder_Revs'!M48:M59)</f>
        <v>928.15000000000009</v>
      </c>
      <c r="M42" s="137">
        <f>SUM('8. Funding_Adder_Revs'!M60:M71)</f>
        <v>391.2700000000001</v>
      </c>
      <c r="O42" s="137">
        <f>SUM('8. Funding_Adder_Revs'!M72:M83)</f>
        <v>619.01</v>
      </c>
      <c r="Q42" s="137">
        <f>SUM('8. Funding_Adder_Revs'!M84:M95)</f>
        <v>1873.74</v>
      </c>
      <c r="S42" s="137">
        <f>SUM('8. Funding_Adder_Revs'!M96:M107)</f>
        <v>2959.3</v>
      </c>
      <c r="U42" s="137">
        <f>SUM('8. Funding_Adder_Revs'!M108:M119)</f>
        <v>1033.04</v>
      </c>
      <c r="W42" s="137">
        <f>SUM(G42:U42)</f>
        <v>8419.7999999999993</v>
      </c>
    </row>
    <row r="43" spans="1:24" x14ac:dyDescent="0.2">
      <c r="S43" s="137"/>
      <c r="U43" s="137"/>
    </row>
    <row r="44" spans="1:24" x14ac:dyDescent="0.2">
      <c r="C44" s="31" t="s">
        <v>185</v>
      </c>
      <c r="G44" s="137">
        <f>(G30+G32)-(G40+G42)</f>
        <v>-6479.89</v>
      </c>
      <c r="I44" s="137">
        <f>(I30+I32)-(I40+I42)</f>
        <v>-12460.470000000001</v>
      </c>
      <c r="K44" s="137">
        <f>(K30+K32)-(K40+K42)</f>
        <v>-13052.080000000002</v>
      </c>
      <c r="M44" s="137">
        <f>(M30+M32)-(M40+M42)</f>
        <v>30356.124993504603</v>
      </c>
      <c r="O44" s="137">
        <f>(O30+O32)-(O40+O42)</f>
        <v>15546.242634429007</v>
      </c>
      <c r="Q44" s="137">
        <f>(Q30+Q32)-(Q40+Q42)</f>
        <v>-2896.2710008264257</v>
      </c>
      <c r="S44" s="137">
        <f>(S30+S32)-(S40+S42)</f>
        <v>23024.511908610788</v>
      </c>
      <c r="U44" s="137">
        <f>(U30+U32)-(U40+U42)</f>
        <v>57995.030013641554</v>
      </c>
      <c r="W44" s="137">
        <f>(W30+W32)-(W40+W42)</f>
        <v>33005.128535717988</v>
      </c>
    </row>
    <row r="45" spans="1:24" ht="13.5" thickBot="1" x14ac:dyDescent="0.25"/>
    <row r="46" spans="1:24" x14ac:dyDescent="0.2">
      <c r="C46" s="31" t="s">
        <v>378</v>
      </c>
      <c r="S46" s="220"/>
      <c r="T46" s="29"/>
      <c r="U46" s="324">
        <v>3695</v>
      </c>
      <c r="V46" s="29"/>
    </row>
    <row r="47" spans="1:24" ht="24.75" customHeight="1" x14ac:dyDescent="0.2">
      <c r="D47" s="383" t="s">
        <v>379</v>
      </c>
      <c r="E47" s="383"/>
      <c r="F47" s="383"/>
      <c r="G47" s="383"/>
      <c r="H47" s="383"/>
      <c r="I47" s="383"/>
      <c r="J47" s="383"/>
      <c r="K47" s="383"/>
      <c r="L47" s="383"/>
      <c r="M47" s="383"/>
      <c r="N47" s="383"/>
      <c r="O47" s="383"/>
      <c r="P47" s="383"/>
      <c r="Q47" s="383"/>
      <c r="R47" s="383"/>
      <c r="S47" s="383"/>
      <c r="T47" s="29"/>
      <c r="U47" s="220"/>
      <c r="V47" s="29"/>
    </row>
    <row r="48" spans="1:24" hidden="1" x14ac:dyDescent="0.2">
      <c r="S48" s="29"/>
    </row>
    <row r="49" spans="3:17" hidden="1" x14ac:dyDescent="0.2">
      <c r="C49" s="39" t="s">
        <v>304</v>
      </c>
    </row>
    <row r="50" spans="3:17" ht="13.5" hidden="1" thickBot="1" x14ac:dyDescent="0.25"/>
    <row r="51" spans="3:17" ht="25.5" hidden="1" customHeight="1" x14ac:dyDescent="0.2">
      <c r="D51" s="381" t="s">
        <v>376</v>
      </c>
      <c r="E51" s="381"/>
      <c r="F51" s="353" t="s">
        <v>377</v>
      </c>
      <c r="G51" s="137">
        <f>W44</f>
        <v>33005.128535717988</v>
      </c>
    </row>
    <row r="52" spans="3:17" ht="13.5" hidden="1" thickBot="1" x14ac:dyDescent="0.25">
      <c r="F52" s="29"/>
    </row>
    <row r="53" spans="3:17" hidden="1" x14ac:dyDescent="0.2">
      <c r="D53" s="31" t="s">
        <v>182</v>
      </c>
      <c r="E53" s="201"/>
      <c r="F53" s="353" t="s">
        <v>268</v>
      </c>
      <c r="G53" s="202">
        <f>IF(U46=0,"",ROUND(S44/(U46*12),2))</f>
        <v>0.52</v>
      </c>
    </row>
    <row r="54" spans="3:17" hidden="1" x14ac:dyDescent="0.2">
      <c r="F54" s="379"/>
      <c r="G54" s="379"/>
    </row>
    <row r="55" spans="3:17" hidden="1" x14ac:dyDescent="0.2">
      <c r="D55" s="135" t="s">
        <v>270</v>
      </c>
      <c r="G55" s="181" t="str">
        <f>IF(S46=0,"",G53*S46*12)</f>
        <v/>
      </c>
      <c r="I55" s="181"/>
    </row>
    <row r="57" spans="3:17" x14ac:dyDescent="0.2">
      <c r="C57" s="39" t="s">
        <v>305</v>
      </c>
    </row>
    <row r="58" spans="3:17" ht="13.5" thickBot="1" x14ac:dyDescent="0.25"/>
    <row r="59" spans="3:17" x14ac:dyDescent="0.2">
      <c r="D59" s="31" t="s">
        <v>188</v>
      </c>
      <c r="G59" s="354">
        <v>1</v>
      </c>
      <c r="H59" s="29"/>
    </row>
    <row r="61" spans="3:17" x14ac:dyDescent="0.2">
      <c r="D61" s="31" t="s">
        <v>380</v>
      </c>
      <c r="G61" s="137">
        <f>SUM(G30:S30)+SUM(G32:S32)</f>
        <v>252248.04853571797</v>
      </c>
    </row>
    <row r="62" spans="3:17" x14ac:dyDescent="0.2">
      <c r="E62" s="31" t="s">
        <v>359</v>
      </c>
      <c r="G62" s="137"/>
      <c r="Q62" s="137"/>
    </row>
    <row r="63" spans="3:17" x14ac:dyDescent="0.2">
      <c r="D63" s="31" t="s">
        <v>381</v>
      </c>
      <c r="G63" s="137">
        <f>W40+SUM(G42:U42)</f>
        <v>219242.91999999998</v>
      </c>
      <c r="Q63" s="137"/>
    </row>
    <row r="64" spans="3:17" x14ac:dyDescent="0.2">
      <c r="E64" s="31" t="s">
        <v>360</v>
      </c>
      <c r="G64" s="137"/>
      <c r="Q64" s="137"/>
    </row>
    <row r="65" spans="3:17" x14ac:dyDescent="0.2">
      <c r="D65" s="31" t="s">
        <v>185</v>
      </c>
      <c r="G65" s="137">
        <f>G61-G63</f>
        <v>33005.128535717988</v>
      </c>
      <c r="Q65" s="137"/>
    </row>
    <row r="66" spans="3:17" ht="13.5" thickBot="1" x14ac:dyDescent="0.25"/>
    <row r="67" spans="3:17" ht="15.75" x14ac:dyDescent="0.25">
      <c r="D67" s="31" t="s">
        <v>183</v>
      </c>
      <c r="E67" s="10"/>
      <c r="F67" s="363" t="s">
        <v>458</v>
      </c>
      <c r="G67" s="137">
        <f>IF(U46=0,"",ROUND(G65/(U46*12*G59),2))</f>
        <v>0.74</v>
      </c>
      <c r="I67" s="203" t="str">
        <f>IF(ISERROR(G69/G65), "Error", IF(G69/G65&gt;=95%, "Match", "Error"))</f>
        <v>Match</v>
      </c>
    </row>
    <row r="69" spans="3:17" x14ac:dyDescent="0.2">
      <c r="D69" s="135" t="s">
        <v>269</v>
      </c>
      <c r="G69" s="137">
        <f>IF(ISERROR(G67*U46*12*G59), "", G67*U46*12*G59)</f>
        <v>32811.600000000006</v>
      </c>
      <c r="I69" s="137"/>
    </row>
    <row r="70" spans="3:17" hidden="1" x14ac:dyDescent="0.2"/>
    <row r="71" spans="3:17" hidden="1" x14ac:dyDescent="0.2">
      <c r="C71" s="39" t="s">
        <v>306</v>
      </c>
    </row>
    <row r="72" spans="3:17" hidden="1" x14ac:dyDescent="0.2"/>
    <row r="73" spans="3:17" hidden="1" x14ac:dyDescent="0.2">
      <c r="D73" s="31" t="s">
        <v>382</v>
      </c>
      <c r="G73" s="137">
        <f>U30</f>
        <v>59028.070013641554</v>
      </c>
    </row>
    <row r="74" spans="3:17" hidden="1" x14ac:dyDescent="0.2"/>
    <row r="75" spans="3:17" ht="15.75" hidden="1" x14ac:dyDescent="0.25">
      <c r="D75" s="31" t="s">
        <v>189</v>
      </c>
      <c r="G75" s="137">
        <f>IF(ISERROR(ROUND(G73/(U46*12),2)), "", ROUND(G73/(U46*12),2))</f>
        <v>1.33</v>
      </c>
      <c r="I75" s="203" t="str">
        <f>IF(ISERROR(G77/G73), "Error", IF(G77/G73&gt;=95%, "Match", "Error"))</f>
        <v>Match</v>
      </c>
    </row>
    <row r="76" spans="3:17" hidden="1" x14ac:dyDescent="0.2"/>
    <row r="77" spans="3:17" x14ac:dyDescent="0.2">
      <c r="D77" s="135" t="s">
        <v>271</v>
      </c>
      <c r="G77" s="137">
        <f>IF(ISERROR(G75*U46*12), "", G75*U46*12)</f>
        <v>58972.200000000004</v>
      </c>
      <c r="I77" s="137"/>
    </row>
  </sheetData>
  <sheetProtection password="C2FC" sheet="1" objects="1" scenarios="1"/>
  <mergeCells count="7">
    <mergeCell ref="B14:M15"/>
    <mergeCell ref="B20:D20"/>
    <mergeCell ref="F54:G54"/>
    <mergeCell ref="C28:D28"/>
    <mergeCell ref="G26:O27"/>
    <mergeCell ref="D51:E51"/>
    <mergeCell ref="D47:S47"/>
  </mergeCells>
  <phoneticPr fontId="7" type="noConversion"/>
  <conditionalFormatting sqref="G53">
    <cfRule type="expression" dxfId="4" priority="1" stopIfTrue="1">
      <formula>"c8="" """</formula>
    </cfRule>
  </conditionalFormatting>
  <conditionalFormatting sqref="C25 C23">
    <cfRule type="cellIs" dxfId="3" priority="2" stopIfTrue="1" operator="equal">
      <formula>"X"</formula>
    </cfRule>
    <cfRule type="cellIs" dxfId="2" priority="3" stopIfTrue="1" operator="equal">
      <formula>" "</formula>
    </cfRule>
  </conditionalFormatting>
  <dataValidations count="1">
    <dataValidation type="list" allowBlank="1" showInputMessage="1" showErrorMessage="1" sqref="C22 C26 C24 C35:C37">
      <formula1>"X, "</formula1>
    </dataValidation>
  </dataValidations>
  <pageMargins left="0.74803149606299213" right="0.74803149606299213" top="0.98425196850393704" bottom="0.98425196850393704" header="0.51181102362204722" footer="0.51181102362204722"/>
  <pageSetup scale="47" orientation="landscape" r:id="rId1"/>
  <headerFooter alignWithMargins="0"/>
  <rowBreaks count="1" manualBreakCount="1">
    <brk id="47" max="23" man="1"/>
  </rowBreaks>
  <drawing r:id="rId2"/>
  <legacyDrawing r:id="rId3"/>
  <mc:AlternateContent xmlns:mc="http://schemas.openxmlformats.org/markup-compatibility/2006">
    <mc:Choice Requires="x14">
      <controls>
        <mc:AlternateContent xmlns:mc="http://schemas.openxmlformats.org/markup-compatibility/2006">
          <mc:Choice Requires="x14">
            <control shapeId="1055" r:id="rId4" name="Button 31">
              <controlPr defaultSize="0" print="0" autoFill="0" autoPict="0" macro="[0]!sheet8hiderows">
                <anchor moveWithCells="1" sizeWithCells="1">
                  <from>
                    <xdr:col>2</xdr:col>
                    <xdr:colOff>0</xdr:colOff>
                    <xdr:row>27</xdr:row>
                    <xdr:rowOff>95250</xdr:rowOff>
                  </from>
                  <to>
                    <xdr:col>5</xdr:col>
                    <xdr:colOff>581025</xdr:colOff>
                    <xdr:row>27</xdr:row>
                    <xdr:rowOff>361950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B12:AC65"/>
  <sheetViews>
    <sheetView showGridLines="0" topLeftCell="J16" zoomScale="85" zoomScaleNormal="85" workbookViewId="0">
      <selection activeCell="V26" sqref="V26"/>
    </sheetView>
  </sheetViews>
  <sheetFormatPr defaultColWidth="9.140625" defaultRowHeight="12.75" x14ac:dyDescent="0.2"/>
  <cols>
    <col min="1" max="1" width="2.85546875" style="31" customWidth="1"/>
    <col min="2" max="2" width="27.140625" style="31" customWidth="1"/>
    <col min="3" max="3" width="15.7109375" style="31" customWidth="1"/>
    <col min="4" max="4" width="2.5703125" style="31" customWidth="1"/>
    <col min="5" max="5" width="15.7109375" style="31" customWidth="1"/>
    <col min="6" max="6" width="2.5703125" style="31" customWidth="1"/>
    <col min="7" max="7" width="15.7109375" style="31" customWidth="1"/>
    <col min="8" max="8" width="2.5703125" style="31" customWidth="1"/>
    <col min="9" max="9" width="15.7109375" style="31" customWidth="1"/>
    <col min="10" max="10" width="2.5703125" style="31" customWidth="1"/>
    <col min="11" max="11" width="15.7109375" style="31" customWidth="1"/>
    <col min="12" max="12" width="2.5703125" style="31" customWidth="1"/>
    <col min="13" max="13" width="15.7109375" style="31" customWidth="1"/>
    <col min="14" max="14" width="2.5703125" style="31" customWidth="1"/>
    <col min="15" max="15" width="15.7109375" style="31" customWidth="1"/>
    <col min="16" max="16" width="3.42578125" style="31" customWidth="1"/>
    <col min="17" max="17" width="15.7109375" style="31" customWidth="1"/>
    <col min="18" max="18" width="30.7109375" style="31" customWidth="1"/>
    <col min="19" max="19" width="2.7109375" style="31" customWidth="1"/>
    <col min="20" max="20" width="16.7109375" style="31" customWidth="1"/>
    <col min="21" max="21" width="2.7109375" style="31" customWidth="1"/>
    <col min="22" max="22" width="16.7109375" style="31" customWidth="1"/>
    <col min="23" max="23" width="2.7109375" style="31" customWidth="1"/>
    <col min="24" max="24" width="16.7109375" style="31" customWidth="1"/>
    <col min="25" max="25" width="2.7109375" style="31" customWidth="1"/>
    <col min="26" max="26" width="16.7109375" style="31" customWidth="1"/>
    <col min="27" max="27" width="2.7109375" style="31" customWidth="1"/>
    <col min="28" max="16384" width="9.140625" style="31"/>
  </cols>
  <sheetData>
    <row r="12" spans="2:29" x14ac:dyDescent="0.2">
      <c r="AC12" s="243"/>
    </row>
    <row r="13" spans="2:29" ht="31.5" customHeight="1" x14ac:dyDescent="0.2">
      <c r="B13" s="369" t="s">
        <v>452</v>
      </c>
      <c r="C13" s="369"/>
      <c r="D13" s="369"/>
      <c r="E13" s="369"/>
      <c r="F13" s="369"/>
      <c r="G13" s="369"/>
      <c r="H13" s="369"/>
      <c r="I13" s="369"/>
      <c r="J13" s="369"/>
      <c r="K13" s="369"/>
      <c r="L13" s="369"/>
      <c r="M13" s="369"/>
      <c r="N13" s="369"/>
      <c r="O13" s="369"/>
    </row>
    <row r="14" spans="2:29" ht="6" customHeight="1" x14ac:dyDescent="0.2"/>
    <row r="15" spans="2:29" ht="6" customHeight="1" x14ac:dyDescent="0.2"/>
    <row r="16" spans="2:29" ht="6" customHeight="1" x14ac:dyDescent="0.2"/>
    <row r="18" spans="2:28" ht="39" customHeight="1" x14ac:dyDescent="0.2"/>
    <row r="20" spans="2:28" x14ac:dyDescent="0.2">
      <c r="B20" s="31" t="s">
        <v>383</v>
      </c>
    </row>
    <row r="21" spans="2:28" x14ac:dyDescent="0.2">
      <c r="B21" s="39"/>
      <c r="E21" s="39"/>
      <c r="F21" s="39"/>
      <c r="I21" s="266"/>
      <c r="J21" s="266"/>
      <c r="M21" s="266"/>
      <c r="N21" s="266"/>
      <c r="P21" s="266"/>
      <c r="R21" s="266"/>
      <c r="T21" s="172"/>
    </row>
    <row r="22" spans="2:28" ht="26.25" customHeight="1" x14ac:dyDescent="0.2">
      <c r="B22" s="239" t="s">
        <v>384</v>
      </c>
      <c r="C22" s="230">
        <v>2006</v>
      </c>
      <c r="D22" s="230"/>
      <c r="E22" s="230">
        <v>2007</v>
      </c>
      <c r="F22" s="230"/>
      <c r="G22" s="230">
        <v>2008</v>
      </c>
      <c r="H22" s="230"/>
      <c r="I22" s="230">
        <v>2009</v>
      </c>
      <c r="J22" s="230"/>
      <c r="K22" s="230">
        <v>2010</v>
      </c>
      <c r="L22" s="230"/>
      <c r="M22" s="230">
        <v>2011</v>
      </c>
      <c r="N22" s="230"/>
      <c r="O22" s="230">
        <v>2012</v>
      </c>
      <c r="Q22" s="265" t="s">
        <v>387</v>
      </c>
      <c r="R22" s="37" t="s">
        <v>397</v>
      </c>
      <c r="T22" s="241" t="s">
        <v>2</v>
      </c>
      <c r="V22" s="245" t="s">
        <v>394</v>
      </c>
      <c r="X22" s="241" t="s">
        <v>395</v>
      </c>
      <c r="Z22" s="355" t="s">
        <v>396</v>
      </c>
      <c r="AB22" s="31" t="s">
        <v>7</v>
      </c>
    </row>
    <row r="23" spans="2:28" ht="26.25" customHeight="1" x14ac:dyDescent="0.2">
      <c r="B23" s="239"/>
      <c r="C23" s="230"/>
      <c r="D23" s="230"/>
      <c r="E23" s="230"/>
      <c r="F23" s="230"/>
      <c r="G23" s="230"/>
      <c r="H23" s="230"/>
      <c r="I23" s="230"/>
      <c r="J23" s="230"/>
      <c r="K23" s="230"/>
      <c r="L23" s="230"/>
      <c r="M23" s="230"/>
      <c r="N23" s="230"/>
      <c r="O23" s="230"/>
      <c r="Q23" s="265"/>
      <c r="R23" s="241" t="s">
        <v>400</v>
      </c>
      <c r="T23" s="361" t="s">
        <v>355</v>
      </c>
      <c r="V23" s="361" t="s">
        <v>355</v>
      </c>
      <c r="X23" s="361"/>
      <c r="Z23" s="361"/>
      <c r="AB23" s="153">
        <f>COUNTIF(T23:Z23,"X")</f>
        <v>2</v>
      </c>
    </row>
    <row r="24" spans="2:28" ht="14.25" customHeight="1" x14ac:dyDescent="0.2">
      <c r="B24" s="239"/>
      <c r="C24" s="230"/>
      <c r="D24" s="230"/>
      <c r="E24" s="230"/>
      <c r="F24" s="230"/>
      <c r="G24" s="230"/>
      <c r="H24" s="230"/>
      <c r="I24" s="230"/>
      <c r="J24" s="230"/>
      <c r="K24" s="230"/>
      <c r="L24" s="230"/>
      <c r="M24" s="230"/>
      <c r="N24" s="230"/>
      <c r="O24" s="230"/>
      <c r="Q24" s="265"/>
      <c r="T24" s="244" t="s">
        <v>398</v>
      </c>
      <c r="U24" s="65"/>
      <c r="V24" s="244" t="s">
        <v>398</v>
      </c>
      <c r="W24" s="65"/>
      <c r="X24" s="65" t="s">
        <v>398</v>
      </c>
      <c r="Y24" s="65"/>
      <c r="Z24" s="65" t="s">
        <v>398</v>
      </c>
    </row>
    <row r="25" spans="2:28" x14ac:dyDescent="0.2">
      <c r="B25" s="264"/>
      <c r="E25" s="174"/>
      <c r="F25" s="174"/>
      <c r="G25" s="174"/>
      <c r="H25" s="174"/>
      <c r="I25" s="174"/>
      <c r="J25" s="174"/>
      <c r="K25" s="174"/>
      <c r="L25" s="174"/>
      <c r="M25" s="174"/>
      <c r="N25" s="174"/>
      <c r="O25" s="65"/>
      <c r="P25" s="174"/>
      <c r="Q25" s="65"/>
      <c r="R25" s="223" t="s">
        <v>388</v>
      </c>
      <c r="S25" s="65"/>
      <c r="T25" s="356">
        <v>0.87519999999999998</v>
      </c>
      <c r="V25" s="356">
        <v>0.12479999999999999</v>
      </c>
      <c r="X25" s="356"/>
      <c r="Z25" s="356"/>
      <c r="AB25" s="242">
        <f>T25+V25+X25+Z25</f>
        <v>1</v>
      </c>
    </row>
    <row r="26" spans="2:28" x14ac:dyDescent="0.2">
      <c r="B26" s="389" t="s">
        <v>385</v>
      </c>
      <c r="C26" s="181">
        <f>'5. SM_Rev_Reqt'!G47</f>
        <v>0</v>
      </c>
      <c r="E26" s="181">
        <f>'5. SM_Rev_Reqt'!I47</f>
        <v>0</v>
      </c>
      <c r="F26" s="174"/>
      <c r="G26" s="181">
        <f>'5. SM_Rev_Reqt'!K47</f>
        <v>0</v>
      </c>
      <c r="H26" s="174"/>
      <c r="I26" s="181">
        <f>'5. SM_Rev_Reqt'!M47</f>
        <v>12693.822922646668</v>
      </c>
      <c r="J26" s="174"/>
      <c r="K26" s="181">
        <f>'5. SM_Rev_Reqt'!O47</f>
        <v>30665.185621666667</v>
      </c>
      <c r="L26" s="174"/>
      <c r="M26" s="181">
        <f>'5. SM_Rev_Reqt'!Q47</f>
        <v>35424.760520000003</v>
      </c>
      <c r="N26" s="174"/>
      <c r="O26" s="181">
        <f>'5. SM_Rev_Reqt'!S47</f>
        <v>29850.721475733335</v>
      </c>
      <c r="P26" s="222"/>
      <c r="Q26" s="174">
        <f>SUM(C26,E26,G26,I26,K26,M26,O26)</f>
        <v>108634.49054004668</v>
      </c>
      <c r="R26" s="223" t="s">
        <v>391</v>
      </c>
      <c r="S26" s="65"/>
      <c r="T26" s="174">
        <f>Q26*T25</f>
        <v>95076.906120648855</v>
      </c>
      <c r="V26" s="137">
        <f>Q26*V25</f>
        <v>13557.584419397825</v>
      </c>
      <c r="X26" s="137">
        <f>Q26*X25</f>
        <v>0</v>
      </c>
      <c r="Z26" s="137">
        <f>Q26*Z25</f>
        <v>0</v>
      </c>
    </row>
    <row r="27" spans="2:28" x14ac:dyDescent="0.2">
      <c r="B27" s="389"/>
      <c r="E27" s="174"/>
      <c r="F27" s="174"/>
      <c r="G27" s="174"/>
      <c r="H27" s="174"/>
      <c r="I27" s="174"/>
      <c r="J27" s="174"/>
      <c r="K27" s="174"/>
      <c r="L27" s="174"/>
      <c r="M27" s="174"/>
      <c r="N27" s="174"/>
      <c r="O27" s="65"/>
      <c r="P27" s="222"/>
      <c r="Q27" s="65"/>
      <c r="S27" s="65"/>
      <c r="T27" s="174"/>
    </row>
    <row r="28" spans="2:28" x14ac:dyDescent="0.2">
      <c r="B28" s="388" t="s">
        <v>386</v>
      </c>
      <c r="C28" s="226">
        <f>'5. SM_Rev_Reqt'!G58</f>
        <v>0</v>
      </c>
      <c r="D28" s="153"/>
      <c r="E28" s="232">
        <f>'5. SM_Rev_Reqt'!I58</f>
        <v>0</v>
      </c>
      <c r="F28" s="227"/>
      <c r="G28" s="232">
        <f>'5. SM_Rev_Reqt'!K58</f>
        <v>0</v>
      </c>
      <c r="H28" s="227"/>
      <c r="I28" s="232">
        <f>'5. SM_Rev_Reqt'!M58</f>
        <v>11157.766666666666</v>
      </c>
      <c r="J28" s="227"/>
      <c r="K28" s="232">
        <f>'5. SM_Rev_Reqt'!O58</f>
        <v>26307.9</v>
      </c>
      <c r="L28" s="228"/>
      <c r="M28" s="232">
        <f>'5. SM_Rev_Reqt'!Q58</f>
        <v>31219.666666666672</v>
      </c>
      <c r="N28" s="227"/>
      <c r="O28" s="232">
        <f>'5. SM_Rev_Reqt'!S58</f>
        <v>31381.066666666666</v>
      </c>
      <c r="P28" s="222"/>
      <c r="Q28" s="65"/>
      <c r="R28" s="221"/>
      <c r="S28" s="65"/>
      <c r="T28" s="174"/>
    </row>
    <row r="29" spans="2:28" ht="13.5" thickBot="1" x14ac:dyDescent="0.25">
      <c r="B29" s="388"/>
      <c r="C29" s="231">
        <f>IF(C28+C32=0,0,'9. SMFA_SMDR_SMIRR'!G32*C28/(C28+C32))</f>
        <v>0</v>
      </c>
      <c r="D29" s="153"/>
      <c r="E29" s="232">
        <f>IF(E28+E32=0,0,'9. SMFA_SMDR_SMIRR'!I32*E28/(E28+E32))</f>
        <v>0</v>
      </c>
      <c r="F29" s="227"/>
      <c r="G29" s="226">
        <f>IF(G28+G32=0,0,'9. SMFA_SMDR_SMIRR'!K32*G28/(G28+G32))</f>
        <v>0</v>
      </c>
      <c r="H29" s="227"/>
      <c r="I29" s="229">
        <f>IF(I28+I32=0,0,'9. SMFA_SMDR_SMIRR'!M32*I28/(I28+I32))</f>
        <v>12.536281995985799</v>
      </c>
      <c r="J29" s="227"/>
      <c r="K29" s="226">
        <f>IF(K28+K32=0,0,'9. SMFA_SMDR_SMIRR'!O32*K28/(K28+K32))</f>
        <v>280.80085729890305</v>
      </c>
      <c r="L29" s="228"/>
      <c r="M29" s="226">
        <f>IF(M28+M32=0,0,'9. SMFA_SMDR_SMIRR'!Q32*M28/(M28+M32))</f>
        <v>1019.2755281513905</v>
      </c>
      <c r="N29" s="227"/>
      <c r="O29" s="226">
        <f>IF(O28+O32=0,0,'9. SMFA_SMDR_SMIRR'!S32*O28/(O28+O32))</f>
        <v>1748.8104899999996</v>
      </c>
      <c r="P29" s="222"/>
      <c r="Q29" s="65"/>
      <c r="R29" s="221" t="str">
        <f>R25</f>
        <v>Weighted Meter Cost - Capital</v>
      </c>
      <c r="S29" s="65"/>
      <c r="T29" s="130">
        <f>T25</f>
        <v>0.87519999999999998</v>
      </c>
      <c r="U29" s="65"/>
      <c r="V29" s="130">
        <f>V25</f>
        <v>0.12479999999999999</v>
      </c>
      <c r="W29" s="65"/>
      <c r="X29" s="130">
        <f>X25</f>
        <v>0</v>
      </c>
      <c r="Y29" s="65"/>
      <c r="Z29" s="130">
        <f>Z25</f>
        <v>0</v>
      </c>
      <c r="AB29" s="242">
        <f>T29+V29+X29+Z29</f>
        <v>1</v>
      </c>
    </row>
    <row r="30" spans="2:28" ht="13.5" thickTop="1" x14ac:dyDescent="0.2">
      <c r="B30" s="267"/>
      <c r="C30" s="233">
        <f>C28+C29</f>
        <v>0</v>
      </c>
      <c r="D30" s="234"/>
      <c r="E30" s="235">
        <f>E28+E29</f>
        <v>0</v>
      </c>
      <c r="F30" s="236"/>
      <c r="G30" s="235">
        <f>G28+G29</f>
        <v>0</v>
      </c>
      <c r="H30" s="236"/>
      <c r="I30" s="233">
        <f>I28+I29</f>
        <v>11170.302948662653</v>
      </c>
      <c r="J30" s="236"/>
      <c r="K30" s="235">
        <f>K28+K29</f>
        <v>26588.700857298903</v>
      </c>
      <c r="L30" s="237"/>
      <c r="M30" s="235">
        <f>M28+M29</f>
        <v>32238.942194818061</v>
      </c>
      <c r="N30" s="236"/>
      <c r="O30" s="235">
        <f>O28+O29</f>
        <v>33129.877156666662</v>
      </c>
      <c r="P30" s="222"/>
      <c r="Q30" s="174">
        <f>SUM(C30,E30,G30,I30,K30,M30,O30)</f>
        <v>103127.82315744628</v>
      </c>
      <c r="R30" s="221" t="str">
        <f>R26</f>
        <v>Allocated per class</v>
      </c>
      <c r="S30" s="65"/>
      <c r="T30" s="174">
        <f>Q30*T29</f>
        <v>90257.470827396988</v>
      </c>
      <c r="V30" s="137">
        <f>Q30*V29</f>
        <v>12870.352330049296</v>
      </c>
      <c r="X30" s="137">
        <f>Q30*X29</f>
        <v>0</v>
      </c>
      <c r="Z30" s="137">
        <f>Q30*Z29</f>
        <v>0</v>
      </c>
    </row>
    <row r="31" spans="2:28" x14ac:dyDescent="0.2">
      <c r="B31" s="264"/>
      <c r="E31" s="174"/>
      <c r="F31" s="174"/>
      <c r="G31" s="174"/>
      <c r="H31" s="174"/>
      <c r="I31" s="174"/>
      <c r="J31" s="174"/>
      <c r="K31" s="65"/>
      <c r="L31" s="65"/>
      <c r="M31" s="174"/>
      <c r="N31" s="174"/>
      <c r="P31" s="222"/>
      <c r="Q31" s="65"/>
      <c r="R31" s="157"/>
      <c r="S31" s="65"/>
      <c r="T31" s="174"/>
    </row>
    <row r="32" spans="2:28" ht="24.75" customHeight="1" x14ac:dyDescent="0.2">
      <c r="B32" s="268" t="s">
        <v>389</v>
      </c>
      <c r="C32" s="232">
        <f>'5. SM_Rev_Reqt'!G50</f>
        <v>0</v>
      </c>
      <c r="D32" s="153"/>
      <c r="E32" s="232">
        <f>'5. SM_Rev_Reqt'!I50</f>
        <v>0</v>
      </c>
      <c r="F32" s="227"/>
      <c r="G32" s="232">
        <f>'5. SM_Rev_Reqt'!K50</f>
        <v>0</v>
      </c>
      <c r="H32" s="227"/>
      <c r="I32" s="232">
        <f>'5. SM_Rev_Reqt'!M50</f>
        <v>27633</v>
      </c>
      <c r="J32" s="153"/>
      <c r="K32" s="232">
        <f>'5. SM_Rev_Reqt'!O50</f>
        <v>3224</v>
      </c>
      <c r="L32" s="228"/>
      <c r="M32" s="232">
        <f>'5. SM_Rev_Reqt'!Q50</f>
        <v>4126</v>
      </c>
      <c r="N32" s="238"/>
      <c r="O32" s="232">
        <f>'5. SM_Rev_Reqt'!S50</f>
        <v>0</v>
      </c>
      <c r="P32" s="222"/>
      <c r="Q32" s="65"/>
      <c r="R32" s="390" t="s">
        <v>390</v>
      </c>
      <c r="S32" s="65"/>
      <c r="T32" s="174" t="s">
        <v>399</v>
      </c>
      <c r="U32" s="65"/>
      <c r="V32" s="65" t="s">
        <v>399</v>
      </c>
      <c r="W32" s="65"/>
      <c r="X32" s="65" t="s">
        <v>399</v>
      </c>
      <c r="Y32" s="65"/>
      <c r="Z32" s="65" t="s">
        <v>399</v>
      </c>
    </row>
    <row r="33" spans="2:28" ht="13.5" thickBot="1" x14ac:dyDescent="0.25">
      <c r="C33" s="229">
        <f>'9. SMFA_SMDR_SMIRR'!G32</f>
        <v>0</v>
      </c>
      <c r="D33" s="153"/>
      <c r="E33" s="226">
        <f>'9. SMFA_SMDR_SMIRR'!I32</f>
        <v>0</v>
      </c>
      <c r="F33" s="228"/>
      <c r="G33" s="226">
        <f>IF((G28+G32)=0,0,'9. SMFA_SMDR_SMIRR'!K32*G32/(G28+G32))</f>
        <v>0</v>
      </c>
      <c r="H33" s="228"/>
      <c r="I33" s="229">
        <f>IF((I28+I32)=0,0,'9. SMFA_SMDR_SMIRR'!M32*I32/(I28+I32))</f>
        <v>31.046990920680869</v>
      </c>
      <c r="J33" s="228"/>
      <c r="K33" s="229">
        <f>IF((K28+K32)=0,0,'9. SMFA_SMDR_SMIRR'!O32*K32/(K28+K32))</f>
        <v>34.411791284430279</v>
      </c>
      <c r="L33" s="228"/>
      <c r="M33" s="229">
        <f>IF((M28+M32)=0,0,'9. SMFA_SMDR_SMIRR'!Q32*M32/(M28+M32))</f>
        <v>134.70774284860943</v>
      </c>
      <c r="N33" s="228"/>
      <c r="O33" s="229">
        <f>IF((O28+O32)=0,0,'9. SMFA_SMDR_SMIRR'!S32*O32/(O28+O32))</f>
        <v>0</v>
      </c>
      <c r="P33" s="65"/>
      <c r="Q33" s="65"/>
      <c r="R33" s="391"/>
      <c r="S33" s="65"/>
      <c r="T33" s="357">
        <v>3326</v>
      </c>
      <c r="V33" s="357">
        <v>495</v>
      </c>
      <c r="X33" s="357"/>
      <c r="Z33" s="357"/>
    </row>
    <row r="34" spans="2:28" ht="13.5" thickTop="1" x14ac:dyDescent="0.2">
      <c r="C34" s="233">
        <f>C32+C33</f>
        <v>0</v>
      </c>
      <c r="D34" s="234"/>
      <c r="E34" s="235">
        <f>E32+E33</f>
        <v>0</v>
      </c>
      <c r="F34" s="236"/>
      <c r="G34" s="235">
        <f>G32+G33</f>
        <v>0</v>
      </c>
      <c r="H34" s="236"/>
      <c r="I34" s="233">
        <f>I32+I33</f>
        <v>27664.04699092068</v>
      </c>
      <c r="J34" s="236"/>
      <c r="K34" s="235">
        <f>K32+K33</f>
        <v>3258.4117912844304</v>
      </c>
      <c r="L34" s="237"/>
      <c r="M34" s="235">
        <f>M32+M33</f>
        <v>4260.7077428486091</v>
      </c>
      <c r="N34" s="236"/>
      <c r="O34" s="235">
        <f>O32+O33</f>
        <v>0</v>
      </c>
      <c r="P34" s="222"/>
      <c r="Q34" s="174">
        <f>SUM(C34,E34,G34,I34,K34,M34,O34)</f>
        <v>35183.166525053719</v>
      </c>
      <c r="R34" s="65" t="s">
        <v>391</v>
      </c>
      <c r="T34" s="181">
        <f>IF(SUM($T33,$V33,$X33,$Z33)=0,0,$Q34*T33/(SUM($T33,$V33,$X33,$Z33)))</f>
        <v>30625.284444472301</v>
      </c>
      <c r="V34" s="181">
        <f>IF(SUM($T33,$V33,$X33,$Z33)=0,0,$Q34*V33/(SUM($T33,$V33,$X33,$Z33)))</f>
        <v>4557.8820805814166</v>
      </c>
      <c r="X34" s="31">
        <f>IF(SUM($T33,$V33,$X33,$Z33)=0,0,$Q34*X33/(SUM($T33,$V33,$X33,$Z33)))</f>
        <v>0</v>
      </c>
      <c r="Z34" s="31">
        <f>IF(SUM($T33,$V33,$X33,$Z33)=0,0,$Q34*Z33/(SUM($T33,$V33,$X33,$Z33)))</f>
        <v>0</v>
      </c>
    </row>
    <row r="36" spans="2:28" x14ac:dyDescent="0.2">
      <c r="B36" s="31" t="s">
        <v>392</v>
      </c>
      <c r="Q36" s="137">
        <f>Q26+Q30+Q34</f>
        <v>246945.48022254667</v>
      </c>
      <c r="T36" s="137">
        <f>T26+T30+T34</f>
        <v>215959.66139251814</v>
      </c>
      <c r="V36" s="137">
        <f>V26+V30+V34</f>
        <v>30985.81883002854</v>
      </c>
      <c r="X36" s="137">
        <f>X26+X30+X34</f>
        <v>0</v>
      </c>
      <c r="Z36" s="137">
        <f>Z26+Z30+Z34</f>
        <v>0</v>
      </c>
      <c r="AB36" s="137">
        <f>Q36-SUM(T36,V36,X36,Z36)</f>
        <v>0</v>
      </c>
    </row>
    <row r="37" spans="2:28" x14ac:dyDescent="0.2">
      <c r="Q37" s="137"/>
    </row>
    <row r="38" spans="2:28" x14ac:dyDescent="0.2">
      <c r="R38" s="31" t="s">
        <v>401</v>
      </c>
      <c r="T38" s="113">
        <f>IF(T36=0,0,T36/SUM($T36,$V36,$X36,$Z36))</f>
        <v>0.874523644643732</v>
      </c>
      <c r="U38" s="157"/>
      <c r="V38" s="113">
        <f>IF(V36=0,0,V36/SUM($T36,$V36,$X36,$Z36))</f>
        <v>0.12547635535626808</v>
      </c>
      <c r="W38" s="157"/>
      <c r="X38" s="113">
        <f>IF(X36=0,0,X36/SUM($T36,$V36,$X36,$Z36))</f>
        <v>0</v>
      </c>
      <c r="Y38" s="157"/>
      <c r="Z38" s="113">
        <f>IF(Z36=0,0,Z36/SUM($T36,$V36,$X36,$Z36))</f>
        <v>0</v>
      </c>
      <c r="AB38" s="242">
        <f>T38+V38+X38+Z38</f>
        <v>1</v>
      </c>
    </row>
    <row r="40" spans="2:28" x14ac:dyDescent="0.2">
      <c r="B40" s="31" t="s">
        <v>393</v>
      </c>
      <c r="C40" s="137">
        <f>'5. SM_Rev_Reqt'!G68</f>
        <v>0</v>
      </c>
      <c r="E40" s="137">
        <f>'5. SM_Rev_Reqt'!I68</f>
        <v>0</v>
      </c>
      <c r="G40" s="137">
        <f>'5. SM_Rev_Reqt'!K68</f>
        <v>0</v>
      </c>
      <c r="I40" s="137">
        <f>'5. SM_Rev_Reqt'!M68</f>
        <v>1423.0821312746098</v>
      </c>
      <c r="K40" s="137">
        <f>'5. SM_Rev_Reqt'!O68</f>
        <v>1929.1543641790158</v>
      </c>
      <c r="M40" s="137">
        <f>'5. SM_Rev_Reqt'!Q68</f>
        <v>826.2885415069029</v>
      </c>
      <c r="O40" s="137">
        <f>'5. SM_Rev_Reqt'!S68</f>
        <v>1124.0432762107928</v>
      </c>
      <c r="Q40" s="174">
        <f>SUM(C40,E40,G40,I40,K40,M40,O40)</f>
        <v>5302.5683131713213</v>
      </c>
      <c r="T40" s="137">
        <f>Q40*T38</f>
        <v>4637.2213672069502</v>
      </c>
      <c r="V40" s="137">
        <f>Q40*V38</f>
        <v>665.34694596437168</v>
      </c>
      <c r="X40" s="137">
        <f>Q40*X38</f>
        <v>0</v>
      </c>
      <c r="Z40" s="137">
        <f>Q40*Z38</f>
        <v>0</v>
      </c>
    </row>
    <row r="42" spans="2:28" x14ac:dyDescent="0.2">
      <c r="B42" s="381" t="s">
        <v>402</v>
      </c>
      <c r="Q42" s="137">
        <f>Q36+Q40</f>
        <v>252248.048535718</v>
      </c>
      <c r="T42" s="137">
        <f>T36+T40</f>
        <v>220596.88275972509</v>
      </c>
      <c r="V42" s="137">
        <f>V36+V40</f>
        <v>31651.165775992911</v>
      </c>
      <c r="X42" s="137">
        <f>X40+X36</f>
        <v>0</v>
      </c>
      <c r="Z42" s="137">
        <f>Z40+Z36</f>
        <v>0</v>
      </c>
    </row>
    <row r="43" spans="2:28" x14ac:dyDescent="0.2">
      <c r="B43" s="381"/>
      <c r="R43" s="31" t="s">
        <v>403</v>
      </c>
      <c r="T43" s="113">
        <f>IF(SUM($T42,$V42,$X42,$Z42)=0,0,T42/(SUM($T42,$V42,$X42,$Z42)))</f>
        <v>0.87452364464373189</v>
      </c>
      <c r="U43" s="157"/>
      <c r="V43" s="113">
        <f>IF(SUM($T42,$V42,$X42,$Z42)=0,0,V42/(SUM($T42,$V42,$X42,$Z42)))</f>
        <v>0.12547635535626808</v>
      </c>
      <c r="W43" s="157"/>
      <c r="X43" s="113">
        <f>IF(SUM($T42,$V42,$X42,$Z42)=0,0,X42/(SUM($T42,$V42,$X42,$Z42)))</f>
        <v>0</v>
      </c>
      <c r="Y43" s="157"/>
      <c r="Z43" s="113">
        <f>IF(SUM($T42,$V42,$X42,$Z42)=0,0,Z42/(SUM($T42,$V42,$X42,$Z42)))</f>
        <v>0</v>
      </c>
    </row>
    <row r="44" spans="2:28" x14ac:dyDescent="0.2">
      <c r="B44" s="381"/>
      <c r="O44" s="10"/>
      <c r="Q44" s="273">
        <f>Q42-'9. SMFA_SMDR_SMIRR'!G61</f>
        <v>0</v>
      </c>
      <c r="R44" s="392" t="s">
        <v>404</v>
      </c>
      <c r="T44" s="113">
        <f>IF(T23="X",T43,0)</f>
        <v>0.87452364464373189</v>
      </c>
      <c r="U44" s="157"/>
      <c r="V44" s="113">
        <f>IF(V23="X",V43,0)</f>
        <v>0.12547635535626808</v>
      </c>
      <c r="W44" s="157"/>
      <c r="X44" s="113">
        <f>IF(X23="X",X43,0)</f>
        <v>0</v>
      </c>
      <c r="Y44" s="157"/>
      <c r="Z44" s="113">
        <f>IF(Z23="X",Z43,0)</f>
        <v>0</v>
      </c>
    </row>
    <row r="45" spans="2:28" x14ac:dyDescent="0.2">
      <c r="R45" s="392"/>
      <c r="T45" s="113">
        <f>IF(SUM($T44,$V44,$X44,$Z44)=0,0,T44/SUM($T44,$V44,$X44,$Z44))</f>
        <v>0.87452364464373189</v>
      </c>
      <c r="U45" s="157"/>
      <c r="V45" s="113">
        <f>IF(SUM($T44,$V44,$X44,$Z44)=0,0,V44/SUM($T44,$V44,$X44,$Z44))</f>
        <v>0.12547635535626808</v>
      </c>
      <c r="W45" s="157"/>
      <c r="X45" s="113">
        <f>IF(SUM($T44,$V44,$X44,$Z44)=0,0,X44/SUM($T44,$V44,$X44,$Z44))</f>
        <v>0</v>
      </c>
      <c r="Y45" s="157"/>
      <c r="Z45" s="113">
        <f>IF(SUM($T44,$V44,$X44,$Z44)=0,0,Z44/SUM($T44,$V44,$X44,$Z44))</f>
        <v>0</v>
      </c>
    </row>
    <row r="46" spans="2:28" x14ac:dyDescent="0.2">
      <c r="R46" s="269"/>
      <c r="T46" s="242"/>
      <c r="V46" s="242"/>
      <c r="X46" s="242"/>
      <c r="Z46" s="242"/>
    </row>
    <row r="47" spans="2:28" x14ac:dyDescent="0.2">
      <c r="T47" s="65" t="s">
        <v>398</v>
      </c>
      <c r="U47" s="65"/>
      <c r="V47" s="65" t="s">
        <v>398</v>
      </c>
      <c r="W47" s="65"/>
      <c r="X47" s="65" t="s">
        <v>398</v>
      </c>
      <c r="Y47" s="65"/>
      <c r="Z47" s="65" t="s">
        <v>398</v>
      </c>
    </row>
    <row r="48" spans="2:28" x14ac:dyDescent="0.2">
      <c r="O48" s="384" t="s">
        <v>406</v>
      </c>
      <c r="P48" s="384"/>
      <c r="Q48" s="384"/>
      <c r="R48" s="384"/>
      <c r="T48" s="356">
        <v>0.86939999999999995</v>
      </c>
      <c r="V48" s="356">
        <v>0.13059999999999999</v>
      </c>
      <c r="X48" s="356"/>
      <c r="Z48" s="358"/>
      <c r="AB48" s="242">
        <f>T48+V48+X48+Z48</f>
        <v>1</v>
      </c>
    </row>
    <row r="49" spans="2:28" x14ac:dyDescent="0.2">
      <c r="O49" s="385" t="s">
        <v>407</v>
      </c>
      <c r="P49" s="386"/>
      <c r="Q49" s="386"/>
      <c r="R49" s="386"/>
      <c r="T49" s="275">
        <f>IF(T23="X",T48,0)</f>
        <v>0.86939999999999995</v>
      </c>
      <c r="U49" s="65"/>
      <c r="V49" s="275">
        <f>IF(V23="X",V48,0)</f>
        <v>0.13059999999999999</v>
      </c>
      <c r="W49" s="65"/>
      <c r="X49" s="275">
        <f>IF(X23="X",X48,0)</f>
        <v>0</v>
      </c>
      <c r="Y49" s="65"/>
      <c r="Z49" s="275">
        <f>IF(Z23="X",Z48,0)</f>
        <v>0</v>
      </c>
      <c r="AB49" s="112">
        <f>T49+V49+X49+Z49</f>
        <v>1</v>
      </c>
    </row>
    <row r="50" spans="2:28" ht="13.5" thickBot="1" x14ac:dyDescent="0.25">
      <c r="O50" s="387"/>
      <c r="P50" s="387"/>
      <c r="Q50" s="387"/>
      <c r="R50" s="387"/>
      <c r="T50" s="276">
        <f>IF(T23="X",(100%-$AB49)/$AB$23,0)</f>
        <v>0</v>
      </c>
      <c r="U50" s="65"/>
      <c r="V50" s="276">
        <f>IF(V23="X",(100%-$AB49)/$AB$23,0)</f>
        <v>0</v>
      </c>
      <c r="W50" s="65"/>
      <c r="X50" s="276">
        <f>IF(X23="X",(100%-$AB49)/$AB$23,0)</f>
        <v>0</v>
      </c>
      <c r="Y50" s="65"/>
      <c r="Z50" s="276">
        <f>IF(Z23="X",(100%-$AB49)/$AB$23,0)</f>
        <v>0</v>
      </c>
    </row>
    <row r="51" spans="2:28" ht="13.5" thickTop="1" x14ac:dyDescent="0.2">
      <c r="O51" s="31" t="s">
        <v>7</v>
      </c>
      <c r="T51" s="157">
        <f>T48+T50</f>
        <v>0.86939999999999995</v>
      </c>
      <c r="U51" s="157"/>
      <c r="V51" s="157">
        <f>V48+V50</f>
        <v>0.13059999999999999</v>
      </c>
      <c r="W51" s="157"/>
      <c r="X51" s="157">
        <f>X48+X50</f>
        <v>0</v>
      </c>
      <c r="Y51" s="157"/>
      <c r="Z51" s="157">
        <f>Z48+Z50</f>
        <v>0</v>
      </c>
    </row>
    <row r="53" spans="2:28" x14ac:dyDescent="0.2">
      <c r="B53" s="31" t="s">
        <v>405</v>
      </c>
      <c r="Q53" s="137">
        <f>'9. SMFA_SMDR_SMIRR'!G63</f>
        <v>219242.91999999998</v>
      </c>
      <c r="T53" s="137">
        <f>Q53*T51</f>
        <v>190609.79464799998</v>
      </c>
      <c r="V53" s="137">
        <f>Q53*V51</f>
        <v>28633.125351999995</v>
      </c>
      <c r="X53" s="137">
        <f>Q53*X51</f>
        <v>0</v>
      </c>
      <c r="Z53" s="137">
        <f>Q53*Z51</f>
        <v>0</v>
      </c>
    </row>
    <row r="55" spans="2:28" x14ac:dyDescent="0.2">
      <c r="B55" s="31" t="s">
        <v>408</v>
      </c>
      <c r="Q55" s="137">
        <f>Q42-Q53</f>
        <v>33005.128535718017</v>
      </c>
      <c r="T55" s="137">
        <f>IF(T23="X",T42-T53,0)</f>
        <v>29987.088111725112</v>
      </c>
      <c r="V55" s="137">
        <f>IF(V23="X",V42-V53,0)</f>
        <v>3018.0404239929157</v>
      </c>
      <c r="X55" s="137">
        <f>IF(X23="X",X42-X53,0)</f>
        <v>0</v>
      </c>
      <c r="Z55" s="137">
        <f>IF(Z23="X",Z42-Z53,0)</f>
        <v>0</v>
      </c>
    </row>
    <row r="57" spans="2:28" x14ac:dyDescent="0.2">
      <c r="B57" s="31" t="s">
        <v>409</v>
      </c>
      <c r="Q57" s="31" t="s">
        <v>421</v>
      </c>
      <c r="T57" s="359">
        <f>T33</f>
        <v>3326</v>
      </c>
      <c r="U57" s="65"/>
      <c r="V57" s="359">
        <f>V33</f>
        <v>495</v>
      </c>
      <c r="W57" s="65"/>
      <c r="X57" s="359">
        <v>0</v>
      </c>
      <c r="Y57" s="65"/>
      <c r="Z57" s="359">
        <v>0</v>
      </c>
    </row>
    <row r="59" spans="2:28" x14ac:dyDescent="0.2">
      <c r="B59" s="31" t="s">
        <v>410</v>
      </c>
      <c r="Q59" s="360">
        <v>1</v>
      </c>
      <c r="R59" s="31" t="s">
        <v>411</v>
      </c>
      <c r="T59" s="65">
        <f>Q59</f>
        <v>1</v>
      </c>
      <c r="U59" s="65"/>
      <c r="V59" s="65">
        <f>Q59</f>
        <v>1</v>
      </c>
      <c r="W59" s="65"/>
      <c r="X59" s="65">
        <f>Q59</f>
        <v>1</v>
      </c>
      <c r="Y59" s="65"/>
      <c r="Z59" s="65">
        <f>Q59</f>
        <v>1</v>
      </c>
    </row>
    <row r="61" spans="2:28" x14ac:dyDescent="0.2">
      <c r="B61" s="31" t="s">
        <v>412</v>
      </c>
      <c r="T61" s="181">
        <f>IF(T23="X",IF(T57*T59=0,"",ROUND(T55/(T57*T59*12),2)),"")</f>
        <v>0.75</v>
      </c>
      <c r="V61" s="181">
        <f>IF(V23="X",IF(V57*V59=0,"",ROUND(V55/(V57*V59*12),2)),"")</f>
        <v>0.51</v>
      </c>
      <c r="X61" s="31" t="str">
        <f>IF(X23="X",IF(X57*X59=0,"",ROUND(X55/(X57*X59*12),2)),"")</f>
        <v/>
      </c>
      <c r="Z61" s="31" t="str">
        <f>IF(Z23="X",IF(Z57*Z59=0,"",ROUND(Z55/(Z57*Z59*12),2)),"")</f>
        <v/>
      </c>
    </row>
    <row r="62" spans="2:28" x14ac:dyDescent="0.2">
      <c r="X62" s="137"/>
    </row>
    <row r="63" spans="2:28" x14ac:dyDescent="0.2">
      <c r="B63" s="31" t="s">
        <v>413</v>
      </c>
      <c r="Q63" s="181">
        <f>T63+V63+X63+Z63</f>
        <v>32963.4</v>
      </c>
      <c r="T63" s="137">
        <f>IF(T23="X",IF(T57=0,0,T61*T59*T57*12),0)</f>
        <v>29934</v>
      </c>
      <c r="V63" s="137">
        <f>IF(V23="X",IF(V57=0,0,V61*V59*V57*12),0)</f>
        <v>3029.4</v>
      </c>
      <c r="X63" s="137">
        <f>IF(X23="X",IF(X57=0,0,X61*X59*X57*12),0)</f>
        <v>0</v>
      </c>
      <c r="Z63" s="137">
        <f>IF(Z23="X",IF(Z57=0,0,Z61*Z59*Z57*12),0)</f>
        <v>0</v>
      </c>
    </row>
    <row r="65" spans="17:17" x14ac:dyDescent="0.2">
      <c r="Q65" s="274">
        <f>Q55-Q63</f>
        <v>41.728535718015337</v>
      </c>
    </row>
  </sheetData>
  <sheetProtection password="C2FC" sheet="1" objects="1" scenarios="1"/>
  <mergeCells count="8">
    <mergeCell ref="B13:O13"/>
    <mergeCell ref="O48:R48"/>
    <mergeCell ref="O49:R50"/>
    <mergeCell ref="B28:B29"/>
    <mergeCell ref="B26:B27"/>
    <mergeCell ref="R32:R33"/>
    <mergeCell ref="B42:B44"/>
    <mergeCell ref="R44:R45"/>
  </mergeCells>
  <phoneticPr fontId="7" type="noConversion"/>
  <conditionalFormatting sqref="AB25 AB29 AB38 AB48:AB49">
    <cfRule type="cellIs" dxfId="1" priority="1" stopIfTrue="1" operator="notEqual">
      <formula>1</formula>
    </cfRule>
  </conditionalFormatting>
  <dataValidations count="1">
    <dataValidation type="list" allowBlank="1" showInputMessage="1" showErrorMessage="1" prompt="Check cell if SMDR and SMIRR will apply to class" sqref="T23 V23 X23 Z23">
      <formula1>" , X"</formula1>
    </dataValidation>
  </dataValidations>
  <pageMargins left="0.15748031496062992" right="0.15748031496062992" top="0.98425196850393704" bottom="0.98425196850393704" header="0.51181102362204722" footer="0.51181102362204722"/>
  <pageSetup paperSize="5" scale="66"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B12:AC58"/>
  <sheetViews>
    <sheetView showGridLines="0" topLeftCell="A4" zoomScale="85" zoomScaleNormal="85" workbookViewId="0">
      <selection activeCell="A56" sqref="A56"/>
    </sheetView>
  </sheetViews>
  <sheetFormatPr defaultColWidth="9.140625" defaultRowHeight="12.75" x14ac:dyDescent="0.2"/>
  <cols>
    <col min="1" max="1" width="2.85546875" style="31" customWidth="1"/>
    <col min="2" max="2" width="27.140625" style="31" customWidth="1"/>
    <col min="3" max="3" width="8.85546875" style="31" customWidth="1"/>
    <col min="4" max="4" width="2.5703125" style="31" customWidth="1"/>
    <col min="5" max="5" width="8.85546875" style="31" customWidth="1"/>
    <col min="6" max="6" width="2.5703125" style="31" customWidth="1"/>
    <col min="7" max="7" width="8.85546875" style="31" customWidth="1"/>
    <col min="8" max="8" width="2.5703125" style="31" customWidth="1"/>
    <col min="9" max="9" width="8.85546875" style="31" customWidth="1"/>
    <col min="10" max="10" width="2.5703125" style="31" customWidth="1"/>
    <col min="11" max="11" width="8.85546875" style="31" customWidth="1"/>
    <col min="12" max="12" width="2.5703125" style="31" customWidth="1"/>
    <col min="13" max="13" width="8.85546875" style="31" customWidth="1"/>
    <col min="14" max="14" width="2.5703125" style="31" customWidth="1"/>
    <col min="15" max="15" width="9.7109375" style="31" customWidth="1"/>
    <col min="16" max="16" width="3.42578125" style="31" customWidth="1"/>
    <col min="17" max="17" width="16.7109375" style="31" customWidth="1"/>
    <col min="18" max="18" width="30.7109375" style="31" customWidth="1"/>
    <col min="19" max="19" width="2.7109375" style="31" customWidth="1"/>
    <col min="20" max="20" width="16.7109375" style="31" customWidth="1"/>
    <col min="21" max="21" width="2.7109375" style="31" customWidth="1"/>
    <col min="22" max="22" width="16.85546875" style="31" customWidth="1"/>
    <col min="23" max="23" width="2.7109375" style="31" customWidth="1"/>
    <col min="24" max="24" width="16.85546875" style="31" customWidth="1"/>
    <col min="25" max="25" width="2.7109375" style="31" customWidth="1"/>
    <col min="26" max="26" width="16.7109375" style="31" customWidth="1"/>
    <col min="27" max="27" width="2.7109375" style="31" customWidth="1"/>
    <col min="28" max="28" width="9.7109375" style="31" customWidth="1"/>
    <col min="29" max="16384" width="9.140625" style="31"/>
  </cols>
  <sheetData>
    <row r="12" spans="2:29" x14ac:dyDescent="0.2">
      <c r="AC12" s="243"/>
    </row>
    <row r="13" spans="2:29" ht="29.25" customHeight="1" x14ac:dyDescent="0.2">
      <c r="B13" s="369" t="s">
        <v>451</v>
      </c>
      <c r="C13" s="369"/>
      <c r="D13" s="369"/>
      <c r="E13" s="369"/>
      <c r="F13" s="369"/>
      <c r="G13" s="369"/>
      <c r="H13" s="369"/>
      <c r="I13" s="369"/>
      <c r="J13" s="369"/>
      <c r="K13" s="369"/>
      <c r="L13" s="369"/>
      <c r="M13" s="369"/>
      <c r="N13" s="369"/>
      <c r="O13" s="369"/>
      <c r="P13" s="369"/>
      <c r="Q13" s="369"/>
      <c r="R13" s="369"/>
    </row>
    <row r="14" spans="2:29" ht="5.25" customHeight="1" x14ac:dyDescent="0.2"/>
    <row r="15" spans="2:29" ht="5.25" customHeight="1" x14ac:dyDescent="0.2"/>
    <row r="16" spans="2:29" ht="5.25" customHeight="1" x14ac:dyDescent="0.2"/>
    <row r="17" spans="2:28" ht="5.25" customHeight="1" x14ac:dyDescent="0.2"/>
    <row r="18" spans="2:28" ht="5.25" customHeight="1" x14ac:dyDescent="0.2"/>
    <row r="20" spans="2:28" x14ac:dyDescent="0.2">
      <c r="B20" s="31" t="s">
        <v>383</v>
      </c>
    </row>
    <row r="21" spans="2:28" x14ac:dyDescent="0.2">
      <c r="B21" s="39"/>
      <c r="E21" s="39"/>
      <c r="F21" s="39"/>
      <c r="I21" s="172"/>
      <c r="J21" s="172"/>
      <c r="M21" s="172"/>
      <c r="N21" s="172"/>
      <c r="P21" s="172"/>
      <c r="R21" s="172"/>
      <c r="T21" s="172"/>
    </row>
    <row r="22" spans="2:28" ht="26.25" customHeight="1" x14ac:dyDescent="0.2">
      <c r="B22" s="239" t="s">
        <v>414</v>
      </c>
      <c r="C22" s="248">
        <v>2006</v>
      </c>
      <c r="D22" s="248"/>
      <c r="E22" s="248">
        <v>2007</v>
      </c>
      <c r="F22" s="248"/>
      <c r="G22" s="248">
        <v>2008</v>
      </c>
      <c r="H22" s="248"/>
      <c r="I22" s="248">
        <v>2009</v>
      </c>
      <c r="J22" s="248"/>
      <c r="K22" s="248">
        <v>2010</v>
      </c>
      <c r="L22" s="248"/>
      <c r="M22" s="248">
        <v>2011</v>
      </c>
      <c r="N22" s="248"/>
      <c r="O22" s="248">
        <v>2012</v>
      </c>
      <c r="Q22" s="58">
        <v>2013</v>
      </c>
      <c r="R22" s="37" t="s">
        <v>397</v>
      </c>
      <c r="T22" s="241" t="s">
        <v>2</v>
      </c>
      <c r="V22" s="245" t="s">
        <v>394</v>
      </c>
      <c r="X22" s="241" t="s">
        <v>395</v>
      </c>
      <c r="Z22" s="282" t="str">
        <f>'10A. Cost_Alloc_SMDR'!Z22</f>
        <v>Other (please specify)</v>
      </c>
      <c r="AB22" s="31" t="s">
        <v>7</v>
      </c>
    </row>
    <row r="23" spans="2:28" ht="26.25" customHeight="1" x14ac:dyDescent="0.2">
      <c r="B23" s="239"/>
      <c r="C23" s="248"/>
      <c r="D23" s="248"/>
      <c r="E23" s="248"/>
      <c r="F23" s="248"/>
      <c r="G23" s="248"/>
      <c r="H23" s="248"/>
      <c r="I23" s="248"/>
      <c r="J23" s="248"/>
      <c r="K23" s="248"/>
      <c r="L23" s="248"/>
      <c r="M23" s="248"/>
      <c r="N23" s="248"/>
      <c r="O23" s="248"/>
      <c r="Q23" s="58"/>
      <c r="R23" s="241" t="s">
        <v>400</v>
      </c>
      <c r="T23" s="261" t="str">
        <f>IF('10A. Cost_Alloc_SMDR'!T23="X","X","")</f>
        <v>X</v>
      </c>
      <c r="V23" s="261" t="str">
        <f>IF('10A. Cost_Alloc_SMDR'!V23="X","X","")</f>
        <v>X</v>
      </c>
      <c r="W23" s="1"/>
      <c r="X23" s="261" t="str">
        <f>IF('10A. Cost_Alloc_SMDR'!X23="X","X","")</f>
        <v/>
      </c>
      <c r="Y23" s="1"/>
      <c r="Z23" s="261" t="str">
        <f>IF('10A. Cost_Alloc_SMDR'!Z23="X","X","")</f>
        <v/>
      </c>
      <c r="AB23" s="153">
        <f>COUNTIF(T23:Z23,"X")</f>
        <v>2</v>
      </c>
    </row>
    <row r="24" spans="2:28" ht="14.25" customHeight="1" x14ac:dyDescent="0.2">
      <c r="B24" s="239"/>
      <c r="C24" s="248"/>
      <c r="D24" s="248"/>
      <c r="E24" s="248"/>
      <c r="F24" s="248"/>
      <c r="G24" s="248"/>
      <c r="H24" s="248"/>
      <c r="I24" s="248"/>
      <c r="J24" s="248"/>
      <c r="K24" s="248"/>
      <c r="L24" s="248"/>
      <c r="M24" s="248"/>
      <c r="N24" s="248"/>
      <c r="O24" s="248"/>
      <c r="Q24" s="58"/>
      <c r="T24" s="244" t="s">
        <v>398</v>
      </c>
      <c r="U24" s="65"/>
      <c r="V24" s="244" t="s">
        <v>398</v>
      </c>
      <c r="W24" s="65"/>
      <c r="X24" s="65" t="s">
        <v>398</v>
      </c>
      <c r="Y24" s="65"/>
      <c r="Z24" s="65" t="s">
        <v>398</v>
      </c>
    </row>
    <row r="25" spans="2:28" x14ac:dyDescent="0.2">
      <c r="B25" s="103"/>
      <c r="C25" s="249"/>
      <c r="D25" s="249"/>
      <c r="E25" s="250"/>
      <c r="F25" s="250"/>
      <c r="G25" s="250"/>
      <c r="H25" s="250"/>
      <c r="I25" s="250"/>
      <c r="J25" s="250"/>
      <c r="K25" s="250"/>
      <c r="L25" s="250"/>
      <c r="M25" s="250"/>
      <c r="N25" s="250"/>
      <c r="O25" s="251"/>
      <c r="P25" s="174"/>
      <c r="Q25" s="65"/>
      <c r="R25" s="223" t="s">
        <v>388</v>
      </c>
      <c r="S25" s="65"/>
      <c r="T25" s="278">
        <f>'10A. Cost_Alloc_SMDR'!T25</f>
        <v>0.87519999999999998</v>
      </c>
      <c r="U25" s="1"/>
      <c r="V25" s="278">
        <f>'10A. Cost_Alloc_SMDR'!V25</f>
        <v>0.12479999999999999</v>
      </c>
      <c r="W25" s="1"/>
      <c r="X25" s="278">
        <f>'10A. Cost_Alloc_SMDR'!X25</f>
        <v>0</v>
      </c>
      <c r="Y25" s="1"/>
      <c r="Z25" s="278">
        <f>'10A. Cost_Alloc_SMDR'!Z25</f>
        <v>0</v>
      </c>
      <c r="AB25" s="246">
        <f>T25+V25+X25+Z25</f>
        <v>1</v>
      </c>
    </row>
    <row r="26" spans="2:28" x14ac:dyDescent="0.2">
      <c r="B26" s="389" t="s">
        <v>385</v>
      </c>
      <c r="C26" s="252">
        <f>'5. SM_Rev_Reqt'!G47</f>
        <v>0</v>
      </c>
      <c r="D26" s="249"/>
      <c r="E26" s="252">
        <f>'5. SM_Rev_Reqt'!I47</f>
        <v>0</v>
      </c>
      <c r="F26" s="250"/>
      <c r="G26" s="252">
        <f>'5. SM_Rev_Reqt'!K47</f>
        <v>0</v>
      </c>
      <c r="H26" s="250"/>
      <c r="I26" s="252">
        <f>'5. SM_Rev_Reqt'!M47</f>
        <v>12693.822922646668</v>
      </c>
      <c r="J26" s="250"/>
      <c r="K26" s="252">
        <f>'5. SM_Rev_Reqt'!O47</f>
        <v>30665.185621666667</v>
      </c>
      <c r="L26" s="250"/>
      <c r="M26" s="252">
        <f>'5. SM_Rev_Reqt'!Q47</f>
        <v>35424.760520000003</v>
      </c>
      <c r="N26" s="250"/>
      <c r="O26" s="252">
        <f>'5. SM_Rev_Reqt'!S47</f>
        <v>29850.721475733335</v>
      </c>
      <c r="P26" s="222"/>
      <c r="Q26" s="174">
        <f>'5. SM_Rev_Reqt'!U47</f>
        <v>25813.151024000006</v>
      </c>
      <c r="R26" s="223" t="s">
        <v>391</v>
      </c>
      <c r="S26" s="65"/>
      <c r="T26" s="174">
        <f>Q26*T25</f>
        <v>22591.669776204806</v>
      </c>
      <c r="V26" s="137">
        <f>Q26*V25</f>
        <v>3221.4812477952005</v>
      </c>
      <c r="X26" s="137">
        <f>Q26*X25</f>
        <v>0</v>
      </c>
      <c r="Z26" s="137">
        <f>Q26*Z25</f>
        <v>0</v>
      </c>
    </row>
    <row r="27" spans="2:28" x14ac:dyDescent="0.2">
      <c r="B27" s="389"/>
      <c r="C27" s="249"/>
      <c r="D27" s="249"/>
      <c r="E27" s="250"/>
      <c r="F27" s="250"/>
      <c r="G27" s="250"/>
      <c r="H27" s="250"/>
      <c r="I27" s="250"/>
      <c r="J27" s="250"/>
      <c r="K27" s="250"/>
      <c r="L27" s="250"/>
      <c r="M27" s="250"/>
      <c r="N27" s="250"/>
      <c r="O27" s="251"/>
      <c r="P27" s="222"/>
      <c r="Q27" s="65"/>
      <c r="S27" s="65"/>
      <c r="T27" s="174"/>
    </row>
    <row r="28" spans="2:28" x14ac:dyDescent="0.2">
      <c r="B28" s="388" t="s">
        <v>418</v>
      </c>
      <c r="C28" s="253">
        <f>'5. SM_Rev_Reqt'!G58</f>
        <v>0</v>
      </c>
      <c r="D28" s="249"/>
      <c r="E28" s="252">
        <f>'5. SM_Rev_Reqt'!I58</f>
        <v>0</v>
      </c>
      <c r="F28" s="250"/>
      <c r="G28" s="252">
        <f>'5. SM_Rev_Reqt'!K58</f>
        <v>0</v>
      </c>
      <c r="H28" s="250"/>
      <c r="I28" s="252">
        <f>'5. SM_Rev_Reqt'!M58</f>
        <v>11157.766666666666</v>
      </c>
      <c r="J28" s="250"/>
      <c r="K28" s="252">
        <f>'5. SM_Rev_Reqt'!O58</f>
        <v>26307.9</v>
      </c>
      <c r="L28" s="251"/>
      <c r="M28" s="252">
        <f>'5. SM_Rev_Reqt'!Q58</f>
        <v>31219.666666666672</v>
      </c>
      <c r="N28" s="250"/>
      <c r="O28" s="252">
        <f>'5. SM_Rev_Reqt'!S58</f>
        <v>31381.066666666666</v>
      </c>
      <c r="P28" s="222"/>
      <c r="Q28" s="65"/>
      <c r="R28" s="221"/>
      <c r="S28" s="65"/>
      <c r="T28" s="174"/>
    </row>
    <row r="29" spans="2:28" x14ac:dyDescent="0.2">
      <c r="B29" s="388"/>
      <c r="C29" s="256">
        <f>IF(C28+C32=0,0,'9. SMFA_SMDR_SMIRR'!G32*C28/(C28+C32))</f>
        <v>0</v>
      </c>
      <c r="D29" s="257"/>
      <c r="E29" s="256">
        <f>IF(E28+E32=0,0,'9. SMFA_SMDR_SMIRR'!I32*E28/(E28+E32))</f>
        <v>0</v>
      </c>
      <c r="F29" s="258"/>
      <c r="G29" s="255">
        <f>IF(G28+G32=0,0,'9. SMFA_SMDR_SMIRR'!K32*G28/(G28+G32))</f>
        <v>0</v>
      </c>
      <c r="H29" s="258"/>
      <c r="I29" s="255">
        <f>IF(I28+I32=0,0,'9. SMFA_SMDR_SMIRR'!M32*I28/(I28+I32))</f>
        <v>12.536281995985799</v>
      </c>
      <c r="J29" s="258"/>
      <c r="K29" s="255">
        <f>IF(K28+K32=0,0,'9. SMFA_SMDR_SMIRR'!O32*K28/(K28+K32))</f>
        <v>280.80085729890305</v>
      </c>
      <c r="L29" s="259"/>
      <c r="M29" s="255">
        <f>IF(M28+M32=0,0,'9. SMFA_SMDR_SMIRR'!Q32*M28/(M28+M32))</f>
        <v>1019.2755281513905</v>
      </c>
      <c r="N29" s="258"/>
      <c r="O29" s="255">
        <f>IF(O28+O32=0,0,'9. SMFA_SMDR_SMIRR'!S32*O28/(O28+O32))</f>
        <v>1748.8104899999996</v>
      </c>
      <c r="P29" s="222"/>
      <c r="Q29" s="65"/>
      <c r="R29" s="221" t="str">
        <f>R25</f>
        <v>Weighted Meter Cost - Capital</v>
      </c>
      <c r="S29" s="65"/>
      <c r="T29" s="221">
        <f>T25</f>
        <v>0.87519999999999998</v>
      </c>
      <c r="U29" s="65"/>
      <c r="V29" s="221">
        <f>V25</f>
        <v>0.12479999999999999</v>
      </c>
      <c r="W29" s="65"/>
      <c r="X29" s="221">
        <f>X25</f>
        <v>0</v>
      </c>
      <c r="Y29" s="65"/>
      <c r="Z29" s="221">
        <f>Z25</f>
        <v>0</v>
      </c>
      <c r="AB29" s="246">
        <f>T29+V29+X29+Z29</f>
        <v>1</v>
      </c>
    </row>
    <row r="30" spans="2:28" x14ac:dyDescent="0.2">
      <c r="B30" s="224"/>
      <c r="C30" s="255">
        <f>C28+C29</f>
        <v>0</v>
      </c>
      <c r="D30" s="257"/>
      <c r="E30" s="255">
        <f>E28+E29</f>
        <v>0</v>
      </c>
      <c r="F30" s="258"/>
      <c r="G30" s="255">
        <f>G28+G29</f>
        <v>0</v>
      </c>
      <c r="H30" s="258"/>
      <c r="I30" s="255">
        <f>I28+I29</f>
        <v>11170.302948662653</v>
      </c>
      <c r="J30" s="258"/>
      <c r="K30" s="255">
        <f>K28+K29</f>
        <v>26588.700857298903</v>
      </c>
      <c r="L30" s="259"/>
      <c r="M30" s="255">
        <f>M28+M29</f>
        <v>32238.942194818061</v>
      </c>
      <c r="N30" s="258"/>
      <c r="O30" s="255">
        <f>O28+O29</f>
        <v>33129.877156666662</v>
      </c>
      <c r="P30" s="222"/>
      <c r="Q30" s="174">
        <f>'5. SM_Rev_Reqt'!U58</f>
        <v>31381.066666666666</v>
      </c>
      <c r="R30" s="221" t="str">
        <f>R26</f>
        <v>Allocated per class</v>
      </c>
      <c r="S30" s="65"/>
      <c r="T30" s="174">
        <f>Q30*T29</f>
        <v>27464.709546666665</v>
      </c>
      <c r="V30" s="137">
        <f>Q30*V29</f>
        <v>3916.3571199999997</v>
      </c>
      <c r="X30" s="137">
        <f>Q30*X29</f>
        <v>0</v>
      </c>
      <c r="Z30" s="137">
        <f>Q30*Z29</f>
        <v>0</v>
      </c>
    </row>
    <row r="31" spans="2:28" x14ac:dyDescent="0.2">
      <c r="B31" s="103"/>
      <c r="C31" s="257"/>
      <c r="D31" s="257"/>
      <c r="E31" s="258"/>
      <c r="F31" s="258"/>
      <c r="G31" s="258"/>
      <c r="H31" s="258"/>
      <c r="I31" s="258"/>
      <c r="J31" s="258"/>
      <c r="K31" s="259"/>
      <c r="L31" s="259"/>
      <c r="M31" s="258"/>
      <c r="N31" s="258"/>
      <c r="O31" s="257"/>
      <c r="P31" s="222"/>
      <c r="Q31" s="65"/>
      <c r="R31" s="157"/>
      <c r="S31" s="65"/>
      <c r="T31" s="174"/>
    </row>
    <row r="32" spans="2:28" ht="24.75" customHeight="1" x14ac:dyDescent="0.2">
      <c r="B32" s="225" t="s">
        <v>308</v>
      </c>
      <c r="C32" s="256">
        <f>'5. SM_Rev_Reqt'!G50</f>
        <v>0</v>
      </c>
      <c r="D32" s="257"/>
      <c r="E32" s="256">
        <f>'5. SM_Rev_Reqt'!I50</f>
        <v>0</v>
      </c>
      <c r="F32" s="258"/>
      <c r="G32" s="256">
        <f>'5. SM_Rev_Reqt'!K50</f>
        <v>0</v>
      </c>
      <c r="H32" s="258"/>
      <c r="I32" s="256">
        <f>'5. SM_Rev_Reqt'!M50</f>
        <v>27633</v>
      </c>
      <c r="J32" s="257"/>
      <c r="K32" s="256">
        <f>'5. SM_Rev_Reqt'!O50</f>
        <v>3224</v>
      </c>
      <c r="L32" s="259"/>
      <c r="M32" s="256">
        <f>'5. SM_Rev_Reqt'!Q50</f>
        <v>4126</v>
      </c>
      <c r="N32" s="260"/>
      <c r="O32" s="256">
        <f>'5. SM_Rev_Reqt'!S50</f>
        <v>0</v>
      </c>
      <c r="P32" s="222"/>
      <c r="Q32" s="263">
        <f>'5. SM_Rev_Reqt'!U50</f>
        <v>0</v>
      </c>
      <c r="R32" s="390" t="s">
        <v>390</v>
      </c>
      <c r="S32" s="65"/>
      <c r="T32" s="174" t="s">
        <v>399</v>
      </c>
      <c r="U32" s="65"/>
      <c r="V32" s="65" t="s">
        <v>399</v>
      </c>
      <c r="W32" s="65"/>
      <c r="X32" s="65" t="s">
        <v>399</v>
      </c>
      <c r="Y32" s="65"/>
      <c r="Z32" s="65" t="s">
        <v>399</v>
      </c>
    </row>
    <row r="33" spans="2:28" x14ac:dyDescent="0.2">
      <c r="C33" s="255">
        <f>'9. SMFA_SMDR_SMIRR'!G32</f>
        <v>0</v>
      </c>
      <c r="D33" s="257"/>
      <c r="E33" s="255">
        <f>'9. SMFA_SMDR_SMIRR'!I32</f>
        <v>0</v>
      </c>
      <c r="F33" s="259"/>
      <c r="G33" s="255">
        <f>'9. SMFA_SMDR_SMIRR'!K32</f>
        <v>0</v>
      </c>
      <c r="H33" s="259"/>
      <c r="I33" s="255">
        <f>'9. SMFA_SMDR_SMIRR'!M32</f>
        <v>43.583272916666665</v>
      </c>
      <c r="J33" s="259"/>
      <c r="K33" s="255">
        <f>'9. SMFA_SMDR_SMIRR'!O32</f>
        <v>315.2126485833333</v>
      </c>
      <c r="L33" s="259"/>
      <c r="M33" s="255">
        <f>'9. SMFA_SMDR_SMIRR'!Q32</f>
        <v>1153.9832709999998</v>
      </c>
      <c r="N33" s="259"/>
      <c r="O33" s="255">
        <f>'9. SMFA_SMDR_SMIRR'!S32</f>
        <v>1748.8104899999996</v>
      </c>
      <c r="P33" s="65"/>
      <c r="Q33" s="65"/>
      <c r="R33" s="391"/>
      <c r="S33" s="65"/>
      <c r="T33" s="280">
        <f>'10A. Cost_Alloc_SMDR'!T33</f>
        <v>3326</v>
      </c>
      <c r="U33" s="280"/>
      <c r="V33" s="280">
        <f>'10A. Cost_Alloc_SMDR'!V33</f>
        <v>495</v>
      </c>
      <c r="W33" s="280"/>
      <c r="X33" s="280">
        <f>'10A. Cost_Alloc_SMDR'!X33</f>
        <v>0</v>
      </c>
      <c r="Y33" s="280"/>
      <c r="Z33" s="280">
        <f>'10A. Cost_Alloc_SMDR'!Z33</f>
        <v>0</v>
      </c>
    </row>
    <row r="34" spans="2:28" x14ac:dyDescent="0.2">
      <c r="C34" s="253">
        <f>C32+C33</f>
        <v>0</v>
      </c>
      <c r="D34" s="249"/>
      <c r="E34" s="255">
        <f>E32+E33</f>
        <v>0</v>
      </c>
      <c r="F34" s="250"/>
      <c r="G34" s="255">
        <f>G32+G33</f>
        <v>0</v>
      </c>
      <c r="H34" s="250"/>
      <c r="I34" s="253">
        <f>I32+I33</f>
        <v>27676.583272916665</v>
      </c>
      <c r="J34" s="250"/>
      <c r="K34" s="255">
        <f>K32+K33</f>
        <v>3539.2126485833332</v>
      </c>
      <c r="L34" s="251"/>
      <c r="M34" s="255">
        <f>M32+M33</f>
        <v>5279.9832710000001</v>
      </c>
      <c r="N34" s="250"/>
      <c r="O34" s="255">
        <f>O32+O33</f>
        <v>1748.8104899999996</v>
      </c>
      <c r="P34" s="222"/>
      <c r="Q34" s="277">
        <f>SUM(T34,V34,X34,Z34)</f>
        <v>0</v>
      </c>
      <c r="R34" s="65" t="s">
        <v>391</v>
      </c>
      <c r="T34" s="175">
        <f>IF(SUM($T33,$V33,$X33,$Z33)=0,0,$Q32*T33/(SUM($T33,$V33,$X33,$Z33)))</f>
        <v>0</v>
      </c>
      <c r="U34" s="65"/>
      <c r="V34" s="175">
        <f>IF(SUM($T33,$V33,$X33,$Z33)=0,0,$Q32*V33/(SUM($T33,$V33,$X33,$Z33)))</f>
        <v>0</v>
      </c>
      <c r="W34" s="65"/>
      <c r="X34" s="175">
        <f>IF(SUM($T33,$V33,$X33,$Z33)=0,0,$Q32*X33/(SUM($T33,$V33,$X33,$Z33)))</f>
        <v>0</v>
      </c>
      <c r="Y34" s="65"/>
      <c r="Z34" s="175">
        <f>IF(SUM($T33,$V33,$X33,$Z33)=0,0,$Q32*Z33/(SUM($T33,$V33,$X33,$Z33)))</f>
        <v>0</v>
      </c>
    </row>
    <row r="35" spans="2:28" x14ac:dyDescent="0.2">
      <c r="C35" s="249"/>
      <c r="D35" s="249"/>
      <c r="E35" s="249"/>
      <c r="F35" s="249"/>
      <c r="G35" s="249"/>
      <c r="H35" s="249"/>
      <c r="I35" s="249"/>
      <c r="J35" s="249"/>
      <c r="K35" s="249"/>
      <c r="L35" s="249"/>
      <c r="M35" s="249"/>
      <c r="N35" s="249"/>
      <c r="O35" s="249"/>
    </row>
    <row r="36" spans="2:28" x14ac:dyDescent="0.2">
      <c r="B36" s="31" t="s">
        <v>392</v>
      </c>
      <c r="C36" s="249"/>
      <c r="D36" s="249"/>
      <c r="E36" s="249"/>
      <c r="F36" s="249"/>
      <c r="G36" s="249"/>
      <c r="H36" s="249"/>
      <c r="I36" s="249"/>
      <c r="J36" s="249"/>
      <c r="K36" s="249"/>
      <c r="L36" s="249"/>
      <c r="M36" s="249"/>
      <c r="N36" s="249"/>
      <c r="O36" s="249"/>
      <c r="Q36" s="137">
        <f>Q26+Q30+Q32</f>
        <v>57194.217690666672</v>
      </c>
      <c r="T36" s="137">
        <f>T26+T30+T34</f>
        <v>50056.379322871471</v>
      </c>
      <c r="V36" s="137">
        <f>V26+V30+V34</f>
        <v>7137.8383677952006</v>
      </c>
      <c r="X36" s="137">
        <f>X26+X30+X34</f>
        <v>0</v>
      </c>
      <c r="Z36" s="137">
        <f>Z26+Z30+Z34</f>
        <v>0</v>
      </c>
      <c r="AB36" s="137">
        <f>Q36-SUM(T36,V36,X36,Z36)</f>
        <v>0</v>
      </c>
    </row>
    <row r="37" spans="2:28" x14ac:dyDescent="0.2">
      <c r="C37" s="249"/>
      <c r="D37" s="249"/>
      <c r="E37" s="249"/>
      <c r="F37" s="249"/>
      <c r="G37" s="249"/>
      <c r="H37" s="249"/>
      <c r="I37" s="249"/>
      <c r="J37" s="249"/>
      <c r="K37" s="249"/>
      <c r="L37" s="249"/>
      <c r="M37" s="249"/>
      <c r="N37" s="249"/>
      <c r="O37" s="249"/>
      <c r="Q37" s="137"/>
    </row>
    <row r="38" spans="2:28" x14ac:dyDescent="0.2">
      <c r="C38" s="249"/>
      <c r="D38" s="249"/>
      <c r="E38" s="249"/>
      <c r="F38" s="249"/>
      <c r="G38" s="249"/>
      <c r="H38" s="249"/>
      <c r="I38" s="249"/>
      <c r="J38" s="249"/>
      <c r="K38" s="249"/>
      <c r="L38" s="249"/>
      <c r="M38" s="249"/>
      <c r="N38" s="249"/>
      <c r="O38" s="249"/>
      <c r="R38" s="31" t="s">
        <v>401</v>
      </c>
      <c r="T38" s="221">
        <f>IF(T36=0,0,T36/SUM($T36,$V36,$X36,$Z36))</f>
        <v>0.87519999999999998</v>
      </c>
      <c r="U38" s="65"/>
      <c r="V38" s="221">
        <f>IF(V36=0,0,V36/SUM($T36,$V36,$X36,$Z36))</f>
        <v>0.12479999999999999</v>
      </c>
      <c r="W38" s="65"/>
      <c r="X38" s="221">
        <f>IF(X36=0,0,X36/SUM($T36,$V36,$X36,$Z36))</f>
        <v>0</v>
      </c>
      <c r="Y38" s="65"/>
      <c r="Z38" s="221">
        <f>IF(Z36=0,0,Z36/SUM($T36,$V36,$X36,$Z36))</f>
        <v>0</v>
      </c>
      <c r="AB38" s="246">
        <f>T38+V38+X38+Z38</f>
        <v>1</v>
      </c>
    </row>
    <row r="39" spans="2:28" x14ac:dyDescent="0.2">
      <c r="C39" s="249"/>
      <c r="D39" s="249"/>
      <c r="E39" s="249"/>
      <c r="F39" s="249"/>
      <c r="G39" s="249"/>
      <c r="H39" s="249"/>
      <c r="I39" s="249"/>
      <c r="J39" s="249"/>
      <c r="K39" s="249"/>
      <c r="L39" s="249"/>
      <c r="M39" s="249"/>
      <c r="N39" s="249"/>
      <c r="O39" s="249"/>
    </row>
    <row r="40" spans="2:28" x14ac:dyDescent="0.2">
      <c r="B40" s="31" t="s">
        <v>393</v>
      </c>
      <c r="C40" s="253">
        <f>'5. SM_Rev_Reqt'!G68</f>
        <v>0</v>
      </c>
      <c r="D40" s="249"/>
      <c r="E40" s="253">
        <f>'5. SM_Rev_Reqt'!I68</f>
        <v>0</v>
      </c>
      <c r="F40" s="249"/>
      <c r="G40" s="253">
        <f>'5. SM_Rev_Reqt'!K68</f>
        <v>0</v>
      </c>
      <c r="H40" s="249"/>
      <c r="I40" s="253">
        <f>'5. SM_Rev_Reqt'!M68</f>
        <v>1423.0821312746098</v>
      </c>
      <c r="J40" s="249"/>
      <c r="K40" s="253">
        <f>'5. SM_Rev_Reqt'!O68</f>
        <v>1929.1543641790158</v>
      </c>
      <c r="L40" s="249"/>
      <c r="M40" s="253">
        <f>'5. SM_Rev_Reqt'!Q68</f>
        <v>826.2885415069029</v>
      </c>
      <c r="N40" s="249"/>
      <c r="O40" s="253">
        <f>'5. SM_Rev_Reqt'!S68</f>
        <v>1124.0432762107928</v>
      </c>
      <c r="Q40" s="174">
        <f>'5. SM_Rev_Reqt'!U68</f>
        <v>1833.8523229748841</v>
      </c>
      <c r="T40" s="137">
        <f>Q40*T38</f>
        <v>1604.9875530676186</v>
      </c>
      <c r="V40" s="137">
        <f>Q40*V38</f>
        <v>228.86476990726553</v>
      </c>
      <c r="X40" s="137">
        <f>Q40*X38</f>
        <v>0</v>
      </c>
      <c r="Z40" s="137">
        <f>Q40*Z38</f>
        <v>0</v>
      </c>
    </row>
    <row r="41" spans="2:28" x14ac:dyDescent="0.2">
      <c r="C41" s="249"/>
      <c r="D41" s="249"/>
      <c r="E41" s="249"/>
      <c r="F41" s="249"/>
      <c r="G41" s="249"/>
      <c r="H41" s="249"/>
      <c r="I41" s="249"/>
      <c r="J41" s="249"/>
      <c r="K41" s="249"/>
      <c r="L41" s="249"/>
      <c r="M41" s="249"/>
      <c r="N41" s="249"/>
      <c r="O41" s="249"/>
    </row>
    <row r="42" spans="2:28" x14ac:dyDescent="0.2">
      <c r="B42" s="384" t="s">
        <v>419</v>
      </c>
      <c r="C42" s="249"/>
      <c r="D42" s="249"/>
      <c r="E42" s="249"/>
      <c r="F42" s="249"/>
      <c r="G42" s="249"/>
      <c r="H42" s="249"/>
      <c r="I42" s="249"/>
      <c r="J42" s="249"/>
      <c r="K42" s="249"/>
      <c r="L42" s="249"/>
      <c r="M42" s="249"/>
      <c r="N42" s="249"/>
      <c r="O42" s="249"/>
      <c r="Q42" s="137">
        <f>Q36+Q40</f>
        <v>59028.070013641554</v>
      </c>
      <c r="T42" s="137">
        <f>T36+T40</f>
        <v>51661.366875939093</v>
      </c>
      <c r="V42" s="137">
        <f>V36+V40</f>
        <v>7366.7031377024659</v>
      </c>
      <c r="X42" s="137">
        <f>X40+X36</f>
        <v>0</v>
      </c>
      <c r="Z42" s="137">
        <f>Z40+Z36</f>
        <v>0</v>
      </c>
    </row>
    <row r="43" spans="2:28" x14ac:dyDescent="0.2">
      <c r="B43" s="384"/>
      <c r="C43" s="249"/>
      <c r="D43" s="249"/>
      <c r="E43" s="249"/>
      <c r="F43" s="249"/>
      <c r="G43" s="249"/>
      <c r="H43" s="249"/>
      <c r="I43" s="249"/>
      <c r="J43" s="249"/>
      <c r="K43" s="249"/>
      <c r="L43" s="249"/>
      <c r="M43" s="249"/>
      <c r="N43" s="249"/>
      <c r="O43" s="249"/>
      <c r="R43" s="31" t="s">
        <v>403</v>
      </c>
      <c r="T43" s="221">
        <f>IF(SUM($T42,$V42,$X42,$Z42)=0,0,T42/(SUM($T42,$V42,$X42,$Z42)))</f>
        <v>0.87519999999999998</v>
      </c>
      <c r="V43" s="221">
        <f>IF(SUM($T42,$V42,$X42,$Z42)=0,0,V42/(SUM($T42,$V42,$X42,$Z42)))</f>
        <v>0.12479999999999998</v>
      </c>
      <c r="X43" s="221">
        <f>IF(SUM($T42,$V42,$X42,$Z42)=0,0,X42/(SUM($T42,$V42,$X42,$Z42)))</f>
        <v>0</v>
      </c>
      <c r="Z43" s="221">
        <f>IF(SUM($T42,$V42,$X42,$Z42)=0,0,Z42/(SUM($T42,$V42,$X42,$Z42)))</f>
        <v>0</v>
      </c>
    </row>
    <row r="44" spans="2:28" x14ac:dyDescent="0.2">
      <c r="B44" s="384"/>
      <c r="C44" s="249"/>
      <c r="D44" s="249"/>
      <c r="E44" s="249"/>
      <c r="F44" s="249"/>
      <c r="G44" s="249"/>
      <c r="H44" s="249"/>
      <c r="I44" s="249"/>
      <c r="J44" s="249"/>
      <c r="K44" s="249"/>
      <c r="L44" s="249"/>
      <c r="M44" s="249"/>
      <c r="N44" s="249"/>
      <c r="O44" s="254"/>
      <c r="Q44" s="272">
        <f>Q42-'9. SMFA_SMDR_SMIRR'!G73</f>
        <v>0</v>
      </c>
      <c r="R44" s="392" t="s">
        <v>404</v>
      </c>
      <c r="T44" s="221">
        <f>IF(T23="X",T43,0)</f>
        <v>0.87519999999999998</v>
      </c>
      <c r="V44" s="221">
        <f>IF(V23="X",V43,0)</f>
        <v>0.12479999999999998</v>
      </c>
      <c r="X44" s="221">
        <f>IF(X23="X",X43,0)</f>
        <v>0</v>
      </c>
      <c r="Z44" s="221">
        <f>IF(Z23="X",Z43,0)</f>
        <v>0</v>
      </c>
    </row>
    <row r="45" spans="2:28" x14ac:dyDescent="0.2">
      <c r="R45" s="392"/>
      <c r="T45" s="221">
        <f>IF(SUM($T44,$V44,$X44,$Z44)=0,0,T44/SUM($T44,$V44,$X44,$Z44))</f>
        <v>0.87519999999999998</v>
      </c>
      <c r="V45" s="221">
        <f>IF(SUM($T44,$V44,$X44,$Z44)=0,0,V44/SUM($T44,$V44,$X44,$Z44))</f>
        <v>0.12479999999999998</v>
      </c>
      <c r="X45" s="221">
        <f>IF(SUM($T44,$V44,$X44,$Z44)=0,0,X44/SUM($T44,$V44,$X44,$Z44))</f>
        <v>0</v>
      </c>
      <c r="Z45" s="221">
        <f>IF(SUM($T44,$V44,$X44,$Z44)=0,0,Z44/SUM($T44,$V44,$X44,$Z44))</f>
        <v>0</v>
      </c>
    </row>
    <row r="46" spans="2:28" x14ac:dyDescent="0.2">
      <c r="R46" s="240"/>
      <c r="T46" s="246"/>
      <c r="V46" s="246"/>
      <c r="X46" s="246"/>
      <c r="Z46" s="246"/>
    </row>
    <row r="48" spans="2:28" x14ac:dyDescent="0.2">
      <c r="B48" s="31" t="s">
        <v>409</v>
      </c>
      <c r="T48" s="281">
        <f>'10A. Cost_Alloc_SMDR'!T57</f>
        <v>3326</v>
      </c>
      <c r="U48" s="279"/>
      <c r="V48" s="281">
        <f>'10A. Cost_Alloc_SMDR'!V57</f>
        <v>495</v>
      </c>
      <c r="W48" s="279"/>
      <c r="X48" s="281">
        <f>'10A. Cost_Alloc_SMDR'!X57</f>
        <v>0</v>
      </c>
      <c r="Y48" s="279"/>
      <c r="Z48" s="281">
        <f>'10A. Cost_Alloc_SMDR'!Z57</f>
        <v>0</v>
      </c>
    </row>
    <row r="50" spans="2:26" ht="27" customHeight="1" x14ac:dyDescent="0.2">
      <c r="B50" s="384" t="s">
        <v>417</v>
      </c>
      <c r="C50" s="384"/>
      <c r="D50" s="384"/>
      <c r="E50" s="384"/>
      <c r="F50" s="384"/>
      <c r="G50" s="384"/>
      <c r="H50" s="384"/>
      <c r="I50" s="384"/>
      <c r="J50" s="384"/>
      <c r="K50" s="384"/>
      <c r="L50" s="384"/>
      <c r="M50" s="384"/>
      <c r="N50" s="384"/>
      <c r="O50" s="384"/>
      <c r="P50" s="384"/>
      <c r="Q50" s="262">
        <v>1</v>
      </c>
      <c r="R50" s="31" t="s">
        <v>420</v>
      </c>
      <c r="T50" s="31">
        <f>Q50</f>
        <v>1</v>
      </c>
      <c r="V50" s="31">
        <f>Q50</f>
        <v>1</v>
      </c>
      <c r="X50" s="31">
        <f>Q50</f>
        <v>1</v>
      </c>
      <c r="Z50" s="31">
        <f>Q50</f>
        <v>1</v>
      </c>
    </row>
    <row r="52" spans="2:26" x14ac:dyDescent="0.2">
      <c r="B52" s="31" t="s">
        <v>415</v>
      </c>
      <c r="T52" s="247">
        <f>IF(T23="X",IF(T48*T50=0,"",ROUND(T42/(T48*T50*12),2)),"")</f>
        <v>1.29</v>
      </c>
      <c r="V52" s="247">
        <f>IF(V23="X",IF(V48*V50=0,"",ROUND(V42/(V48*V50*12),2)),"")</f>
        <v>1.24</v>
      </c>
      <c r="X52" s="31" t="str">
        <f>IF(X23="X",IF(X48*X50=0,"",ROUND(X42/(X48*X50*12),2)),"")</f>
        <v/>
      </c>
      <c r="Z52" s="31" t="str">
        <f>IF(Z23="X",IF(Z48*Z50=0,"",ROUND(Z42/(Z48*Z50*12),2)),"")</f>
        <v/>
      </c>
    </row>
    <row r="53" spans="2:26" x14ac:dyDescent="0.2">
      <c r="X53" s="137"/>
    </row>
    <row r="54" spans="2:26" x14ac:dyDescent="0.2">
      <c r="B54" s="31" t="s">
        <v>416</v>
      </c>
      <c r="Q54" s="247">
        <f>T54+V54+X54+Z54</f>
        <v>58852.079999999994</v>
      </c>
      <c r="T54" s="137">
        <f>IF(T23="X",IF(T48=0,0,T52*T50*T48*12),0)</f>
        <v>51486.479999999996</v>
      </c>
      <c r="V54" s="137">
        <f>IF(V23="X",IF(V48=0,0,V52*V50*V48*12),0)</f>
        <v>7365.5999999999995</v>
      </c>
      <c r="X54" s="137">
        <f>IF(X23="X",IF(X48=0,0,X52*X50*X48*12),0)</f>
        <v>0</v>
      </c>
      <c r="Z54" s="137">
        <f>IF(Z23="X",IF(Z48=0,0,Z52*Z50*Z48*12),0)</f>
        <v>0</v>
      </c>
    </row>
    <row r="56" spans="2:26" x14ac:dyDescent="0.2">
      <c r="Q56" s="274">
        <f>Q54-Q42</f>
        <v>-175.99001364155993</v>
      </c>
    </row>
    <row r="58" spans="2:26" x14ac:dyDescent="0.2">
      <c r="T58" s="170"/>
      <c r="V58" s="170"/>
    </row>
  </sheetData>
  <sheetProtection password="C2FC" sheet="1" objects="1" scenarios="1"/>
  <mergeCells count="7">
    <mergeCell ref="B13:R13"/>
    <mergeCell ref="B50:P50"/>
    <mergeCell ref="B28:B29"/>
    <mergeCell ref="B26:B27"/>
    <mergeCell ref="R32:R33"/>
    <mergeCell ref="B42:B44"/>
    <mergeCell ref="R44:R45"/>
  </mergeCells>
  <phoneticPr fontId="7" type="noConversion"/>
  <conditionalFormatting sqref="AB25 AB29 AB38">
    <cfRule type="cellIs" dxfId="0" priority="1" stopIfTrue="1" operator="notEqual">
      <formula>1</formula>
    </cfRule>
  </conditionalFormatting>
  <dataValidations count="1">
    <dataValidation allowBlank="1" showInputMessage="1" showErrorMessage="1" prompt="Check cell if SMDR and SMIRR will apply to class" sqref="T23:Z23"/>
  </dataValidations>
  <pageMargins left="0.75" right="0.75" top="1" bottom="1" header="0.5" footer="0.5"/>
  <pageSetup scale="68"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13</vt:i4>
      </vt:variant>
    </vt:vector>
  </HeadingPairs>
  <TitlesOfParts>
    <vt:vector size="26" baseType="lpstr">
      <vt:lpstr>1. Utility_Info_</vt:lpstr>
      <vt:lpstr>2. Smart_Meter_Costs</vt:lpstr>
      <vt:lpstr>3. Cost_of_Service_Parameters</vt:lpstr>
      <vt:lpstr>4. SM_Assets_and_Rate_Base</vt:lpstr>
      <vt:lpstr>5. SM_Rev_Reqt</vt:lpstr>
      <vt:lpstr>6. UCC_Calculation</vt:lpstr>
      <vt:lpstr>7_Taxes_PILs</vt:lpstr>
      <vt:lpstr>8. Funding_Adder_Revs</vt:lpstr>
      <vt:lpstr>8A. Opex_Interest_monthly</vt:lpstr>
      <vt:lpstr>8B. Opex_Interest_annual</vt:lpstr>
      <vt:lpstr>9. SMFA_SMDR_SMIRR</vt:lpstr>
      <vt:lpstr>10A. Cost_Alloc_SMDR</vt:lpstr>
      <vt:lpstr>10B. Cost_Alloc_SMIRR</vt:lpstr>
      <vt:lpstr>'10A. Cost_Alloc_SMDR'!Print_Area</vt:lpstr>
      <vt:lpstr>'10B. Cost_Alloc_SMIRR'!Print_Area</vt:lpstr>
      <vt:lpstr>'2. Smart_Meter_Costs'!Print_Area</vt:lpstr>
      <vt:lpstr>'3. Cost_of_Service_Parameters'!Print_Area</vt:lpstr>
      <vt:lpstr>'4. SM_Assets_and_Rate_Base'!Print_Area</vt:lpstr>
      <vt:lpstr>'5. SM_Rev_Reqt'!Print_Area</vt:lpstr>
      <vt:lpstr>'6. UCC_Calculation'!Print_Area</vt:lpstr>
      <vt:lpstr>'7_Taxes_PILs'!Print_Area</vt:lpstr>
      <vt:lpstr>'8. Funding_Adder_Revs'!Print_Area</vt:lpstr>
      <vt:lpstr>'8A. Opex_Interest_monthly'!Print_Area</vt:lpstr>
      <vt:lpstr>'8B. Opex_Interest_annual'!Print_Area</vt:lpstr>
      <vt:lpstr>'9. SMFA_SMDR_SMIRR'!Print_Area</vt:lpstr>
      <vt:lpstr>'8. Funding_Adder_Revs'!Print_Titles</vt:lpstr>
    </vt:vector>
  </TitlesOfParts>
  <Company>Ontario Energy Board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Keith C. Ritchie</dc:creator>
  <cp:lastModifiedBy>Deanna Hastie</cp:lastModifiedBy>
  <cp:lastPrinted>2013-06-12T17:18:35Z</cp:lastPrinted>
  <dcterms:created xsi:type="dcterms:W3CDTF">2010-11-30T15:24:01Z</dcterms:created>
  <dcterms:modified xsi:type="dcterms:W3CDTF">2013-07-17T17:22:38Z</dcterms:modified>
</cp:coreProperties>
</file>