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Projects &amp; Programs\OEB\Enbridge Pipeline 2013\"/>
    </mc:Choice>
  </mc:AlternateContent>
  <bookViews>
    <workbookView xWindow="-135" yWindow="-15" windowWidth="9255" windowHeight="5580"/>
  </bookViews>
  <sheets>
    <sheet name="Forecast" sheetId="12" r:id="rId1"/>
    <sheet name="GTA " sheetId="22" r:id="rId2"/>
    <sheet name="Apartment" sheetId="18" r:id="rId3"/>
    <sheet name="Commercial" sheetId="19" r:id="rId4"/>
    <sheet name="Industrial" sheetId="20" r:id="rId5"/>
    <sheet name="Residential" sheetId="21" r:id="rId6"/>
    <sheet name="Savings Model" sheetId="24" r:id="rId7"/>
    <sheet name="Peak Breakdown" sheetId="23" r:id="rId8"/>
    <sheet name="% savings achievable" sheetId="29" r:id="rId9"/>
  </sheets>
  <externalReferences>
    <externalReference r:id="rId10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M55" i="12" l="1"/>
  <c r="BM56" i="12"/>
  <c r="BM57" i="12"/>
  <c r="BM58" i="12"/>
  <c r="BM59" i="12"/>
  <c r="L43" i="12"/>
  <c r="Y54" i="12"/>
  <c r="R54" i="12"/>
  <c r="R43" i="12" s="1"/>
  <c r="O54" i="12"/>
  <c r="O43" i="12" s="1"/>
  <c r="O44" i="12" s="1"/>
  <c r="T42" i="12"/>
  <c r="Q42" i="12"/>
  <c r="O45" i="12"/>
  <c r="Q45" i="12" s="1"/>
  <c r="Q54" i="12"/>
  <c r="O33" i="12"/>
  <c r="P33" i="12"/>
  <c r="R33" i="12"/>
  <c r="S33" i="12"/>
  <c r="AE42" i="12"/>
  <c r="AG42" i="12" s="1"/>
  <c r="AB42" i="12"/>
  <c r="AD42" i="12" s="1"/>
  <c r="Y42" i="12"/>
  <c r="I43" i="12"/>
  <c r="V43" i="12" s="1"/>
  <c r="V54" i="12"/>
  <c r="M3" i="29"/>
  <c r="M4" i="29"/>
  <c r="M5" i="29" s="1"/>
  <c r="M6" i="29" s="1"/>
  <c r="M7" i="29" s="1"/>
  <c r="M8" i="29" s="1"/>
  <c r="M9" i="29" s="1"/>
  <c r="M10" i="29" s="1"/>
  <c r="M11" i="29" s="1"/>
  <c r="M12" i="29" s="1"/>
  <c r="M13" i="29" s="1"/>
  <c r="M14" i="29" s="1"/>
  <c r="M15" i="29" s="1"/>
  <c r="M16" i="29" s="1"/>
  <c r="M17" i="29" s="1"/>
  <c r="M18" i="29" s="1"/>
  <c r="M19" i="29" s="1"/>
  <c r="M20" i="29" s="1"/>
  <c r="M21" i="29" s="1"/>
  <c r="M22" i="29" s="1"/>
  <c r="M23" i="29" s="1"/>
  <c r="M24" i="29" s="1"/>
  <c r="M25" i="29" s="1"/>
  <c r="M26" i="29" s="1"/>
  <c r="M27" i="29" s="1"/>
  <c r="M28" i="29" s="1"/>
  <c r="M29" i="29" s="1"/>
  <c r="M30" i="29" s="1"/>
  <c r="M31" i="29" s="1"/>
  <c r="M32" i="29" s="1"/>
  <c r="M33" i="29" s="1"/>
  <c r="M34" i="29" s="1"/>
  <c r="M35" i="29" s="1"/>
  <c r="M36" i="29" s="1"/>
  <c r="M37" i="29" s="1"/>
  <c r="M38" i="29" s="1"/>
  <c r="M39" i="29" s="1"/>
  <c r="M40" i="29" s="1"/>
  <c r="M41" i="29" s="1"/>
  <c r="M42" i="29" s="1"/>
  <c r="M43" i="29" s="1"/>
  <c r="M44" i="29" s="1"/>
  <c r="M45" i="29" s="1"/>
  <c r="M46" i="29" s="1"/>
  <c r="M47" i="29" s="1"/>
  <c r="M48" i="29" s="1"/>
  <c r="M49" i="29" s="1"/>
  <c r="M50" i="29" s="1"/>
  <c r="M51" i="29" s="1"/>
  <c r="M52" i="29" s="1"/>
  <c r="M53" i="29" s="1"/>
  <c r="M54" i="29" s="1"/>
  <c r="M55" i="29" s="1"/>
  <c r="M56" i="29" s="1"/>
  <c r="M57" i="29" s="1"/>
  <c r="M58" i="29" s="1"/>
  <c r="M59" i="29" s="1"/>
  <c r="M60" i="29" s="1"/>
  <c r="M61" i="29" s="1"/>
  <c r="M62" i="29" s="1"/>
  <c r="M63" i="29" s="1"/>
  <c r="M64" i="29" s="1"/>
  <c r="M65" i="29" s="1"/>
  <c r="M66" i="29" s="1"/>
  <c r="M67" i="29" s="1"/>
  <c r="M68" i="29" s="1"/>
  <c r="M69" i="29" s="1"/>
  <c r="M70" i="29" s="1"/>
  <c r="M71" i="29" s="1"/>
  <c r="M72" i="29" s="1"/>
  <c r="M73" i="29" s="1"/>
  <c r="M74" i="29" s="1"/>
  <c r="M75" i="29" s="1"/>
  <c r="M76" i="29" s="1"/>
  <c r="M77" i="29" s="1"/>
  <c r="M78" i="29" s="1"/>
  <c r="M79" i="29" s="1"/>
  <c r="M80" i="29" s="1"/>
  <c r="M81" i="29" s="1"/>
  <c r="M82" i="29" s="1"/>
  <c r="M83" i="29" s="1"/>
  <c r="M84" i="29" s="1"/>
  <c r="M85" i="29" s="1"/>
  <c r="M86" i="29" s="1"/>
  <c r="M87" i="29" s="1"/>
  <c r="M88" i="29" s="1"/>
  <c r="M89" i="29" s="1"/>
  <c r="M90" i="29" s="1"/>
  <c r="M91" i="29" s="1"/>
  <c r="M92" i="29" s="1"/>
  <c r="M93" i="29" s="1"/>
  <c r="M94" i="29" s="1"/>
  <c r="M95" i="29" s="1"/>
  <c r="M96" i="29" s="1"/>
  <c r="M97" i="29" s="1"/>
  <c r="M98" i="29" s="1"/>
  <c r="M99" i="29" s="1"/>
  <c r="M100" i="29" s="1"/>
  <c r="M101" i="29" s="1"/>
  <c r="M102" i="29" s="1"/>
  <c r="M103" i="29" s="1"/>
  <c r="M104" i="29" s="1"/>
  <c r="M105" i="29" s="1"/>
  <c r="M106" i="29" s="1"/>
  <c r="M107" i="29" s="1"/>
  <c r="M108" i="29" s="1"/>
  <c r="M109" i="29" s="1"/>
  <c r="M110" i="29" s="1"/>
  <c r="M111" i="29" s="1"/>
  <c r="M112" i="29" s="1"/>
  <c r="M113" i="29" s="1"/>
  <c r="M114" i="29" s="1"/>
  <c r="M115" i="29" s="1"/>
  <c r="M116" i="29" s="1"/>
  <c r="M117" i="29" s="1"/>
  <c r="M118" i="29" s="1"/>
  <c r="M119" i="29" s="1"/>
  <c r="M120" i="29" s="1"/>
  <c r="M121" i="29" s="1"/>
  <c r="M122" i="29" s="1"/>
  <c r="M123" i="29" s="1"/>
  <c r="M124" i="29" s="1"/>
  <c r="M125" i="29" s="1"/>
  <c r="M126" i="29" s="1"/>
  <c r="M127" i="29" s="1"/>
  <c r="M128" i="29" s="1"/>
  <c r="M129" i="29" s="1"/>
  <c r="M130" i="29" s="1"/>
  <c r="M131" i="29" s="1"/>
  <c r="M132" i="29" s="1"/>
  <c r="M133" i="29" s="1"/>
  <c r="M134" i="29" s="1"/>
  <c r="M135" i="29" s="1"/>
  <c r="M136" i="29" s="1"/>
  <c r="M137" i="29" s="1"/>
  <c r="M138" i="29" s="1"/>
  <c r="M139" i="29" s="1"/>
  <c r="M140" i="29" s="1"/>
  <c r="M141" i="29" s="1"/>
  <c r="M142" i="29" s="1"/>
  <c r="M143" i="29" s="1"/>
  <c r="M144" i="29" s="1"/>
  <c r="M145" i="29" s="1"/>
  <c r="M146" i="29" s="1"/>
  <c r="M147" i="29" s="1"/>
  <c r="M148" i="29" s="1"/>
  <c r="M149" i="29" s="1"/>
  <c r="M150" i="29" s="1"/>
  <c r="M151" i="29" s="1"/>
  <c r="M152" i="29" s="1"/>
  <c r="M153" i="29" s="1"/>
  <c r="M154" i="29" s="1"/>
  <c r="M155" i="29" s="1"/>
  <c r="M156" i="29" s="1"/>
  <c r="M157" i="29" s="1"/>
  <c r="M158" i="29" s="1"/>
  <c r="M159" i="29" s="1"/>
  <c r="M160" i="29" s="1"/>
  <c r="M161" i="29" s="1"/>
  <c r="M162" i="29" s="1"/>
  <c r="M163" i="29" s="1"/>
  <c r="M164" i="29" s="1"/>
  <c r="M165" i="29" s="1"/>
  <c r="M166" i="29" s="1"/>
  <c r="M167" i="29" s="1"/>
  <c r="M168" i="29" s="1"/>
  <c r="M169" i="29" s="1"/>
  <c r="M170" i="29" s="1"/>
  <c r="M171" i="29" s="1"/>
  <c r="M172" i="29" s="1"/>
  <c r="M173" i="29" s="1"/>
  <c r="M174" i="29" s="1"/>
  <c r="M175" i="29" s="1"/>
  <c r="M176" i="29" s="1"/>
  <c r="M177" i="29" s="1"/>
  <c r="M178" i="29" s="1"/>
  <c r="M179" i="29" s="1"/>
  <c r="M180" i="29" s="1"/>
  <c r="M181" i="29" s="1"/>
  <c r="M182" i="29" s="1"/>
  <c r="M183" i="29" s="1"/>
  <c r="M184" i="29" s="1"/>
  <c r="M185" i="29" s="1"/>
  <c r="M186" i="29" s="1"/>
  <c r="M187" i="29" s="1"/>
  <c r="M188" i="29" s="1"/>
  <c r="M189" i="29" s="1"/>
  <c r="M190" i="29" s="1"/>
  <c r="M191" i="29" s="1"/>
  <c r="M192" i="29" s="1"/>
  <c r="M193" i="29" s="1"/>
  <c r="M194" i="29" s="1"/>
  <c r="M195" i="29" s="1"/>
  <c r="M196" i="29" s="1"/>
  <c r="M197" i="29" s="1"/>
  <c r="M198" i="29" s="1"/>
  <c r="M199" i="29" s="1"/>
  <c r="M200" i="29" s="1"/>
  <c r="M201" i="29" s="1"/>
  <c r="M202" i="29" s="1"/>
  <c r="M203" i="29" s="1"/>
  <c r="M204" i="29" s="1"/>
  <c r="M205" i="29" s="1"/>
  <c r="M206" i="29" s="1"/>
  <c r="M207" i="29" s="1"/>
  <c r="M208" i="29" s="1"/>
  <c r="M209" i="29" s="1"/>
  <c r="M210" i="29" s="1"/>
  <c r="M211" i="29" s="1"/>
  <c r="M212" i="29" s="1"/>
  <c r="M213" i="29" s="1"/>
  <c r="M214" i="29" s="1"/>
  <c r="M215" i="29" s="1"/>
  <c r="M216" i="29" s="1"/>
  <c r="M217" i="29" s="1"/>
  <c r="M218" i="29" s="1"/>
  <c r="M219" i="29" s="1"/>
  <c r="M220" i="29" s="1"/>
  <c r="M221" i="29" s="1"/>
  <c r="M222" i="29" s="1"/>
  <c r="M223" i="29" s="1"/>
  <c r="M224" i="29" s="1"/>
  <c r="M225" i="29" s="1"/>
  <c r="M226" i="29" s="1"/>
  <c r="M227" i="29" s="1"/>
  <c r="M228" i="29" s="1"/>
  <c r="M229" i="29" s="1"/>
  <c r="M230" i="29" s="1"/>
  <c r="M231" i="29" s="1"/>
  <c r="M232" i="29" s="1"/>
  <c r="M233" i="29" s="1"/>
  <c r="M234" i="29" s="1"/>
  <c r="M235" i="29" s="1"/>
  <c r="M236" i="29" s="1"/>
  <c r="M237" i="29" s="1"/>
  <c r="M238" i="29" s="1"/>
  <c r="M239" i="29" s="1"/>
  <c r="M240" i="29" s="1"/>
  <c r="M241" i="29" s="1"/>
  <c r="M242" i="29" s="1"/>
  <c r="M243" i="29" s="1"/>
  <c r="M244" i="29" s="1"/>
  <c r="M245" i="29" s="1"/>
  <c r="M246" i="29" s="1"/>
  <c r="M247" i="29" s="1"/>
  <c r="M248" i="29" s="1"/>
  <c r="M249" i="29" s="1"/>
  <c r="M250" i="29" s="1"/>
  <c r="M251" i="29" s="1"/>
  <c r="M252" i="29" s="1"/>
  <c r="M253" i="29" s="1"/>
  <c r="M254" i="29" s="1"/>
  <c r="M255" i="29" s="1"/>
  <c r="M256" i="29" s="1"/>
  <c r="M257" i="29" s="1"/>
  <c r="M258" i="29" s="1"/>
  <c r="M259" i="29" s="1"/>
  <c r="M260" i="29" s="1"/>
  <c r="M261" i="29" s="1"/>
  <c r="M262" i="29" s="1"/>
  <c r="M263" i="29" s="1"/>
  <c r="M264" i="29" s="1"/>
  <c r="M265" i="29" s="1"/>
  <c r="M266" i="29" s="1"/>
  <c r="M267" i="29" s="1"/>
  <c r="M268" i="29" s="1"/>
  <c r="M269" i="29" s="1"/>
  <c r="M270" i="29" s="1"/>
  <c r="M271" i="29" s="1"/>
  <c r="M272" i="29" s="1"/>
  <c r="M273" i="29" s="1"/>
  <c r="M274" i="29" s="1"/>
  <c r="M275" i="29" s="1"/>
  <c r="M276" i="29" s="1"/>
  <c r="M277" i="29" s="1"/>
  <c r="M278" i="29" s="1"/>
  <c r="M279" i="29" s="1"/>
  <c r="M280" i="29" s="1"/>
  <c r="M281" i="29" s="1"/>
  <c r="M282" i="29" s="1"/>
  <c r="M283" i="29" s="1"/>
  <c r="M284" i="29" s="1"/>
  <c r="M285" i="29" s="1"/>
  <c r="M286" i="29" s="1"/>
  <c r="M287" i="29" s="1"/>
  <c r="M288" i="29" s="1"/>
  <c r="M289" i="29" s="1"/>
  <c r="M290" i="29" s="1"/>
  <c r="M291" i="29" s="1"/>
  <c r="M292" i="29" s="1"/>
  <c r="M293" i="29" s="1"/>
  <c r="M294" i="29" s="1"/>
  <c r="M295" i="29" s="1"/>
  <c r="M296" i="29" s="1"/>
  <c r="M297" i="29" s="1"/>
  <c r="M298" i="29" s="1"/>
  <c r="M299" i="29" s="1"/>
  <c r="M300" i="29" s="1"/>
  <c r="M301" i="29" s="1"/>
  <c r="M302" i="29" s="1"/>
  <c r="M303" i="29" s="1"/>
  <c r="M304" i="29" s="1"/>
  <c r="M305" i="29" s="1"/>
  <c r="M306" i="29" s="1"/>
  <c r="M307" i="29" s="1"/>
  <c r="M308" i="29" s="1"/>
  <c r="M309" i="29" s="1"/>
  <c r="M310" i="29" s="1"/>
  <c r="M311" i="29" s="1"/>
  <c r="M312" i="29" s="1"/>
  <c r="M313" i="29" s="1"/>
  <c r="M314" i="29" s="1"/>
  <c r="M315" i="29" s="1"/>
  <c r="M316" i="29" s="1"/>
  <c r="M317" i="29" s="1"/>
  <c r="M318" i="29" s="1"/>
  <c r="M319" i="29" s="1"/>
  <c r="M320" i="29" s="1"/>
  <c r="M321" i="29" s="1"/>
  <c r="M322" i="29" s="1"/>
  <c r="M323" i="29" s="1"/>
  <c r="M324" i="29" s="1"/>
  <c r="M325" i="29" s="1"/>
  <c r="M326" i="29" s="1"/>
  <c r="M327" i="29" s="1"/>
  <c r="M328" i="29" s="1"/>
  <c r="M329" i="29" s="1"/>
  <c r="M330" i="29" s="1"/>
  <c r="M331" i="29" s="1"/>
  <c r="M332" i="29" s="1"/>
  <c r="M333" i="29" s="1"/>
  <c r="M334" i="29" s="1"/>
  <c r="M335" i="29" s="1"/>
  <c r="M336" i="29" s="1"/>
  <c r="M337" i="29" s="1"/>
  <c r="M338" i="29" s="1"/>
  <c r="M339" i="29" s="1"/>
  <c r="M340" i="29" s="1"/>
  <c r="M341" i="29" s="1"/>
  <c r="M342" i="29" s="1"/>
  <c r="M343" i="29" s="1"/>
  <c r="M344" i="29" s="1"/>
  <c r="M345" i="29" s="1"/>
  <c r="M346" i="29" s="1"/>
  <c r="M347" i="29" s="1"/>
  <c r="M348" i="29" s="1"/>
  <c r="M349" i="29" s="1"/>
  <c r="M350" i="29" s="1"/>
  <c r="M351" i="29" s="1"/>
  <c r="M352" i="29" s="1"/>
  <c r="M353" i="29" s="1"/>
  <c r="M354" i="29" s="1"/>
  <c r="M355" i="29" s="1"/>
  <c r="M356" i="29" s="1"/>
  <c r="M357" i="29" s="1"/>
  <c r="M358" i="29" s="1"/>
  <c r="M359" i="29" s="1"/>
  <c r="M360" i="29" s="1"/>
  <c r="M361" i="29" s="1"/>
  <c r="M362" i="29" s="1"/>
  <c r="M363" i="29" s="1"/>
  <c r="M364" i="29" s="1"/>
  <c r="M365" i="29" s="1"/>
  <c r="M366" i="29" s="1"/>
  <c r="M367" i="29" s="1"/>
  <c r="M368" i="29" s="1"/>
  <c r="M369" i="29" s="1"/>
  <c r="M370" i="29" s="1"/>
  <c r="M371" i="29" s="1"/>
  <c r="M372" i="29" s="1"/>
  <c r="M373" i="29" s="1"/>
  <c r="M374" i="29" s="1"/>
  <c r="M375" i="29" s="1"/>
  <c r="M376" i="29" s="1"/>
  <c r="M377" i="29" s="1"/>
  <c r="M378" i="29" s="1"/>
  <c r="M379" i="29" s="1"/>
  <c r="M380" i="29" s="1"/>
  <c r="M381" i="29" s="1"/>
  <c r="M382" i="29" s="1"/>
  <c r="M383" i="29" s="1"/>
  <c r="M384" i="29" s="1"/>
  <c r="M385" i="29" s="1"/>
  <c r="M386" i="29" s="1"/>
  <c r="M387" i="29" s="1"/>
  <c r="M388" i="29" s="1"/>
  <c r="M389" i="29" s="1"/>
  <c r="M390" i="29" s="1"/>
  <c r="M391" i="29" s="1"/>
  <c r="M392" i="29" s="1"/>
  <c r="M393" i="29" s="1"/>
  <c r="M394" i="29" s="1"/>
  <c r="M395" i="29" s="1"/>
  <c r="M396" i="29" s="1"/>
  <c r="M397" i="29" s="1"/>
  <c r="M398" i="29" s="1"/>
  <c r="N396" i="29"/>
  <c r="N394" i="29"/>
  <c r="N392" i="29"/>
  <c r="N390" i="29"/>
  <c r="N388" i="29"/>
  <c r="N386" i="29"/>
  <c r="N384" i="29"/>
  <c r="N382" i="29"/>
  <c r="N380" i="29"/>
  <c r="N378" i="29"/>
  <c r="N376" i="29"/>
  <c r="N374" i="29"/>
  <c r="N372" i="29"/>
  <c r="N370" i="29"/>
  <c r="N368" i="29"/>
  <c r="N366" i="29"/>
  <c r="N364" i="29"/>
  <c r="N362" i="29"/>
  <c r="N360" i="29"/>
  <c r="N358" i="29"/>
  <c r="N356" i="29"/>
  <c r="N354" i="29"/>
  <c r="N352" i="29"/>
  <c r="N350" i="29"/>
  <c r="N349" i="29"/>
  <c r="N348" i="29"/>
  <c r="N347" i="29"/>
  <c r="N346" i="29"/>
  <c r="N345" i="29"/>
  <c r="N344" i="29"/>
  <c r="N343" i="29"/>
  <c r="N342" i="29"/>
  <c r="N341" i="29"/>
  <c r="N340" i="29"/>
  <c r="N339" i="29"/>
  <c r="N338" i="29"/>
  <c r="N337" i="29"/>
  <c r="N336" i="29"/>
  <c r="N335" i="29"/>
  <c r="N334" i="29"/>
  <c r="N333" i="29"/>
  <c r="N332" i="29"/>
  <c r="N331" i="29"/>
  <c r="N330" i="29"/>
  <c r="N329" i="29"/>
  <c r="N328" i="29"/>
  <c r="N327" i="29"/>
  <c r="N326" i="29"/>
  <c r="N325" i="29"/>
  <c r="N324" i="29"/>
  <c r="N323" i="29"/>
  <c r="N322" i="29"/>
  <c r="N321" i="29"/>
  <c r="N320" i="29"/>
  <c r="N319" i="29"/>
  <c r="N318" i="29"/>
  <c r="N317" i="29"/>
  <c r="N316" i="29"/>
  <c r="N315" i="29"/>
  <c r="N314" i="29"/>
  <c r="N313" i="29"/>
  <c r="N312" i="29"/>
  <c r="N311" i="29"/>
  <c r="N310" i="29"/>
  <c r="N309" i="29"/>
  <c r="N308" i="29"/>
  <c r="N307" i="29"/>
  <c r="N306" i="29"/>
  <c r="N305" i="29"/>
  <c r="N304" i="29"/>
  <c r="N303" i="29"/>
  <c r="N302" i="29"/>
  <c r="N301" i="29"/>
  <c r="N300" i="29"/>
  <c r="N299" i="29"/>
  <c r="N298" i="29"/>
  <c r="N297" i="29"/>
  <c r="N296" i="29"/>
  <c r="N295" i="29"/>
  <c r="N294" i="29"/>
  <c r="N293" i="29"/>
  <c r="N292" i="29"/>
  <c r="N291" i="29"/>
  <c r="N290" i="29"/>
  <c r="N289" i="29"/>
  <c r="N288" i="29"/>
  <c r="N287" i="29"/>
  <c r="N286" i="29"/>
  <c r="N285" i="29"/>
  <c r="N284" i="29"/>
  <c r="N283" i="29"/>
  <c r="N282" i="29"/>
  <c r="N281" i="29"/>
  <c r="N280" i="29"/>
  <c r="N279" i="29"/>
  <c r="N278" i="29"/>
  <c r="N277" i="29"/>
  <c r="N276" i="29"/>
  <c r="N275" i="29"/>
  <c r="N274" i="29"/>
  <c r="N273" i="29"/>
  <c r="N272" i="29"/>
  <c r="N271" i="29"/>
  <c r="N270" i="29"/>
  <c r="N269" i="29"/>
  <c r="N268" i="29"/>
  <c r="N267" i="29"/>
  <c r="N266" i="29"/>
  <c r="N265" i="29"/>
  <c r="N264" i="29"/>
  <c r="N263" i="29"/>
  <c r="N262" i="29"/>
  <c r="N261" i="29"/>
  <c r="N260" i="29"/>
  <c r="N259" i="29"/>
  <c r="N258" i="29"/>
  <c r="N257" i="29"/>
  <c r="N256" i="29"/>
  <c r="N255" i="29"/>
  <c r="N254" i="29"/>
  <c r="N253" i="29"/>
  <c r="N252" i="29"/>
  <c r="N251" i="29"/>
  <c r="N250" i="29"/>
  <c r="N249" i="29"/>
  <c r="N248" i="29"/>
  <c r="N247" i="29"/>
  <c r="N246" i="29"/>
  <c r="N245" i="29"/>
  <c r="N244" i="29"/>
  <c r="N243" i="29"/>
  <c r="N242" i="29"/>
  <c r="N241" i="29"/>
  <c r="N240" i="29"/>
  <c r="N239" i="29"/>
  <c r="N238" i="29"/>
  <c r="N237" i="29"/>
  <c r="N236" i="29"/>
  <c r="N235" i="29"/>
  <c r="N234" i="29"/>
  <c r="N233" i="29"/>
  <c r="N232" i="29"/>
  <c r="N231" i="29"/>
  <c r="N230" i="29"/>
  <c r="N229" i="29"/>
  <c r="N228" i="29"/>
  <c r="N227" i="29"/>
  <c r="N226" i="29"/>
  <c r="N225" i="29"/>
  <c r="N224" i="29"/>
  <c r="N223" i="29"/>
  <c r="N222" i="29"/>
  <c r="N221" i="29"/>
  <c r="N220" i="29"/>
  <c r="N219" i="29"/>
  <c r="N218" i="29"/>
  <c r="N217" i="29"/>
  <c r="N216" i="29"/>
  <c r="N215" i="29"/>
  <c r="N214" i="29"/>
  <c r="N213" i="29"/>
  <c r="N212" i="29"/>
  <c r="N211" i="29"/>
  <c r="N210" i="29"/>
  <c r="N209" i="29"/>
  <c r="N208" i="29"/>
  <c r="N207" i="29"/>
  <c r="N206" i="29"/>
  <c r="N205" i="29"/>
  <c r="N204" i="29"/>
  <c r="N203" i="29"/>
  <c r="N202" i="29"/>
  <c r="N201" i="29"/>
  <c r="N200" i="29"/>
  <c r="N199" i="29"/>
  <c r="N198" i="29"/>
  <c r="N197" i="29"/>
  <c r="N196" i="29"/>
  <c r="N195" i="29"/>
  <c r="N194" i="29"/>
  <c r="N193" i="29"/>
  <c r="N192" i="29"/>
  <c r="N191" i="29"/>
  <c r="N190" i="29"/>
  <c r="N189" i="29"/>
  <c r="N188" i="29"/>
  <c r="N187" i="29"/>
  <c r="N186" i="29"/>
  <c r="N185" i="29"/>
  <c r="N184" i="29"/>
  <c r="N183" i="29"/>
  <c r="N182" i="29"/>
  <c r="N181" i="29"/>
  <c r="N180" i="29"/>
  <c r="N179" i="29"/>
  <c r="N178" i="29"/>
  <c r="N177" i="29"/>
  <c r="N176" i="29"/>
  <c r="N175" i="29"/>
  <c r="N174" i="29"/>
  <c r="N173" i="29"/>
  <c r="N172" i="29"/>
  <c r="N171" i="29"/>
  <c r="N170" i="29"/>
  <c r="N169" i="29"/>
  <c r="N168" i="29"/>
  <c r="N167" i="29"/>
  <c r="N166" i="29"/>
  <c r="N165" i="29"/>
  <c r="N164" i="29"/>
  <c r="N163" i="29"/>
  <c r="N162" i="29"/>
  <c r="N161" i="29"/>
  <c r="N160" i="29"/>
  <c r="N159" i="29"/>
  <c r="N158" i="29"/>
  <c r="N157" i="29"/>
  <c r="N156" i="29"/>
  <c r="N155" i="29"/>
  <c r="N154" i="29"/>
  <c r="N153" i="29"/>
  <c r="N152" i="29"/>
  <c r="N151" i="29"/>
  <c r="N150" i="29"/>
  <c r="N149" i="29"/>
  <c r="N148" i="29"/>
  <c r="N147" i="29"/>
  <c r="N146" i="29"/>
  <c r="N145" i="29"/>
  <c r="N144" i="29"/>
  <c r="N143" i="29"/>
  <c r="N142" i="29"/>
  <c r="N141" i="29"/>
  <c r="N140" i="29"/>
  <c r="N139" i="29"/>
  <c r="N138" i="29"/>
  <c r="N137" i="29"/>
  <c r="N136" i="29"/>
  <c r="N135" i="29"/>
  <c r="N134" i="29"/>
  <c r="N133" i="29"/>
  <c r="N132" i="29"/>
  <c r="N131" i="29"/>
  <c r="N130" i="29"/>
  <c r="N129" i="29"/>
  <c r="N128" i="29"/>
  <c r="N127" i="29"/>
  <c r="N126" i="29"/>
  <c r="N125" i="29"/>
  <c r="N124" i="29"/>
  <c r="N123" i="29"/>
  <c r="N122" i="29"/>
  <c r="N121" i="29"/>
  <c r="N120" i="29"/>
  <c r="N119" i="29"/>
  <c r="N118" i="29"/>
  <c r="N117" i="29"/>
  <c r="N116" i="29"/>
  <c r="N115" i="29"/>
  <c r="N114" i="29"/>
  <c r="N113" i="29"/>
  <c r="N112" i="29"/>
  <c r="N111" i="29"/>
  <c r="N110" i="29"/>
  <c r="N109" i="29"/>
  <c r="N108" i="29"/>
  <c r="N107" i="29"/>
  <c r="N106" i="29"/>
  <c r="N105" i="29"/>
  <c r="N104" i="29"/>
  <c r="N103" i="29"/>
  <c r="N102" i="29"/>
  <c r="N101" i="29"/>
  <c r="N100" i="29"/>
  <c r="N99" i="29"/>
  <c r="N98" i="29"/>
  <c r="N97" i="29"/>
  <c r="N96" i="29"/>
  <c r="N95" i="29"/>
  <c r="N94" i="29"/>
  <c r="N93" i="29"/>
  <c r="N92" i="29"/>
  <c r="N91" i="29"/>
  <c r="N90" i="29"/>
  <c r="N89" i="29"/>
  <c r="N88" i="29"/>
  <c r="N87" i="29"/>
  <c r="N86" i="29"/>
  <c r="N85" i="29"/>
  <c r="N84" i="29"/>
  <c r="N83" i="29"/>
  <c r="N82" i="29"/>
  <c r="N81" i="29"/>
  <c r="N80" i="29"/>
  <c r="N79" i="29"/>
  <c r="N78" i="29"/>
  <c r="N77" i="29"/>
  <c r="N76" i="29"/>
  <c r="N75" i="29"/>
  <c r="N74" i="29"/>
  <c r="N73" i="29"/>
  <c r="N72" i="29"/>
  <c r="N71" i="29"/>
  <c r="N70" i="29"/>
  <c r="N69" i="29"/>
  <c r="N68" i="29"/>
  <c r="N67" i="29"/>
  <c r="N66" i="29"/>
  <c r="N65" i="29"/>
  <c r="N64" i="29"/>
  <c r="N63" i="29"/>
  <c r="N62" i="29"/>
  <c r="N61" i="29"/>
  <c r="N60" i="29"/>
  <c r="N59" i="29"/>
  <c r="N58" i="29"/>
  <c r="N57" i="29"/>
  <c r="N56" i="29"/>
  <c r="N55" i="29"/>
  <c r="N54" i="29"/>
  <c r="N53" i="29"/>
  <c r="N52" i="29"/>
  <c r="N51" i="29"/>
  <c r="N50" i="29"/>
  <c r="N49" i="29"/>
  <c r="N48" i="29"/>
  <c r="N47" i="29"/>
  <c r="N46" i="29"/>
  <c r="N45" i="29"/>
  <c r="N44" i="29"/>
  <c r="N43" i="29"/>
  <c r="N42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G9" i="29"/>
  <c r="E9" i="29" s="1"/>
  <c r="F9" i="29" s="1"/>
  <c r="G8" i="29"/>
  <c r="H8" i="29" s="1"/>
  <c r="G7" i="29"/>
  <c r="E7" i="29" s="1"/>
  <c r="F7" i="29" s="1"/>
  <c r="G6" i="29"/>
  <c r="E6" i="29" s="1"/>
  <c r="F6" i="29" s="1"/>
  <c r="N14" i="29"/>
  <c r="N13" i="29"/>
  <c r="N12" i="29"/>
  <c r="N11" i="29"/>
  <c r="N10" i="29"/>
  <c r="N9" i="29"/>
  <c r="N8" i="29"/>
  <c r="N7" i="29"/>
  <c r="N6" i="29"/>
  <c r="N5" i="29"/>
  <c r="N4" i="29"/>
  <c r="N3" i="29"/>
  <c r="N2" i="29"/>
  <c r="J6" i="29"/>
  <c r="J7" i="29"/>
  <c r="H7" i="29" s="1"/>
  <c r="J8" i="29"/>
  <c r="J9" i="29"/>
  <c r="H9" i="29" s="1"/>
  <c r="D10" i="29"/>
  <c r="J10" i="29" s="1"/>
  <c r="C10" i="29"/>
  <c r="K9" i="29"/>
  <c r="K8" i="29"/>
  <c r="K7" i="29"/>
  <c r="K6" i="29"/>
  <c r="R31" i="12"/>
  <c r="S31" i="12"/>
  <c r="O31" i="12"/>
  <c r="P31" i="12"/>
  <c r="P10" i="12"/>
  <c r="BB41" i="12" s="1"/>
  <c r="I11" i="12"/>
  <c r="I12" i="12"/>
  <c r="B4" i="23"/>
  <c r="B5" i="23" s="1"/>
  <c r="B27" i="24"/>
  <c r="B7" i="24"/>
  <c r="D6" i="24"/>
  <c r="V42" i="12"/>
  <c r="AF42" i="12"/>
  <c r="AC42" i="12"/>
  <c r="Z42" i="12"/>
  <c r="W42" i="12"/>
  <c r="BG42" i="12" s="1"/>
  <c r="F12" i="24"/>
  <c r="B8" i="23"/>
  <c r="B6" i="23"/>
  <c r="D12" i="24"/>
  <c r="E12" i="24"/>
  <c r="G12" i="24"/>
  <c r="H12" i="24"/>
  <c r="C4" i="23"/>
  <c r="C8" i="23"/>
  <c r="C5" i="23"/>
  <c r="C7" i="23" s="1"/>
  <c r="D4" i="23"/>
  <c r="D8" i="23"/>
  <c r="D5" i="23" s="1"/>
  <c r="D7" i="23" s="1"/>
  <c r="I12" i="24"/>
  <c r="BH41" i="12"/>
  <c r="BI41" i="12" s="1"/>
  <c r="BH40" i="12"/>
  <c r="BI40" i="12" s="1"/>
  <c r="BH39" i="12"/>
  <c r="BI39" i="12" s="1"/>
  <c r="BH38" i="12"/>
  <c r="BI38" i="12" s="1"/>
  <c r="BH37" i="12"/>
  <c r="BI37" i="12" s="1"/>
  <c r="BH36" i="12"/>
  <c r="BI36" i="12" s="1"/>
  <c r="AX37" i="12"/>
  <c r="AY37" i="12" s="1"/>
  <c r="AX38" i="12"/>
  <c r="AY38" i="12" s="1"/>
  <c r="AX39" i="12"/>
  <c r="AY39" i="12" s="1"/>
  <c r="AX40" i="12"/>
  <c r="AY40" i="12" s="1"/>
  <c r="AX41" i="12"/>
  <c r="AY41" i="12" s="1"/>
  <c r="AX36" i="12"/>
  <c r="AY36" i="12" s="1"/>
  <c r="D20" i="24"/>
  <c r="I31" i="12" s="1"/>
  <c r="E20" i="24"/>
  <c r="J31" i="12" s="1"/>
  <c r="I13" i="12"/>
  <c r="I14" i="12"/>
  <c r="I15" i="12"/>
  <c r="I16" i="12"/>
  <c r="I17" i="12"/>
  <c r="I18" i="12"/>
  <c r="I19" i="12"/>
  <c r="I20" i="12"/>
  <c r="I21" i="12"/>
  <c r="I22" i="12"/>
  <c r="I23" i="12"/>
  <c r="G20" i="24"/>
  <c r="I33" i="12" s="1"/>
  <c r="H20" i="24"/>
  <c r="J33" i="12" s="1"/>
  <c r="Q10" i="12"/>
  <c r="J11" i="12"/>
  <c r="Q11" i="12" s="1"/>
  <c r="J12" i="12"/>
  <c r="J13" i="12"/>
  <c r="J14" i="12"/>
  <c r="J15" i="12"/>
  <c r="J16" i="12"/>
  <c r="J17" i="12"/>
  <c r="J18" i="12"/>
  <c r="J19" i="12"/>
  <c r="J20" i="12"/>
  <c r="J21" i="12"/>
  <c r="J22" i="12"/>
  <c r="J23" i="12"/>
  <c r="R10" i="12"/>
  <c r="K11" i="12"/>
  <c r="R11" i="12" s="1"/>
  <c r="K12" i="12"/>
  <c r="K13" i="12"/>
  <c r="K14" i="12"/>
  <c r="K15" i="12"/>
  <c r="K16" i="12"/>
  <c r="K17" i="12"/>
  <c r="K18" i="12"/>
  <c r="K19" i="12"/>
  <c r="K20" i="12"/>
  <c r="K21" i="12"/>
  <c r="K22" i="12"/>
  <c r="K23" i="12"/>
  <c r="S10" i="12"/>
  <c r="AU41" i="12" s="1"/>
  <c r="L11" i="12"/>
  <c r="S11" i="12" s="1"/>
  <c r="L12" i="12"/>
  <c r="L13" i="12"/>
  <c r="L14" i="12"/>
  <c r="L15" i="12"/>
  <c r="L16" i="12"/>
  <c r="L17" i="12"/>
  <c r="L18" i="12"/>
  <c r="L19" i="12"/>
  <c r="L20" i="12"/>
  <c r="L21" i="12"/>
  <c r="L22" i="12"/>
  <c r="L23" i="12"/>
  <c r="BD41" i="12"/>
  <c r="BE41" i="12"/>
  <c r="AT41" i="12"/>
  <c r="C61" i="12"/>
  <c r="D61" i="12"/>
  <c r="E61" i="12"/>
  <c r="F23" i="12"/>
  <c r="F10" i="12"/>
  <c r="F61" i="12" s="1"/>
  <c r="B61" i="12"/>
  <c r="F20" i="24"/>
  <c r="I20" i="24"/>
  <c r="D26" i="24" s="1"/>
  <c r="BM54" i="12"/>
  <c r="AW42" i="12"/>
  <c r="P5" i="12"/>
  <c r="AR36" i="12" s="1"/>
  <c r="C39" i="24"/>
  <c r="C37" i="24"/>
  <c r="C6" i="24" s="1"/>
  <c r="C36" i="24"/>
  <c r="C35" i="24"/>
  <c r="C34" i="24"/>
  <c r="M22" i="24"/>
  <c r="L22" i="24"/>
  <c r="M21" i="24"/>
  <c r="L21" i="24"/>
  <c r="M20" i="24"/>
  <c r="L20" i="24"/>
  <c r="L19" i="24"/>
  <c r="C7" i="24"/>
  <c r="C8" i="24"/>
  <c r="C9" i="24"/>
  <c r="C10" i="24"/>
  <c r="C12" i="24"/>
  <c r="C14" i="24"/>
  <c r="B6" i="24"/>
  <c r="B8" i="24"/>
  <c r="B9" i="24"/>
  <c r="B10" i="24"/>
  <c r="B12" i="24"/>
  <c r="B13" i="24"/>
  <c r="B14" i="24"/>
  <c r="K16" i="24"/>
  <c r="L16" i="24" s="1"/>
  <c r="J16" i="24"/>
  <c r="M16" i="24"/>
  <c r="M15" i="24"/>
  <c r="M14" i="24"/>
  <c r="I14" i="24"/>
  <c r="H14" i="24"/>
  <c r="G14" i="24"/>
  <c r="F14" i="24"/>
  <c r="E14" i="24"/>
  <c r="D14" i="24"/>
  <c r="M13" i="24"/>
  <c r="I13" i="24"/>
  <c r="H13" i="24"/>
  <c r="G13" i="24"/>
  <c r="F13" i="24"/>
  <c r="E13" i="24"/>
  <c r="D13" i="24"/>
  <c r="M12" i="24"/>
  <c r="M11" i="24"/>
  <c r="M10" i="24"/>
  <c r="I10" i="24"/>
  <c r="H10" i="24"/>
  <c r="G10" i="24"/>
  <c r="F10" i="24"/>
  <c r="E10" i="24"/>
  <c r="D10" i="24"/>
  <c r="M9" i="24"/>
  <c r="I9" i="24"/>
  <c r="H9" i="24"/>
  <c r="G9" i="24"/>
  <c r="F9" i="24"/>
  <c r="E9" i="24"/>
  <c r="D9" i="24"/>
  <c r="M8" i="24"/>
  <c r="I8" i="24"/>
  <c r="H8" i="24"/>
  <c r="G8" i="24"/>
  <c r="F8" i="24"/>
  <c r="E8" i="24"/>
  <c r="D8" i="24"/>
  <c r="M7" i="24"/>
  <c r="I7" i="24"/>
  <c r="H7" i="24"/>
  <c r="G7" i="24"/>
  <c r="F7" i="24"/>
  <c r="E7" i="24"/>
  <c r="D7" i="24"/>
  <c r="M6" i="24"/>
  <c r="I6" i="24"/>
  <c r="H6" i="24"/>
  <c r="G6" i="24"/>
  <c r="F6" i="24"/>
  <c r="E6" i="24"/>
  <c r="D6" i="23"/>
  <c r="C6" i="23"/>
  <c r="CK39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S9" i="12"/>
  <c r="E40" i="12" s="1"/>
  <c r="R9" i="12"/>
  <c r="D40" i="12" s="1"/>
  <c r="Q9" i="12"/>
  <c r="BC40" i="12" s="1"/>
  <c r="P9" i="12"/>
  <c r="BB40" i="12" s="1"/>
  <c r="F9" i="12"/>
  <c r="S8" i="12"/>
  <c r="BE39" i="12" s="1"/>
  <c r="R8" i="12"/>
  <c r="BD39" i="12" s="1"/>
  <c r="Q8" i="12"/>
  <c r="AS39" i="12" s="1"/>
  <c r="P8" i="12"/>
  <c r="B39" i="12" s="1"/>
  <c r="F8" i="12"/>
  <c r="S7" i="12"/>
  <c r="BE38" i="12" s="1"/>
  <c r="R7" i="12"/>
  <c r="AT38" i="12" s="1"/>
  <c r="Q7" i="12"/>
  <c r="C38" i="12" s="1"/>
  <c r="P7" i="12"/>
  <c r="BB38" i="12" s="1"/>
  <c r="F7" i="12"/>
  <c r="S6" i="12"/>
  <c r="BE37" i="12" s="1"/>
  <c r="R6" i="12"/>
  <c r="D37" i="12" s="1"/>
  <c r="Q6" i="12"/>
  <c r="AS37" i="12" s="1"/>
  <c r="P6" i="12"/>
  <c r="BB37" i="12" s="1"/>
  <c r="F6" i="12"/>
  <c r="S5" i="12"/>
  <c r="BE36" i="12" s="1"/>
  <c r="R5" i="12"/>
  <c r="D36" i="12" s="1"/>
  <c r="Q5" i="12"/>
  <c r="AS36" i="12" s="1"/>
  <c r="F5" i="12"/>
  <c r="C41" i="12"/>
  <c r="B41" i="12"/>
  <c r="D41" i="12"/>
  <c r="BC36" i="12"/>
  <c r="E36" i="12"/>
  <c r="BC37" i="12"/>
  <c r="E38" i="12"/>
  <c r="E39" i="12"/>
  <c r="C40" i="12"/>
  <c r="AU40" i="12"/>
  <c r="BC41" i="12"/>
  <c r="AS41" i="12"/>
  <c r="B37" i="12"/>
  <c r="BD37" i="12"/>
  <c r="BD38" i="12"/>
  <c r="AR39" i="12"/>
  <c r="B40" i="12"/>
  <c r="M19" i="24"/>
  <c r="K10" i="29"/>
  <c r="T6" i="12" l="1"/>
  <c r="AT36" i="12"/>
  <c r="BC39" i="12"/>
  <c r="AU37" i="12"/>
  <c r="T33" i="12"/>
  <c r="AE54" i="12"/>
  <c r="AG54" i="12" s="1"/>
  <c r="T54" i="12"/>
  <c r="H6" i="29"/>
  <c r="AT40" i="12"/>
  <c r="AR40" i="12"/>
  <c r="D38" i="12"/>
  <c r="AR38" i="12"/>
  <c r="BD36" i="12"/>
  <c r="AU39" i="12"/>
  <c r="C37" i="12"/>
  <c r="I44" i="12"/>
  <c r="AB45" i="12"/>
  <c r="AD45" i="12" s="1"/>
  <c r="Q33" i="12"/>
  <c r="AB54" i="12"/>
  <c r="O46" i="12"/>
  <c r="Q46" i="12" s="1"/>
  <c r="Q43" i="12"/>
  <c r="AB43" i="12"/>
  <c r="AD43" i="12" s="1"/>
  <c r="AU42" i="12"/>
  <c r="S12" i="12"/>
  <c r="S13" i="12" s="1"/>
  <c r="S14" i="12" s="1"/>
  <c r="S15" i="12" s="1"/>
  <c r="S16" i="12" s="1"/>
  <c r="S17" i="12" s="1"/>
  <c r="S18" i="12" s="1"/>
  <c r="S19" i="12" s="1"/>
  <c r="S20" i="12" s="1"/>
  <c r="S21" i="12" s="1"/>
  <c r="S22" i="12" s="1"/>
  <c r="S23" i="12" s="1"/>
  <c r="E60" i="12" s="1"/>
  <c r="BE42" i="12"/>
  <c r="E51" i="12"/>
  <c r="E47" i="12"/>
  <c r="E43" i="12"/>
  <c r="E53" i="12"/>
  <c r="E49" i="12"/>
  <c r="E45" i="12"/>
  <c r="E42" i="12"/>
  <c r="BF41" i="12"/>
  <c r="BD40" i="12"/>
  <c r="B38" i="12"/>
  <c r="F38" i="12" s="1"/>
  <c r="B36" i="12"/>
  <c r="C39" i="12"/>
  <c r="E37" i="12"/>
  <c r="AR41" i="12"/>
  <c r="AV41" i="12" s="1"/>
  <c r="D28" i="24"/>
  <c r="B28" i="24"/>
  <c r="T31" i="12"/>
  <c r="T35" i="12" s="1"/>
  <c r="T36" i="12"/>
  <c r="R12" i="12"/>
  <c r="R13" i="12" s="1"/>
  <c r="R14" i="12" s="1"/>
  <c r="AT42" i="12"/>
  <c r="D50" i="12"/>
  <c r="D46" i="12"/>
  <c r="D53" i="12"/>
  <c r="D51" i="12"/>
  <c r="D47" i="12"/>
  <c r="D44" i="12"/>
  <c r="D42" i="12"/>
  <c r="BD42" i="12"/>
  <c r="D48" i="12"/>
  <c r="D54" i="12"/>
  <c r="D52" i="12"/>
  <c r="D49" i="12"/>
  <c r="D45" i="12"/>
  <c r="D43" i="12"/>
  <c r="BF37" i="12"/>
  <c r="F40" i="12"/>
  <c r="L44" i="12"/>
  <c r="Y43" i="12"/>
  <c r="AC43" i="12"/>
  <c r="BD43" i="12" s="1"/>
  <c r="E44" i="12"/>
  <c r="E46" i="12"/>
  <c r="E48" i="12"/>
  <c r="E50" i="12"/>
  <c r="E52" i="12"/>
  <c r="E54" i="12"/>
  <c r="T8" i="12"/>
  <c r="D39" i="12"/>
  <c r="BB39" i="12"/>
  <c r="BF39" i="12" s="1"/>
  <c r="AR37" i="12"/>
  <c r="BB36" i="12"/>
  <c r="BF36" i="12" s="1"/>
  <c r="BE40" i="12"/>
  <c r="BF40" i="12" s="1"/>
  <c r="AU38" i="12"/>
  <c r="BC38" i="12"/>
  <c r="BF38" i="12" s="1"/>
  <c r="AU36" i="12"/>
  <c r="AV36" i="12" s="1"/>
  <c r="E41" i="12"/>
  <c r="F41" i="12" s="1"/>
  <c r="T10" i="12"/>
  <c r="P11" i="12"/>
  <c r="B53" i="12" s="1"/>
  <c r="Q31" i="12"/>
  <c r="Q35" i="12" s="1"/>
  <c r="Q36" i="12"/>
  <c r="AB46" i="12"/>
  <c r="AD46" i="12" s="1"/>
  <c r="O47" i="12"/>
  <c r="AB44" i="12"/>
  <c r="Q44" i="12"/>
  <c r="S54" i="12"/>
  <c r="S55" i="12" s="1"/>
  <c r="K31" i="12"/>
  <c r="H10" i="29"/>
  <c r="Q12" i="12"/>
  <c r="AS42" i="12"/>
  <c r="C53" i="12"/>
  <c r="C51" i="12"/>
  <c r="C49" i="12"/>
  <c r="C47" i="12"/>
  <c r="C45" i="12"/>
  <c r="C43" i="12"/>
  <c r="C42" i="12"/>
  <c r="BC42" i="12"/>
  <c r="C54" i="12"/>
  <c r="C52" i="12"/>
  <c r="C50" i="12"/>
  <c r="C48" i="12"/>
  <c r="C46" i="12"/>
  <c r="C44" i="12"/>
  <c r="G10" i="29"/>
  <c r="E10" i="29" s="1"/>
  <c r="E5" i="23"/>
  <c r="E7" i="23" s="1"/>
  <c r="B7" i="23"/>
  <c r="B51" i="12"/>
  <c r="F51" i="12" s="1"/>
  <c r="B43" i="12"/>
  <c r="B50" i="12"/>
  <c r="B42" i="12"/>
  <c r="P43" i="12"/>
  <c r="AT43" i="12" s="1"/>
  <c r="K54" i="12"/>
  <c r="BO54" i="12" s="1"/>
  <c r="K42" i="12"/>
  <c r="K35" i="12"/>
  <c r="M399" i="29"/>
  <c r="N398" i="29"/>
  <c r="T9" i="12"/>
  <c r="T7" i="12"/>
  <c r="T5" i="12"/>
  <c r="AT39" i="12"/>
  <c r="AV39" i="12" s="1"/>
  <c r="AT37" i="12"/>
  <c r="AS40" i="12"/>
  <c r="AV40" i="12" s="1"/>
  <c r="AS38" i="12"/>
  <c r="C36" i="12"/>
  <c r="F36" i="12" s="1"/>
  <c r="L6" i="24"/>
  <c r="L7" i="24"/>
  <c r="L8" i="24"/>
  <c r="L9" i="24"/>
  <c r="L10" i="24"/>
  <c r="L11" i="24"/>
  <c r="L12" i="24"/>
  <c r="L13" i="24"/>
  <c r="L14" i="24"/>
  <c r="L15" i="24"/>
  <c r="C13" i="24"/>
  <c r="AU54" i="12"/>
  <c r="K33" i="12"/>
  <c r="X42" i="12"/>
  <c r="B26" i="24"/>
  <c r="N351" i="29"/>
  <c r="N353" i="29"/>
  <c r="N355" i="29"/>
  <c r="N357" i="29"/>
  <c r="N359" i="29"/>
  <c r="N361" i="29"/>
  <c r="N363" i="29"/>
  <c r="N365" i="29"/>
  <c r="N367" i="29"/>
  <c r="N369" i="29"/>
  <c r="N371" i="29"/>
  <c r="N373" i="29"/>
  <c r="N375" i="29"/>
  <c r="N377" i="29"/>
  <c r="N379" i="29"/>
  <c r="N381" i="29"/>
  <c r="N383" i="29"/>
  <c r="N385" i="29"/>
  <c r="N387" i="29"/>
  <c r="N389" i="29"/>
  <c r="N391" i="29"/>
  <c r="N393" i="29"/>
  <c r="N395" i="29"/>
  <c r="N397" i="29"/>
  <c r="AF54" i="12"/>
  <c r="AF55" i="12" s="1"/>
  <c r="X43" i="12"/>
  <c r="X54" i="12"/>
  <c r="BS54" i="12" s="1"/>
  <c r="K44" i="12"/>
  <c r="BO44" i="12" s="1"/>
  <c r="BP44" i="12" s="1"/>
  <c r="K43" i="12"/>
  <c r="R44" i="12"/>
  <c r="AE43" i="12"/>
  <c r="T43" i="12"/>
  <c r="F50" i="12" l="1"/>
  <c r="AV38" i="12"/>
  <c r="F42" i="12"/>
  <c r="F43" i="12"/>
  <c r="F39" i="12"/>
  <c r="F37" i="12"/>
  <c r="T11" i="12"/>
  <c r="B46" i="12"/>
  <c r="F46" i="12" s="1"/>
  <c r="B54" i="12"/>
  <c r="F54" i="12" s="1"/>
  <c r="B47" i="12"/>
  <c r="P12" i="12"/>
  <c r="S43" i="12"/>
  <c r="AU43" i="12" s="1"/>
  <c r="BP54" i="12"/>
  <c r="V44" i="12"/>
  <c r="X44" i="12" s="1"/>
  <c r="BS44" i="12" s="1"/>
  <c r="BT44" i="12" s="1"/>
  <c r="I45" i="12"/>
  <c r="AD54" i="12"/>
  <c r="D27" i="24"/>
  <c r="F47" i="12"/>
  <c r="F53" i="12"/>
  <c r="BO58" i="12"/>
  <c r="BP58" i="12" s="1"/>
  <c r="BO56" i="12"/>
  <c r="BP56" i="12" s="1"/>
  <c r="BO57" i="12"/>
  <c r="BP57" i="12" s="1"/>
  <c r="BO59" i="12"/>
  <c r="BP59" i="12" s="1"/>
  <c r="BO55" i="12"/>
  <c r="BP55" i="12" s="1"/>
  <c r="J43" i="12"/>
  <c r="AR43" i="12" s="1"/>
  <c r="Q47" i="12"/>
  <c r="O48" i="12"/>
  <c r="AB47" i="12"/>
  <c r="Y44" i="12"/>
  <c r="L45" i="12"/>
  <c r="R15" i="12"/>
  <c r="AC45" i="12"/>
  <c r="BD45" i="12" s="1"/>
  <c r="BT54" i="12"/>
  <c r="BS55" i="12"/>
  <c r="AV37" i="12"/>
  <c r="P45" i="12"/>
  <c r="AT45" i="12" s="1"/>
  <c r="P44" i="12"/>
  <c r="AT44" i="12" s="1"/>
  <c r="AR42" i="12"/>
  <c r="AV42" i="12" s="1"/>
  <c r="B44" i="12"/>
  <c r="F44" i="12" s="1"/>
  <c r="B48" i="12"/>
  <c r="F48" i="12" s="1"/>
  <c r="B52" i="12"/>
  <c r="F52" i="12" s="1"/>
  <c r="BB42" i="12"/>
  <c r="BF42" i="12" s="1"/>
  <c r="B45" i="12"/>
  <c r="F45" i="12" s="1"/>
  <c r="B49" i="12"/>
  <c r="F49" i="12" s="1"/>
  <c r="AD44" i="12"/>
  <c r="AC44" i="12"/>
  <c r="BD44" i="12" s="1"/>
  <c r="AG43" i="12"/>
  <c r="AF43" i="12"/>
  <c r="BE43" i="12" s="1"/>
  <c r="E62" i="12"/>
  <c r="E65" i="12"/>
  <c r="H19" i="24"/>
  <c r="F19" i="24"/>
  <c r="E19" i="24"/>
  <c r="D19" i="24"/>
  <c r="G19" i="24"/>
  <c r="I19" i="24"/>
  <c r="M400" i="29"/>
  <c r="N399" i="29"/>
  <c r="R45" i="12"/>
  <c r="AE44" i="12"/>
  <c r="T44" i="12"/>
  <c r="S44" i="12"/>
  <c r="AU44" i="12" s="1"/>
  <c r="K36" i="12"/>
  <c r="W43" i="12"/>
  <c r="BB43" i="12" s="1"/>
  <c r="BE54" i="12"/>
  <c r="P13" i="12"/>
  <c r="T12" i="12"/>
  <c r="Q13" i="12"/>
  <c r="V45" i="12" l="1"/>
  <c r="X45" i="12" s="1"/>
  <c r="I46" i="12"/>
  <c r="K45" i="12"/>
  <c r="R16" i="12"/>
  <c r="AC47" i="12" s="1"/>
  <c r="BD47" i="12" s="1"/>
  <c r="AC46" i="12"/>
  <c r="BD46" i="12" s="1"/>
  <c r="P46" i="12"/>
  <c r="AT46" i="12" s="1"/>
  <c r="Q48" i="12"/>
  <c r="O49" i="12"/>
  <c r="AB48" i="12"/>
  <c r="BS56" i="12"/>
  <c r="BT55" i="12"/>
  <c r="L46" i="12"/>
  <c r="N46" i="12" s="1"/>
  <c r="BQ46" i="12" s="1"/>
  <c r="Y45" i="12"/>
  <c r="AA45" i="12" s="1"/>
  <c r="BU45" i="12" s="1"/>
  <c r="AD47" i="12"/>
  <c r="Q14" i="12"/>
  <c r="P14" i="12"/>
  <c r="T13" i="12"/>
  <c r="J44" i="12"/>
  <c r="AR44" i="12" s="1"/>
  <c r="R46" i="12"/>
  <c r="T45" i="12"/>
  <c r="AE45" i="12"/>
  <c r="S45" i="12"/>
  <c r="AU45" i="12" s="1"/>
  <c r="AA44" i="12"/>
  <c r="BU44" i="12" s="1"/>
  <c r="AA43" i="12"/>
  <c r="AA54" i="12"/>
  <c r="BU54" i="12" s="1"/>
  <c r="BP73" i="12" s="1"/>
  <c r="BP75" i="12" s="1"/>
  <c r="I15" i="24"/>
  <c r="D25" i="24"/>
  <c r="AA42" i="12"/>
  <c r="L31" i="12"/>
  <c r="D15" i="24"/>
  <c r="N43" i="12"/>
  <c r="N54" i="12"/>
  <c r="BQ54" i="12" s="1"/>
  <c r="BO73" i="12" s="1"/>
  <c r="BO75" i="12" s="1"/>
  <c r="N42" i="12"/>
  <c r="F15" i="24"/>
  <c r="B25" i="24"/>
  <c r="N45" i="12"/>
  <c r="BQ45" i="12" s="1"/>
  <c r="N44" i="12"/>
  <c r="BQ44" i="12" s="1"/>
  <c r="E66" i="12"/>
  <c r="E63" i="12"/>
  <c r="W44" i="12"/>
  <c r="AG44" i="12"/>
  <c r="AF44" i="12"/>
  <c r="BE44" i="12" s="1"/>
  <c r="M401" i="29"/>
  <c r="N400" i="29"/>
  <c r="L33" i="12"/>
  <c r="G15" i="24"/>
  <c r="M31" i="12"/>
  <c r="E15" i="24"/>
  <c r="M33" i="12"/>
  <c r="H15" i="24"/>
  <c r="BO45" i="12" l="1"/>
  <c r="BP45" i="12" s="1"/>
  <c r="BS45" i="12"/>
  <c r="BT45" i="12" s="1"/>
  <c r="V46" i="12"/>
  <c r="X46" i="12" s="1"/>
  <c r="BS46" i="12" s="1"/>
  <c r="BT46" i="12" s="1"/>
  <c r="I47" i="12"/>
  <c r="K46" i="12"/>
  <c r="BO46" i="12" s="1"/>
  <c r="BP46" i="12" s="1"/>
  <c r="BH43" i="12"/>
  <c r="BI43" i="12" s="1"/>
  <c r="BR44" i="12"/>
  <c r="BR46" i="12"/>
  <c r="BU57" i="12"/>
  <c r="BU59" i="12"/>
  <c r="BU58" i="12"/>
  <c r="BU56" i="12"/>
  <c r="BU55" i="12"/>
  <c r="BV54" i="12"/>
  <c r="L47" i="12"/>
  <c r="Y46" i="12"/>
  <c r="AA46" i="12" s="1"/>
  <c r="BU46" i="12" s="1"/>
  <c r="BS57" i="12"/>
  <c r="BT56" i="12"/>
  <c r="AD48" i="12"/>
  <c r="BR45" i="12"/>
  <c r="BR54" i="12"/>
  <c r="BQ58" i="12"/>
  <c r="BR58" i="12" s="1"/>
  <c r="BQ56" i="12"/>
  <c r="BR56" i="12" s="1"/>
  <c r="BQ57" i="12"/>
  <c r="BR57" i="12" s="1"/>
  <c r="BQ59" i="12"/>
  <c r="BR59" i="12" s="1"/>
  <c r="BQ55" i="12"/>
  <c r="BR55" i="12" s="1"/>
  <c r="BV45" i="12"/>
  <c r="BV44" i="12"/>
  <c r="Q49" i="12"/>
  <c r="O50" i="12"/>
  <c r="AB49" i="12"/>
  <c r="R17" i="12"/>
  <c r="P47" i="12"/>
  <c r="AT47" i="12" s="1"/>
  <c r="BH44" i="12"/>
  <c r="AX44" i="12"/>
  <c r="B29" i="24"/>
  <c r="C25" i="24" s="1"/>
  <c r="AX42" i="12"/>
  <c r="AY42" i="12" s="1"/>
  <c r="AX43" i="12"/>
  <c r="AY43" i="12" s="1"/>
  <c r="W29" i="12"/>
  <c r="W30" i="12" s="1"/>
  <c r="N31" i="12"/>
  <c r="D29" i="24"/>
  <c r="E25" i="24" s="1"/>
  <c r="P15" i="12"/>
  <c r="J45" i="12"/>
  <c r="T14" i="12"/>
  <c r="W45" i="12"/>
  <c r="Q15" i="12"/>
  <c r="N33" i="12"/>
  <c r="M402" i="29"/>
  <c r="N401" i="29"/>
  <c r="AX45" i="12"/>
  <c r="AY45" i="12" s="1"/>
  <c r="BH42" i="12"/>
  <c r="BI42" i="12" s="1"/>
  <c r="AG45" i="12"/>
  <c r="AF45" i="12"/>
  <c r="BE45" i="12" s="1"/>
  <c r="R47" i="12"/>
  <c r="T46" i="12"/>
  <c r="AE46" i="12"/>
  <c r="S46" i="12"/>
  <c r="AU46" i="12" s="1"/>
  <c r="BB44" i="12"/>
  <c r="AX46" i="12" l="1"/>
  <c r="AY46" i="12" s="1"/>
  <c r="V47" i="12"/>
  <c r="X47" i="12" s="1"/>
  <c r="BS47" i="12" s="1"/>
  <c r="BT47" i="12" s="1"/>
  <c r="I48" i="12"/>
  <c r="K47" i="12"/>
  <c r="BO47" i="12" s="1"/>
  <c r="BP47" i="12" s="1"/>
  <c r="R18" i="12"/>
  <c r="AC49" i="12" s="1"/>
  <c r="BD49" i="12" s="1"/>
  <c r="P48" i="12"/>
  <c r="AT48" i="12" s="1"/>
  <c r="AD49" i="12"/>
  <c r="AC48" i="12"/>
  <c r="BD48" i="12" s="1"/>
  <c r="BV46" i="12"/>
  <c r="BI44" i="12"/>
  <c r="Q50" i="12"/>
  <c r="O51" i="12"/>
  <c r="AB50" i="12"/>
  <c r="BS58" i="12"/>
  <c r="BT57" i="12"/>
  <c r="L48" i="12"/>
  <c r="Y47" i="12"/>
  <c r="AA47" i="12" s="1"/>
  <c r="N47" i="12"/>
  <c r="BV57" i="12"/>
  <c r="BV58" i="12"/>
  <c r="BV59" i="12"/>
  <c r="BV55" i="12"/>
  <c r="BV56" i="12"/>
  <c r="BJ44" i="12"/>
  <c r="AG46" i="12"/>
  <c r="BH46" i="12" s="1"/>
  <c r="AF46" i="12"/>
  <c r="BE46" i="12" s="1"/>
  <c r="R48" i="12"/>
  <c r="T47" i="12"/>
  <c r="AX47" i="12" s="1"/>
  <c r="AY47" i="12" s="1"/>
  <c r="AE47" i="12"/>
  <c r="S47" i="12"/>
  <c r="AU47" i="12" s="1"/>
  <c r="BH45" i="12"/>
  <c r="M403" i="29"/>
  <c r="N402" i="29"/>
  <c r="Q16" i="12"/>
  <c r="P16" i="12"/>
  <c r="J46" i="12"/>
  <c r="T15" i="12"/>
  <c r="W46" i="12"/>
  <c r="M44" i="12"/>
  <c r="M47" i="12"/>
  <c r="M46" i="12"/>
  <c r="AS46" i="12" s="1"/>
  <c r="M45" i="12"/>
  <c r="AS45" i="12" s="1"/>
  <c r="M43" i="12"/>
  <c r="N35" i="12"/>
  <c r="U35" i="12" s="1"/>
  <c r="Z44" i="12"/>
  <c r="Z46" i="12"/>
  <c r="BC46" i="12" s="1"/>
  <c r="Z43" i="12"/>
  <c r="N36" i="12"/>
  <c r="U36" i="12" s="1"/>
  <c r="Z45" i="12"/>
  <c r="BC45" i="12" s="1"/>
  <c r="BB45" i="12"/>
  <c r="AR45" i="12"/>
  <c r="E27" i="24"/>
  <c r="E26" i="24"/>
  <c r="E28" i="24"/>
  <c r="C27" i="24"/>
  <c r="C28" i="24"/>
  <c r="C26" i="24"/>
  <c r="AZ45" i="12"/>
  <c r="AZ44" i="12"/>
  <c r="AY44" i="12"/>
  <c r="AZ46" i="12" l="1"/>
  <c r="BF45" i="12"/>
  <c r="Z47" i="12"/>
  <c r="BC47" i="12" s="1"/>
  <c r="AZ47" i="12"/>
  <c r="AV45" i="12"/>
  <c r="V48" i="12"/>
  <c r="X48" i="12" s="1"/>
  <c r="BS48" i="12" s="1"/>
  <c r="BT48" i="12" s="1"/>
  <c r="I49" i="12"/>
  <c r="K48" i="12"/>
  <c r="BG45" i="12"/>
  <c r="BQ47" i="12"/>
  <c r="L49" i="12"/>
  <c r="Y48" i="12"/>
  <c r="AA48" i="12" s="1"/>
  <c r="BU48" i="12" s="1"/>
  <c r="N48" i="12"/>
  <c r="BQ48" i="12" s="1"/>
  <c r="BT58" i="12"/>
  <c r="BS59" i="12"/>
  <c r="Q51" i="12"/>
  <c r="O52" i="12"/>
  <c r="AB51" i="12"/>
  <c r="R19" i="12"/>
  <c r="P49" i="12"/>
  <c r="AT49" i="12" s="1"/>
  <c r="BU47" i="12"/>
  <c r="AD50" i="12"/>
  <c r="AC50" i="12"/>
  <c r="BD50" i="12" s="1"/>
  <c r="BI46" i="12"/>
  <c r="BJ45" i="12"/>
  <c r="BC43" i="12"/>
  <c r="BF43" i="12" s="1"/>
  <c r="BG43" i="12"/>
  <c r="BC44" i="12"/>
  <c r="BF44" i="12" s="1"/>
  <c r="BG44" i="12"/>
  <c r="BG46" i="12"/>
  <c r="AW46" i="12"/>
  <c r="AW45" i="12"/>
  <c r="AS43" i="12"/>
  <c r="AV43" i="12" s="1"/>
  <c r="AW43" i="12"/>
  <c r="AS44" i="12"/>
  <c r="AV44" i="12" s="1"/>
  <c r="AW44" i="12"/>
  <c r="BB46" i="12"/>
  <c r="BF46" i="12" s="1"/>
  <c r="AR46" i="12"/>
  <c r="AV46" i="12" s="1"/>
  <c r="P17" i="12"/>
  <c r="J47" i="12"/>
  <c r="AW47" i="12" s="1"/>
  <c r="T16" i="12"/>
  <c r="W47" i="12"/>
  <c r="Q17" i="12"/>
  <c r="AS47" i="12"/>
  <c r="M404" i="29"/>
  <c r="N403" i="29"/>
  <c r="BI45" i="12"/>
  <c r="BJ46" i="12"/>
  <c r="AG47" i="12"/>
  <c r="AF47" i="12"/>
  <c r="BE47" i="12" s="1"/>
  <c r="T48" i="12"/>
  <c r="R49" i="12"/>
  <c r="AE48" i="12"/>
  <c r="S48" i="12"/>
  <c r="AU48" i="12" s="1"/>
  <c r="V49" i="12" l="1"/>
  <c r="X49" i="12" s="1"/>
  <c r="I50" i="12"/>
  <c r="K49" i="12"/>
  <c r="BO49" i="12" s="1"/>
  <c r="BP49" i="12" s="1"/>
  <c r="AX48" i="12"/>
  <c r="BO48" i="12"/>
  <c r="BP48" i="12" s="1"/>
  <c r="AD51" i="12"/>
  <c r="BV48" i="12"/>
  <c r="BV47" i="12"/>
  <c r="R20" i="12"/>
  <c r="P50" i="12"/>
  <c r="AT50" i="12" s="1"/>
  <c r="Q52" i="12"/>
  <c r="O53" i="12"/>
  <c r="AB52" i="12"/>
  <c r="BT59" i="12"/>
  <c r="BR48" i="12"/>
  <c r="L50" i="12"/>
  <c r="Y49" i="12"/>
  <c r="AA49" i="12" s="1"/>
  <c r="N49" i="12"/>
  <c r="BR47" i="12"/>
  <c r="T49" i="12"/>
  <c r="R50" i="12"/>
  <c r="AE49" i="12"/>
  <c r="S49" i="12"/>
  <c r="AU49" i="12" s="1"/>
  <c r="Q18" i="12"/>
  <c r="Z48" i="12"/>
  <c r="BC48" i="12" s="1"/>
  <c r="M48" i="12"/>
  <c r="AS48" i="12" s="1"/>
  <c r="P18" i="12"/>
  <c r="J48" i="12"/>
  <c r="AW48" i="12" s="1"/>
  <c r="T17" i="12"/>
  <c r="W48" i="12"/>
  <c r="AG48" i="12"/>
  <c r="BH48" i="12" s="1"/>
  <c r="AF48" i="12"/>
  <c r="BE48" i="12" s="1"/>
  <c r="AY48" i="12"/>
  <c r="AZ48" i="12"/>
  <c r="BH47" i="12"/>
  <c r="M405" i="29"/>
  <c r="N404" i="29"/>
  <c r="BG47" i="12"/>
  <c r="BB47" i="12"/>
  <c r="BF47" i="12" s="1"/>
  <c r="AR47" i="12"/>
  <c r="AV47" i="12" s="1"/>
  <c r="BS49" i="12" l="1"/>
  <c r="BT49" i="12" s="1"/>
  <c r="V50" i="12"/>
  <c r="X50" i="12" s="1"/>
  <c r="BS50" i="12" s="1"/>
  <c r="BT50" i="12" s="1"/>
  <c r="I51" i="12"/>
  <c r="K50" i="12"/>
  <c r="BO50" i="12" s="1"/>
  <c r="BP50" i="12" s="1"/>
  <c r="BQ49" i="12"/>
  <c r="L51" i="12"/>
  <c r="Y50" i="12"/>
  <c r="AA50" i="12" s="1"/>
  <c r="BU50" i="12" s="1"/>
  <c r="N50" i="12"/>
  <c r="BQ50" i="12" s="1"/>
  <c r="AD52" i="12"/>
  <c r="R21" i="12"/>
  <c r="P51" i="12"/>
  <c r="AT51" i="12" s="1"/>
  <c r="AX49" i="12"/>
  <c r="BU49" i="12"/>
  <c r="Q53" i="12"/>
  <c r="Q55" i="12" s="1"/>
  <c r="AB53" i="12"/>
  <c r="AC51" i="12"/>
  <c r="BD51" i="12" s="1"/>
  <c r="BI48" i="12"/>
  <c r="BG48" i="12"/>
  <c r="BB48" i="12"/>
  <c r="BF48" i="12" s="1"/>
  <c r="AR48" i="12"/>
  <c r="AV48" i="12" s="1"/>
  <c r="P19" i="12"/>
  <c r="J49" i="12"/>
  <c r="AR49" i="12" s="1"/>
  <c r="T18" i="12"/>
  <c r="W49" i="12"/>
  <c r="T50" i="12"/>
  <c r="R51" i="12"/>
  <c r="AE50" i="12"/>
  <c r="S50" i="12"/>
  <c r="AU50" i="12" s="1"/>
  <c r="M406" i="29"/>
  <c r="N405" i="29"/>
  <c r="BI47" i="12"/>
  <c r="BJ47" i="12"/>
  <c r="BJ48" i="12"/>
  <c r="Q19" i="12"/>
  <c r="M49" i="12"/>
  <c r="AS49" i="12" s="1"/>
  <c r="Z49" i="12"/>
  <c r="BC49" i="12" s="1"/>
  <c r="AG49" i="12"/>
  <c r="BH49" i="12" s="1"/>
  <c r="AF49" i="12"/>
  <c r="BE49" i="12" s="1"/>
  <c r="AX50" i="12" l="1"/>
  <c r="V51" i="12"/>
  <c r="X51" i="12" s="1"/>
  <c r="BS51" i="12" s="1"/>
  <c r="BT51" i="12" s="1"/>
  <c r="I52" i="12"/>
  <c r="K51" i="12"/>
  <c r="BO51" i="12" s="1"/>
  <c r="BP51" i="12" s="1"/>
  <c r="BV49" i="12"/>
  <c r="AY49" i="12"/>
  <c r="AZ49" i="12"/>
  <c r="R22" i="12"/>
  <c r="P52" i="12"/>
  <c r="AT52" i="12" s="1"/>
  <c r="BV50" i="12"/>
  <c r="AD53" i="12"/>
  <c r="AD55" i="12" s="1"/>
  <c r="AC52" i="12"/>
  <c r="BD52" i="12" s="1"/>
  <c r="BR50" i="12"/>
  <c r="L52" i="12"/>
  <c r="Y51" i="12"/>
  <c r="AA51" i="12" s="1"/>
  <c r="BU51" i="12" s="1"/>
  <c r="N51" i="12"/>
  <c r="BR49" i="12"/>
  <c r="BI49" i="12"/>
  <c r="AV49" i="12"/>
  <c r="T51" i="12"/>
  <c r="AX51" i="12" s="1"/>
  <c r="AY51" i="12" s="1"/>
  <c r="R52" i="12"/>
  <c r="AE51" i="12"/>
  <c r="S51" i="12"/>
  <c r="AU51" i="12" s="1"/>
  <c r="BG49" i="12"/>
  <c r="BB49" i="12"/>
  <c r="BF49" i="12" s="1"/>
  <c r="Q20" i="12"/>
  <c r="M50" i="12"/>
  <c r="AS50" i="12" s="1"/>
  <c r="Z50" i="12"/>
  <c r="BC50" i="12" s="1"/>
  <c r="BJ49" i="12"/>
  <c r="M407" i="29"/>
  <c r="N406" i="29"/>
  <c r="AG50" i="12"/>
  <c r="BH50" i="12" s="1"/>
  <c r="AF50" i="12"/>
  <c r="BE50" i="12" s="1"/>
  <c r="AY50" i="12"/>
  <c r="AZ50" i="12"/>
  <c r="AZ51" i="12"/>
  <c r="AW49" i="12"/>
  <c r="P20" i="12"/>
  <c r="J50" i="12"/>
  <c r="AW50" i="12" s="1"/>
  <c r="T19" i="12"/>
  <c r="W50" i="12"/>
  <c r="V52" i="12" l="1"/>
  <c r="X52" i="12" s="1"/>
  <c r="BS52" i="12" s="1"/>
  <c r="BT52" i="12" s="1"/>
  <c r="I53" i="12"/>
  <c r="K52" i="12"/>
  <c r="BO52" i="12" s="1"/>
  <c r="BP52" i="12" s="1"/>
  <c r="BQ51" i="12"/>
  <c r="L53" i="12"/>
  <c r="Y52" i="12"/>
  <c r="AA52" i="12" s="1"/>
  <c r="N52" i="12"/>
  <c r="BQ52" i="12" s="1"/>
  <c r="R23" i="12"/>
  <c r="P53" i="12"/>
  <c r="AT53" i="12" s="1"/>
  <c r="BG50" i="12"/>
  <c r="BV51" i="12"/>
  <c r="AC53" i="12"/>
  <c r="BD53" i="12" s="1"/>
  <c r="BI50" i="12"/>
  <c r="M408" i="29"/>
  <c r="N407" i="29"/>
  <c r="Q21" i="12"/>
  <c r="M51" i="12"/>
  <c r="AS51" i="12" s="1"/>
  <c r="Z51" i="12"/>
  <c r="BC51" i="12" s="1"/>
  <c r="AG51" i="12"/>
  <c r="BH51" i="12" s="1"/>
  <c r="BJ51" i="12" s="1"/>
  <c r="AF51" i="12"/>
  <c r="BE51" i="12" s="1"/>
  <c r="BB50" i="12"/>
  <c r="BF50" i="12" s="1"/>
  <c r="AR50" i="12"/>
  <c r="AV50" i="12" s="1"/>
  <c r="P21" i="12"/>
  <c r="J51" i="12"/>
  <c r="T20" i="12"/>
  <c r="W51" i="12"/>
  <c r="T52" i="12"/>
  <c r="R53" i="12"/>
  <c r="AE52" i="12"/>
  <c r="S52" i="12"/>
  <c r="AU52" i="12" s="1"/>
  <c r="BJ50" i="12"/>
  <c r="AW51" i="12" l="1"/>
  <c r="V53" i="12"/>
  <c r="X53" i="12" s="1"/>
  <c r="K53" i="12"/>
  <c r="BR52" i="12"/>
  <c r="Y53" i="12"/>
  <c r="AA53" i="12" s="1"/>
  <c r="BU53" i="12" s="1"/>
  <c r="N53" i="12"/>
  <c r="BQ53" i="12" s="1"/>
  <c r="BR51" i="12"/>
  <c r="AX52" i="12"/>
  <c r="AY52" i="12" s="1"/>
  <c r="AR51" i="12"/>
  <c r="P54" i="12"/>
  <c r="P55" i="12" s="1"/>
  <c r="D60" i="12"/>
  <c r="AC54" i="12"/>
  <c r="AC55" i="12" s="1"/>
  <c r="BU52" i="12"/>
  <c r="N55" i="12"/>
  <c r="BG51" i="12"/>
  <c r="BI51" i="12"/>
  <c r="AG52" i="12"/>
  <c r="BH52" i="12" s="1"/>
  <c r="AF52" i="12"/>
  <c r="BE52" i="12" s="1"/>
  <c r="BB51" i="12"/>
  <c r="BF51" i="12" s="1"/>
  <c r="AV51" i="12"/>
  <c r="T53" i="12"/>
  <c r="AE53" i="12"/>
  <c r="S53" i="12"/>
  <c r="AU53" i="12" s="1"/>
  <c r="P22" i="12"/>
  <c r="J52" i="12"/>
  <c r="AR52" i="12" s="1"/>
  <c r="T21" i="12"/>
  <c r="W52" i="12"/>
  <c r="Q22" i="12"/>
  <c r="M52" i="12"/>
  <c r="AS52" i="12" s="1"/>
  <c r="Z52" i="12"/>
  <c r="BC52" i="12" s="1"/>
  <c r="M409" i="29"/>
  <c r="N408" i="29"/>
  <c r="AZ52" i="12" l="1"/>
  <c r="BO53" i="12"/>
  <c r="BP53" i="12" s="1"/>
  <c r="K55" i="12"/>
  <c r="AA55" i="12"/>
  <c r="BD54" i="12"/>
  <c r="BS53" i="12"/>
  <c r="BT53" i="12" s="1"/>
  <c r="X55" i="12"/>
  <c r="D66" i="12"/>
  <c r="D63" i="12"/>
  <c r="BV53" i="12"/>
  <c r="BV52" i="12"/>
  <c r="AT54" i="12"/>
  <c r="BR53" i="12"/>
  <c r="M410" i="29"/>
  <c r="N409" i="29"/>
  <c r="BG52" i="12"/>
  <c r="BB52" i="12"/>
  <c r="BF52" i="12" s="1"/>
  <c r="AW52" i="12"/>
  <c r="AG53" i="12"/>
  <c r="AF53" i="12"/>
  <c r="BE53" i="12" s="1"/>
  <c r="Q23" i="12"/>
  <c r="M53" i="12"/>
  <c r="AS53" i="12" s="1"/>
  <c r="Z53" i="12"/>
  <c r="BC53" i="12" s="1"/>
  <c r="AV52" i="12"/>
  <c r="P23" i="12"/>
  <c r="T22" i="12"/>
  <c r="J53" i="12"/>
  <c r="W53" i="12"/>
  <c r="AX53" i="12"/>
  <c r="AX54" i="12"/>
  <c r="T55" i="12"/>
  <c r="M57" i="12" s="1"/>
  <c r="BI52" i="12"/>
  <c r="BJ52" i="12"/>
  <c r="BO76" i="12" l="1"/>
  <c r="BO77" i="12" s="1"/>
  <c r="BP76" i="12"/>
  <c r="D65" i="12"/>
  <c r="D62" i="12"/>
  <c r="AY54" i="12"/>
  <c r="AZ54" i="12"/>
  <c r="BG53" i="12"/>
  <c r="AW53" i="12"/>
  <c r="AY53" i="12"/>
  <c r="AZ53" i="12"/>
  <c r="BB53" i="12"/>
  <c r="BF53" i="12" s="1"/>
  <c r="B60" i="12"/>
  <c r="T23" i="12"/>
  <c r="J54" i="12"/>
  <c r="AR54" i="12" s="1"/>
  <c r="W54" i="12"/>
  <c r="C60" i="12"/>
  <c r="Z54" i="12"/>
  <c r="Z55" i="12" s="1"/>
  <c r="M54" i="12"/>
  <c r="M55" i="12" s="1"/>
  <c r="BH53" i="12"/>
  <c r="BH54" i="12"/>
  <c r="AG55" i="12"/>
  <c r="Z57" i="12" s="1"/>
  <c r="AR53" i="12"/>
  <c r="AV53" i="12" s="1"/>
  <c r="M411" i="29"/>
  <c r="N410" i="29"/>
  <c r="BP77" i="12" l="1"/>
  <c r="M412" i="29"/>
  <c r="N411" i="29"/>
  <c r="BI53" i="12"/>
  <c r="BJ53" i="12"/>
  <c r="W55" i="12"/>
  <c r="W57" i="12" s="1"/>
  <c r="BG54" i="12"/>
  <c r="F60" i="12"/>
  <c r="V35" i="12"/>
  <c r="V36" i="12"/>
  <c r="B62" i="12"/>
  <c r="B65" i="12"/>
  <c r="BI54" i="12"/>
  <c r="BJ54" i="12"/>
  <c r="AS54" i="12"/>
  <c r="BC54" i="12"/>
  <c r="J55" i="12"/>
  <c r="J57" i="12" s="1"/>
  <c r="AW54" i="12"/>
  <c r="BB54" i="12"/>
  <c r="AZ35" i="12"/>
  <c r="BF54" i="12" l="1"/>
  <c r="B63" i="12"/>
  <c r="B66" i="12"/>
  <c r="C62" i="12"/>
  <c r="C65" i="12"/>
  <c r="AV54" i="12"/>
  <c r="C63" i="12"/>
  <c r="C66" i="12"/>
  <c r="BJ35" i="12"/>
  <c r="M413" i="29"/>
  <c r="N412" i="29"/>
  <c r="F62" i="12" l="1"/>
  <c r="F65" i="12"/>
  <c r="M414" i="29"/>
  <c r="N413" i="29"/>
  <c r="F63" i="12"/>
  <c r="F66" i="12"/>
  <c r="M415" i="29" l="1"/>
  <c r="N414" i="29"/>
  <c r="M416" i="29" l="1"/>
  <c r="N415" i="29"/>
  <c r="M417" i="29" l="1"/>
  <c r="N416" i="29"/>
  <c r="M418" i="29" l="1"/>
  <c r="N417" i="29"/>
  <c r="M419" i="29" l="1"/>
  <c r="N418" i="29"/>
  <c r="M420" i="29" l="1"/>
  <c r="N419" i="29"/>
  <c r="M421" i="29" l="1"/>
  <c r="N420" i="29"/>
  <c r="M422" i="29" l="1"/>
  <c r="N421" i="29"/>
  <c r="M423" i="29" l="1"/>
  <c r="N422" i="29"/>
  <c r="M424" i="29" l="1"/>
  <c r="N423" i="29"/>
  <c r="M425" i="29" l="1"/>
  <c r="N424" i="29"/>
  <c r="M426" i="29" l="1"/>
  <c r="N425" i="29"/>
  <c r="M427" i="29" l="1"/>
  <c r="N426" i="29"/>
  <c r="M428" i="29" l="1"/>
  <c r="N427" i="29"/>
  <c r="M429" i="29" l="1"/>
  <c r="N428" i="29"/>
  <c r="M430" i="29" l="1"/>
  <c r="N429" i="29"/>
  <c r="M431" i="29" l="1"/>
  <c r="N430" i="29"/>
  <c r="M432" i="29" l="1"/>
  <c r="N431" i="29"/>
  <c r="M433" i="29" l="1"/>
  <c r="N432" i="29"/>
  <c r="M434" i="29" l="1"/>
  <c r="N433" i="29"/>
  <c r="M435" i="29" l="1"/>
  <c r="N434" i="29"/>
  <c r="M436" i="29" l="1"/>
  <c r="N435" i="29"/>
  <c r="M437" i="29" l="1"/>
  <c r="N436" i="29"/>
  <c r="M438" i="29" l="1"/>
  <c r="N437" i="29"/>
  <c r="M439" i="29" l="1"/>
  <c r="N438" i="29"/>
  <c r="M440" i="29" l="1"/>
  <c r="N439" i="29"/>
  <c r="M441" i="29" l="1"/>
  <c r="N440" i="29"/>
  <c r="M442" i="29" l="1"/>
  <c r="N441" i="29"/>
  <c r="M443" i="29" l="1"/>
  <c r="N442" i="29"/>
  <c r="M444" i="29" l="1"/>
  <c r="N443" i="29"/>
  <c r="M445" i="29" l="1"/>
  <c r="N444" i="29"/>
  <c r="M446" i="29" l="1"/>
  <c r="N445" i="29"/>
  <c r="M447" i="29" l="1"/>
  <c r="N446" i="29"/>
  <c r="M448" i="29" l="1"/>
  <c r="N447" i="29"/>
  <c r="M449" i="29" l="1"/>
  <c r="N448" i="29"/>
  <c r="M450" i="29" l="1"/>
  <c r="N449" i="29"/>
  <c r="M451" i="29" l="1"/>
  <c r="N450" i="29"/>
  <c r="M452" i="29" l="1"/>
  <c r="N451" i="29"/>
  <c r="M453" i="29" l="1"/>
  <c r="N452" i="29"/>
  <c r="M454" i="29" l="1"/>
  <c r="N453" i="29"/>
  <c r="M455" i="29" l="1"/>
  <c r="N454" i="29"/>
  <c r="M456" i="29" l="1"/>
  <c r="N455" i="29"/>
  <c r="M457" i="29" l="1"/>
  <c r="N456" i="29"/>
  <c r="M458" i="29" l="1"/>
  <c r="N457" i="29"/>
  <c r="M459" i="29" l="1"/>
  <c r="N458" i="29"/>
  <c r="M460" i="29" l="1"/>
  <c r="N459" i="29"/>
  <c r="M461" i="29" l="1"/>
  <c r="N460" i="29"/>
  <c r="M462" i="29" l="1"/>
  <c r="N461" i="29"/>
  <c r="M463" i="29" l="1"/>
  <c r="N462" i="29"/>
  <c r="M464" i="29" l="1"/>
  <c r="N463" i="29"/>
  <c r="M465" i="29" l="1"/>
  <c r="N464" i="29"/>
  <c r="M466" i="29" l="1"/>
  <c r="N465" i="29"/>
  <c r="M467" i="29" l="1"/>
  <c r="N466" i="29"/>
  <c r="M468" i="29" l="1"/>
  <c r="N467" i="29"/>
  <c r="M469" i="29" l="1"/>
  <c r="N468" i="29"/>
  <c r="M470" i="29" l="1"/>
  <c r="N469" i="29"/>
  <c r="M471" i="29" l="1"/>
  <c r="N470" i="29"/>
  <c r="M472" i="29" l="1"/>
  <c r="N471" i="29"/>
  <c r="M473" i="29" l="1"/>
  <c r="N472" i="29"/>
  <c r="M474" i="29" l="1"/>
  <c r="N473" i="29"/>
  <c r="M475" i="29" l="1"/>
  <c r="N474" i="29"/>
  <c r="M476" i="29" l="1"/>
  <c r="N475" i="29"/>
  <c r="M477" i="29" l="1"/>
  <c r="N476" i="29"/>
  <c r="M478" i="29" l="1"/>
  <c r="N477" i="29"/>
  <c r="M479" i="29" l="1"/>
  <c r="N478" i="29"/>
  <c r="M480" i="29" l="1"/>
  <c r="N479" i="29"/>
  <c r="M481" i="29" l="1"/>
  <c r="N480" i="29"/>
  <c r="M482" i="29" l="1"/>
  <c r="N481" i="29"/>
  <c r="M483" i="29" l="1"/>
  <c r="N482" i="29"/>
  <c r="M484" i="29" l="1"/>
  <c r="N483" i="29"/>
  <c r="M485" i="29" l="1"/>
  <c r="N484" i="29"/>
  <c r="M486" i="29" l="1"/>
  <c r="N485" i="29"/>
  <c r="M487" i="29" l="1"/>
  <c r="N486" i="29"/>
  <c r="M488" i="29" l="1"/>
  <c r="N487" i="29"/>
  <c r="M489" i="29" l="1"/>
  <c r="N488" i="29"/>
  <c r="M490" i="29" l="1"/>
  <c r="N489" i="29"/>
  <c r="M491" i="29" l="1"/>
  <c r="N490" i="29"/>
  <c r="M492" i="29" l="1"/>
  <c r="N491" i="29"/>
  <c r="M493" i="29" l="1"/>
  <c r="N492" i="29"/>
  <c r="M494" i="29" l="1"/>
  <c r="N493" i="29"/>
  <c r="M495" i="29" l="1"/>
  <c r="N494" i="29"/>
  <c r="M496" i="29" l="1"/>
  <c r="N495" i="29"/>
  <c r="M497" i="29" l="1"/>
  <c r="N496" i="29"/>
  <c r="M498" i="29" l="1"/>
  <c r="N497" i="29"/>
  <c r="M499" i="29" l="1"/>
  <c r="N498" i="29"/>
  <c r="M500" i="29" l="1"/>
  <c r="N499" i="29"/>
  <c r="M501" i="29" l="1"/>
  <c r="N500" i="29"/>
  <c r="M502" i="29" l="1"/>
  <c r="N501" i="29"/>
  <c r="M503" i="29" l="1"/>
  <c r="N502" i="29"/>
  <c r="M504" i="29" l="1"/>
  <c r="N503" i="29"/>
  <c r="M505" i="29" l="1"/>
  <c r="N504" i="29"/>
  <c r="M506" i="29" l="1"/>
  <c r="N505" i="29"/>
  <c r="M507" i="29" l="1"/>
  <c r="N506" i="29"/>
  <c r="M508" i="29" l="1"/>
  <c r="N507" i="29"/>
  <c r="M509" i="29" l="1"/>
  <c r="N508" i="29"/>
  <c r="M510" i="29" l="1"/>
  <c r="N509" i="29"/>
  <c r="M511" i="29" l="1"/>
  <c r="N510" i="29"/>
  <c r="M512" i="29" l="1"/>
  <c r="N511" i="29"/>
  <c r="M513" i="29" l="1"/>
  <c r="N512" i="29"/>
  <c r="M514" i="29" l="1"/>
  <c r="N513" i="29"/>
  <c r="M515" i="29" l="1"/>
  <c r="N514" i="29"/>
  <c r="M516" i="29" l="1"/>
  <c r="N515" i="29"/>
  <c r="M517" i="29" l="1"/>
  <c r="N516" i="29"/>
  <c r="M518" i="29" l="1"/>
  <c r="N517" i="29"/>
  <c r="M519" i="29" l="1"/>
  <c r="N518" i="29"/>
  <c r="M520" i="29" l="1"/>
  <c r="N519" i="29"/>
  <c r="M521" i="29" l="1"/>
  <c r="N520" i="29"/>
  <c r="M522" i="29" l="1"/>
  <c r="N521" i="29"/>
  <c r="M523" i="29" l="1"/>
  <c r="N522" i="29"/>
  <c r="M524" i="29" l="1"/>
  <c r="N523" i="29"/>
  <c r="M525" i="29" l="1"/>
  <c r="N524" i="29"/>
  <c r="M526" i="29" l="1"/>
  <c r="N525" i="29"/>
  <c r="M527" i="29" l="1"/>
  <c r="N526" i="29"/>
  <c r="M528" i="29" l="1"/>
  <c r="N527" i="29"/>
  <c r="M529" i="29" l="1"/>
  <c r="N528" i="29"/>
  <c r="M530" i="29" l="1"/>
  <c r="N529" i="29"/>
  <c r="M531" i="29" l="1"/>
  <c r="N530" i="29"/>
  <c r="M532" i="29" l="1"/>
  <c r="N531" i="29"/>
  <c r="M533" i="29" l="1"/>
  <c r="N532" i="29"/>
  <c r="M534" i="29" l="1"/>
  <c r="N533" i="29"/>
  <c r="M535" i="29" l="1"/>
  <c r="N534" i="29"/>
  <c r="M536" i="29" l="1"/>
  <c r="N535" i="29"/>
  <c r="M537" i="29" l="1"/>
  <c r="N536" i="29"/>
  <c r="M538" i="29" l="1"/>
  <c r="N537" i="29"/>
  <c r="M539" i="29" l="1"/>
  <c r="N538" i="29"/>
  <c r="M540" i="29" l="1"/>
  <c r="N539" i="29"/>
  <c r="M541" i="29" l="1"/>
  <c r="N540" i="29"/>
  <c r="M542" i="29" l="1"/>
  <c r="N541" i="29"/>
  <c r="M543" i="29" l="1"/>
  <c r="N542" i="29"/>
  <c r="M544" i="29" l="1"/>
  <c r="N543" i="29"/>
  <c r="M545" i="29" l="1"/>
  <c r="N544" i="29"/>
  <c r="M546" i="29" l="1"/>
  <c r="N545" i="29"/>
  <c r="M547" i="29" l="1"/>
  <c r="N546" i="29"/>
  <c r="M548" i="29" l="1"/>
  <c r="N547" i="29"/>
  <c r="M549" i="29" l="1"/>
  <c r="N548" i="29"/>
  <c r="M550" i="29" l="1"/>
  <c r="N549" i="29"/>
  <c r="M551" i="29" l="1"/>
  <c r="N550" i="29"/>
  <c r="M552" i="29" l="1"/>
  <c r="N551" i="29"/>
  <c r="M553" i="29" l="1"/>
  <c r="N552" i="29"/>
  <c r="M554" i="29" l="1"/>
  <c r="N553" i="29"/>
  <c r="M555" i="29" l="1"/>
  <c r="N554" i="29"/>
  <c r="M556" i="29" l="1"/>
  <c r="N555" i="29"/>
  <c r="M557" i="29" l="1"/>
  <c r="N556" i="29"/>
  <c r="M558" i="29" l="1"/>
  <c r="N557" i="29"/>
  <c r="M559" i="29" l="1"/>
  <c r="N558" i="29"/>
  <c r="M560" i="29" l="1"/>
  <c r="N559" i="29"/>
  <c r="M561" i="29" l="1"/>
  <c r="N560" i="29"/>
  <c r="M562" i="29" l="1"/>
  <c r="N561" i="29"/>
  <c r="M563" i="29" l="1"/>
  <c r="N562" i="29"/>
  <c r="M564" i="29" l="1"/>
  <c r="N563" i="29"/>
  <c r="M565" i="29" l="1"/>
  <c r="N564" i="29"/>
  <c r="M566" i="29" l="1"/>
  <c r="N565" i="29"/>
  <c r="M567" i="29" l="1"/>
  <c r="N566" i="29"/>
  <c r="M568" i="29" l="1"/>
  <c r="N567" i="29"/>
  <c r="M569" i="29" l="1"/>
  <c r="N568" i="29"/>
  <c r="M570" i="29" l="1"/>
  <c r="N569" i="29"/>
  <c r="M571" i="29" l="1"/>
  <c r="N570" i="29"/>
  <c r="M572" i="29" l="1"/>
  <c r="N571" i="29"/>
  <c r="M573" i="29" l="1"/>
  <c r="N572" i="29"/>
  <c r="M574" i="29" l="1"/>
  <c r="N573" i="29"/>
  <c r="M575" i="29" l="1"/>
  <c r="N574" i="29"/>
  <c r="M576" i="29" l="1"/>
  <c r="N575" i="29"/>
  <c r="M577" i="29" l="1"/>
  <c r="N576" i="29"/>
  <c r="M578" i="29" l="1"/>
  <c r="N577" i="29"/>
  <c r="M579" i="29" l="1"/>
  <c r="N578" i="29"/>
  <c r="M580" i="29" l="1"/>
  <c r="N579" i="29"/>
  <c r="M581" i="29" l="1"/>
  <c r="N580" i="29"/>
  <c r="M582" i="29" l="1"/>
  <c r="N581" i="29"/>
  <c r="M583" i="29" l="1"/>
  <c r="N582" i="29"/>
  <c r="M584" i="29" l="1"/>
  <c r="N583" i="29"/>
  <c r="M585" i="29" l="1"/>
  <c r="N584" i="29"/>
  <c r="M586" i="29" l="1"/>
  <c r="N585" i="29"/>
  <c r="M587" i="29" l="1"/>
  <c r="N586" i="29"/>
  <c r="M588" i="29" l="1"/>
  <c r="N587" i="29"/>
  <c r="M589" i="29" l="1"/>
  <c r="N588" i="29"/>
  <c r="M590" i="29" l="1"/>
  <c r="N589" i="29"/>
  <c r="M591" i="29" l="1"/>
  <c r="N590" i="29"/>
  <c r="M592" i="29" l="1"/>
  <c r="N591" i="29"/>
  <c r="M593" i="29" l="1"/>
  <c r="N592" i="29"/>
  <c r="M594" i="29" l="1"/>
  <c r="N593" i="29"/>
  <c r="M595" i="29" l="1"/>
  <c r="N594" i="29"/>
  <c r="M596" i="29" l="1"/>
  <c r="N595" i="29"/>
  <c r="M597" i="29" l="1"/>
  <c r="N596" i="29"/>
  <c r="M598" i="29" l="1"/>
  <c r="N597" i="29"/>
  <c r="M599" i="29" l="1"/>
  <c r="N598" i="29"/>
  <c r="M600" i="29" l="1"/>
  <c r="N599" i="29"/>
  <c r="M601" i="29" l="1"/>
  <c r="N600" i="29"/>
  <c r="M602" i="29" l="1"/>
  <c r="N601" i="29"/>
  <c r="M603" i="29" l="1"/>
  <c r="N602" i="29"/>
  <c r="M604" i="29" l="1"/>
  <c r="N603" i="29"/>
  <c r="M605" i="29" l="1"/>
  <c r="N604" i="29"/>
  <c r="M606" i="29" l="1"/>
  <c r="N605" i="29"/>
  <c r="M607" i="29" l="1"/>
  <c r="N606" i="29"/>
  <c r="M608" i="29" l="1"/>
  <c r="N607" i="29"/>
  <c r="M609" i="29" l="1"/>
  <c r="N608" i="29"/>
  <c r="M610" i="29" l="1"/>
  <c r="N609" i="29"/>
  <c r="M611" i="29" l="1"/>
  <c r="N610" i="29"/>
  <c r="M612" i="29" l="1"/>
  <c r="N611" i="29"/>
  <c r="M613" i="29" l="1"/>
  <c r="N612" i="29"/>
  <c r="M614" i="29" l="1"/>
  <c r="N613" i="29"/>
  <c r="M615" i="29" l="1"/>
  <c r="N614" i="29"/>
  <c r="M616" i="29" l="1"/>
  <c r="N615" i="29"/>
  <c r="M617" i="29" l="1"/>
  <c r="N616" i="29"/>
  <c r="M618" i="29" l="1"/>
  <c r="N617" i="29"/>
  <c r="M619" i="29" l="1"/>
  <c r="N618" i="29"/>
  <c r="M620" i="29" l="1"/>
  <c r="N619" i="29"/>
  <c r="M621" i="29" l="1"/>
  <c r="N620" i="29"/>
  <c r="M622" i="29" l="1"/>
  <c r="N621" i="29"/>
  <c r="M623" i="29" l="1"/>
  <c r="N622" i="29"/>
  <c r="M624" i="29" l="1"/>
  <c r="N623" i="29"/>
  <c r="M625" i="29" l="1"/>
  <c r="N624" i="29"/>
  <c r="M626" i="29" l="1"/>
  <c r="N625" i="29"/>
  <c r="M627" i="29" l="1"/>
  <c r="N626" i="29"/>
  <c r="M628" i="29" l="1"/>
  <c r="N627" i="29"/>
  <c r="M629" i="29" l="1"/>
  <c r="N628" i="29"/>
  <c r="M630" i="29" l="1"/>
  <c r="N629" i="29"/>
  <c r="M631" i="29" l="1"/>
  <c r="N630" i="29"/>
  <c r="M632" i="29" l="1"/>
  <c r="N631" i="29"/>
  <c r="M633" i="29" l="1"/>
  <c r="N632" i="29"/>
  <c r="M634" i="29" l="1"/>
  <c r="N633" i="29"/>
  <c r="M635" i="29" l="1"/>
  <c r="N634" i="29"/>
  <c r="M636" i="29" l="1"/>
  <c r="N635" i="29"/>
  <c r="M637" i="29" l="1"/>
  <c r="N636" i="29"/>
  <c r="M638" i="29" l="1"/>
  <c r="N637" i="29"/>
  <c r="M639" i="29" l="1"/>
  <c r="N638" i="29"/>
  <c r="M640" i="29" l="1"/>
  <c r="N639" i="29"/>
  <c r="M641" i="29" l="1"/>
  <c r="N640" i="29"/>
  <c r="M642" i="29" l="1"/>
  <c r="N641" i="29"/>
  <c r="M643" i="29" l="1"/>
  <c r="N642" i="29"/>
  <c r="M644" i="29" l="1"/>
  <c r="N643" i="29"/>
  <c r="M645" i="29" l="1"/>
  <c r="N644" i="29"/>
  <c r="M646" i="29" l="1"/>
  <c r="N645" i="29"/>
  <c r="M647" i="29" l="1"/>
  <c r="N646" i="29"/>
  <c r="M648" i="29" l="1"/>
  <c r="N647" i="29"/>
  <c r="M649" i="29" l="1"/>
  <c r="N648" i="29"/>
  <c r="M650" i="29" l="1"/>
  <c r="N649" i="29"/>
  <c r="M651" i="29" l="1"/>
  <c r="N650" i="29"/>
  <c r="M652" i="29" l="1"/>
  <c r="N651" i="29"/>
  <c r="M653" i="29" l="1"/>
  <c r="N652" i="29"/>
  <c r="M654" i="29" l="1"/>
  <c r="N653" i="29"/>
  <c r="M655" i="29" l="1"/>
  <c r="N654" i="29"/>
  <c r="M656" i="29" l="1"/>
  <c r="N655" i="29"/>
  <c r="M657" i="29" l="1"/>
  <c r="N656" i="29"/>
  <c r="M658" i="29" l="1"/>
  <c r="N657" i="29"/>
  <c r="M659" i="29" l="1"/>
  <c r="N658" i="29"/>
  <c r="M660" i="29" l="1"/>
  <c r="N659" i="29"/>
  <c r="M661" i="29" l="1"/>
  <c r="N660" i="29"/>
  <c r="M662" i="29" l="1"/>
  <c r="N661" i="29"/>
  <c r="M663" i="29" l="1"/>
  <c r="N662" i="29"/>
  <c r="M664" i="29" l="1"/>
  <c r="N663" i="29"/>
  <c r="M665" i="29" l="1"/>
  <c r="N664" i="29"/>
  <c r="M666" i="29" l="1"/>
  <c r="N665" i="29"/>
  <c r="M667" i="29" l="1"/>
  <c r="N666" i="29"/>
  <c r="M668" i="29" l="1"/>
  <c r="N667" i="29"/>
  <c r="M669" i="29" l="1"/>
  <c r="N668" i="29"/>
  <c r="M670" i="29" l="1"/>
  <c r="N669" i="29"/>
  <c r="M671" i="29" l="1"/>
  <c r="N670" i="29"/>
  <c r="M672" i="29" l="1"/>
  <c r="N671" i="29"/>
  <c r="M673" i="29" l="1"/>
  <c r="N672" i="29"/>
  <c r="M674" i="29" l="1"/>
  <c r="N673" i="29"/>
  <c r="M675" i="29" l="1"/>
  <c r="N674" i="29"/>
  <c r="M676" i="29" l="1"/>
  <c r="N675" i="29"/>
  <c r="M677" i="29" l="1"/>
  <c r="N676" i="29"/>
  <c r="M678" i="29" l="1"/>
  <c r="N677" i="29"/>
  <c r="M679" i="29" l="1"/>
  <c r="N678" i="29"/>
  <c r="M680" i="29" l="1"/>
  <c r="N679" i="29"/>
  <c r="M681" i="29" l="1"/>
  <c r="N680" i="29"/>
  <c r="M682" i="29" l="1"/>
  <c r="N681" i="29"/>
  <c r="M683" i="29" l="1"/>
  <c r="N682" i="29"/>
  <c r="M684" i="29" l="1"/>
  <c r="N683" i="29"/>
  <c r="M685" i="29" l="1"/>
  <c r="N684" i="29"/>
  <c r="M686" i="29" l="1"/>
  <c r="N685" i="29"/>
  <c r="M687" i="29" l="1"/>
  <c r="N686" i="29"/>
  <c r="M688" i="29" l="1"/>
  <c r="N687" i="29"/>
  <c r="M689" i="29" l="1"/>
  <c r="N688" i="29"/>
  <c r="M690" i="29" l="1"/>
  <c r="N689" i="29"/>
  <c r="M691" i="29" l="1"/>
  <c r="N690" i="29"/>
  <c r="M692" i="29" l="1"/>
  <c r="N691" i="29"/>
  <c r="M693" i="29" l="1"/>
  <c r="N692" i="29"/>
  <c r="M694" i="29" l="1"/>
  <c r="N693" i="29"/>
  <c r="M695" i="29" l="1"/>
  <c r="N694" i="29"/>
  <c r="M696" i="29" l="1"/>
  <c r="N695" i="29"/>
  <c r="M697" i="29" l="1"/>
  <c r="N696" i="29"/>
  <c r="M698" i="29" l="1"/>
  <c r="N697" i="29"/>
  <c r="M699" i="29" l="1"/>
  <c r="N698" i="29"/>
  <c r="M700" i="29" l="1"/>
  <c r="N699" i="29"/>
  <c r="M701" i="29" l="1"/>
  <c r="N700" i="29"/>
  <c r="M702" i="29" l="1"/>
  <c r="N701" i="29"/>
  <c r="M703" i="29" l="1"/>
  <c r="N702" i="29"/>
  <c r="M704" i="29" l="1"/>
  <c r="N703" i="29"/>
  <c r="M705" i="29" l="1"/>
  <c r="N704" i="29"/>
  <c r="M706" i="29" l="1"/>
  <c r="N705" i="29"/>
  <c r="M707" i="29" l="1"/>
  <c r="N706" i="29"/>
  <c r="M708" i="29" l="1"/>
  <c r="N707" i="29"/>
  <c r="M709" i="29" l="1"/>
  <c r="N708" i="29"/>
  <c r="M710" i="29" l="1"/>
  <c r="N709" i="29"/>
  <c r="M711" i="29" l="1"/>
  <c r="N710" i="29"/>
  <c r="M712" i="29" l="1"/>
  <c r="N711" i="29"/>
  <c r="M713" i="29" l="1"/>
  <c r="N712" i="29"/>
  <c r="M714" i="29" l="1"/>
  <c r="N713" i="29"/>
  <c r="M715" i="29" l="1"/>
  <c r="N714" i="29"/>
  <c r="M716" i="29" l="1"/>
  <c r="N715" i="29"/>
  <c r="M717" i="29" l="1"/>
  <c r="N716" i="29"/>
  <c r="M718" i="29" l="1"/>
  <c r="N717" i="29"/>
  <c r="M719" i="29" l="1"/>
  <c r="N718" i="29"/>
  <c r="M720" i="29" l="1"/>
  <c r="N719" i="29"/>
  <c r="M721" i="29" l="1"/>
  <c r="N720" i="29"/>
  <c r="M722" i="29" l="1"/>
  <c r="N721" i="29"/>
  <c r="M723" i="29" l="1"/>
  <c r="N722" i="29"/>
  <c r="M724" i="29" l="1"/>
  <c r="N723" i="29"/>
  <c r="M725" i="29" l="1"/>
  <c r="N724" i="29"/>
  <c r="M726" i="29" l="1"/>
  <c r="N725" i="29"/>
  <c r="M727" i="29" l="1"/>
  <c r="N726" i="29"/>
  <c r="M728" i="29" l="1"/>
  <c r="N727" i="29"/>
  <c r="M729" i="29" l="1"/>
  <c r="N728" i="29"/>
  <c r="M730" i="29" l="1"/>
  <c r="N729" i="29"/>
  <c r="M731" i="29" l="1"/>
  <c r="N730" i="29"/>
  <c r="M732" i="29" l="1"/>
  <c r="N731" i="29"/>
  <c r="M733" i="29" l="1"/>
  <c r="N732" i="29"/>
  <c r="M734" i="29" l="1"/>
  <c r="N733" i="29"/>
  <c r="M735" i="29" l="1"/>
  <c r="N734" i="29"/>
  <c r="M736" i="29" l="1"/>
  <c r="N735" i="29"/>
  <c r="M737" i="29" l="1"/>
  <c r="N736" i="29"/>
  <c r="M738" i="29" l="1"/>
  <c r="N737" i="29"/>
  <c r="M739" i="29" l="1"/>
  <c r="N738" i="29"/>
  <c r="M740" i="29" l="1"/>
  <c r="N739" i="29"/>
  <c r="M741" i="29" l="1"/>
  <c r="N740" i="29"/>
  <c r="M742" i="29" l="1"/>
  <c r="N741" i="29"/>
  <c r="M743" i="29" l="1"/>
  <c r="N742" i="29"/>
  <c r="M744" i="29" l="1"/>
  <c r="N743" i="29"/>
  <c r="M745" i="29" l="1"/>
  <c r="N744" i="29"/>
  <c r="M746" i="29" l="1"/>
  <c r="N745" i="29"/>
  <c r="M747" i="29" l="1"/>
  <c r="N746" i="29"/>
  <c r="M748" i="29" l="1"/>
  <c r="N747" i="29"/>
  <c r="M749" i="29" l="1"/>
  <c r="N748" i="29"/>
  <c r="M750" i="29" l="1"/>
  <c r="N749" i="29"/>
  <c r="M751" i="29" l="1"/>
  <c r="N750" i="29"/>
  <c r="M752" i="29" l="1"/>
  <c r="N751" i="29"/>
  <c r="M753" i="29" l="1"/>
  <c r="N752" i="29"/>
  <c r="M754" i="29" l="1"/>
  <c r="N753" i="29"/>
  <c r="M755" i="29" l="1"/>
  <c r="N754" i="29"/>
  <c r="M756" i="29" l="1"/>
  <c r="N755" i="29"/>
  <c r="M757" i="29" l="1"/>
  <c r="N756" i="29"/>
  <c r="M758" i="29" l="1"/>
  <c r="N757" i="29"/>
  <c r="M759" i="29" l="1"/>
  <c r="N758" i="29"/>
  <c r="M760" i="29" l="1"/>
  <c r="N759" i="29"/>
  <c r="E8" i="29" s="1"/>
  <c r="F8" i="29" s="1"/>
  <c r="F10" i="29" s="1"/>
  <c r="M761" i="29" l="1"/>
  <c r="N760" i="29"/>
  <c r="M762" i="29" l="1"/>
  <c r="N761" i="29"/>
  <c r="M763" i="29" l="1"/>
  <c r="N762" i="29"/>
  <c r="M764" i="29" l="1"/>
  <c r="N763" i="29"/>
  <c r="M765" i="29" l="1"/>
  <c r="N764" i="29"/>
  <c r="M766" i="29" l="1"/>
  <c r="N765" i="29"/>
  <c r="M767" i="29" l="1"/>
  <c r="N766" i="29"/>
  <c r="M768" i="29" l="1"/>
  <c r="N767" i="29"/>
  <c r="M769" i="29" l="1"/>
  <c r="N768" i="29"/>
  <c r="M770" i="29" l="1"/>
  <c r="N769" i="29"/>
  <c r="M771" i="29" l="1"/>
  <c r="N770" i="29"/>
  <c r="M772" i="29" l="1"/>
  <c r="N771" i="29"/>
  <c r="M773" i="29" l="1"/>
  <c r="N772" i="29"/>
  <c r="M774" i="29" l="1"/>
  <c r="N773" i="29"/>
  <c r="M775" i="29" l="1"/>
  <c r="N774" i="29"/>
  <c r="M776" i="29" l="1"/>
  <c r="N775" i="29"/>
  <c r="M777" i="29" l="1"/>
  <c r="N776" i="29"/>
  <c r="M778" i="29" l="1"/>
  <c r="N777" i="29"/>
  <c r="M779" i="29" l="1"/>
  <c r="N778" i="29"/>
  <c r="M780" i="29" l="1"/>
  <c r="N779" i="29"/>
  <c r="M781" i="29" l="1"/>
  <c r="N780" i="29"/>
  <c r="M782" i="29" l="1"/>
  <c r="N781" i="29"/>
  <c r="M783" i="29" l="1"/>
  <c r="N782" i="29"/>
  <c r="M784" i="29" l="1"/>
  <c r="N783" i="29"/>
  <c r="M785" i="29" l="1"/>
  <c r="N785" i="29" s="1"/>
  <c r="N784" i="29"/>
</calcChain>
</file>

<file path=xl/comments1.xml><?xml version="1.0" encoding="utf-8"?>
<comments xmlns="http://schemas.openxmlformats.org/spreadsheetml/2006/main">
  <authors>
    <author>Wen Jie Li</author>
  </authors>
  <commentList>
    <comment ref="E7" authorId="0" shapeId="0">
      <text>
        <r>
          <rPr>
            <sz val="9"/>
            <color indexed="81"/>
            <rFont val="Tahoma"/>
            <family val="2"/>
          </rPr>
          <t>Assumed 75% of the customers account for all the savings.</t>
        </r>
      </text>
    </comment>
  </commentList>
</comments>
</file>

<file path=xl/sharedStrings.xml><?xml version="1.0" encoding="utf-8"?>
<sst xmlns="http://schemas.openxmlformats.org/spreadsheetml/2006/main" count="248" uniqueCount="122">
  <si>
    <t># buildings</t>
  </si>
  <si>
    <t>Hospitals</t>
  </si>
  <si>
    <t>building area (M sq ft)</t>
  </si>
  <si>
    <t>Total</t>
  </si>
  <si>
    <t>Apartments</t>
  </si>
  <si>
    <t>Commercial</t>
  </si>
  <si>
    <t>Industrial</t>
  </si>
  <si>
    <t>Residential</t>
  </si>
  <si>
    <t>Total Commercial</t>
  </si>
  <si>
    <t>Savings Potential</t>
  </si>
  <si>
    <t>%</t>
  </si>
  <si>
    <t>Base</t>
  </si>
  <si>
    <t>Heating</t>
  </si>
  <si>
    <t>Apartment</t>
  </si>
  <si>
    <t># of Customers</t>
  </si>
  <si>
    <t>Consumption per customer m3/yr</t>
  </si>
  <si>
    <t>Other</t>
  </si>
  <si>
    <t>Recreation</t>
  </si>
  <si>
    <t>Consumption 10^6m3/yr</t>
  </si>
  <si>
    <t>Total (TJ/hr)</t>
  </si>
  <si>
    <t>% of total</t>
  </si>
  <si>
    <t>Other Utility Industries (Cogen)</t>
  </si>
  <si>
    <t>Model Database</t>
  </si>
  <si>
    <t xml:space="preserve">Heating </t>
  </si>
  <si>
    <t>Commercial sector</t>
  </si>
  <si>
    <t>Median Target</t>
  </si>
  <si>
    <t>Top Quartile Target</t>
  </si>
  <si>
    <t>Consumption % Total</t>
  </si>
  <si>
    <t>Business &amp; Financial Service Industries (90%office, 10% retail)</t>
  </si>
  <si>
    <t>Wholesale &amp; Retail Trade (100% retail)</t>
  </si>
  <si>
    <t>Education Services (90% school, 10% office)</t>
  </si>
  <si>
    <t>Government Services (100% office)</t>
  </si>
  <si>
    <t>Health, Social &amp; Other Services (100% hospital)</t>
  </si>
  <si>
    <t>Hotels (100% apartment)</t>
  </si>
  <si>
    <t>Recreational &amp; Household Industries (100% recreation)</t>
  </si>
  <si>
    <t>Transportation and Storage and Utilities (100% retail)</t>
  </si>
  <si>
    <t>In a peak hour (41HDD)</t>
  </si>
  <si>
    <t>Heating thermal (TJ/hr) - extrapolated to 41HDD</t>
  </si>
  <si>
    <t>Conservation Potential</t>
  </si>
  <si>
    <t>Median</t>
  </si>
  <si>
    <t>Office</t>
  </si>
  <si>
    <t>Schools</t>
  </si>
  <si>
    <t>Retail</t>
  </si>
  <si>
    <t>Exhibit I.A4.EGD.ED.42</t>
  </si>
  <si>
    <t>Exhibit JT2.36</t>
  </si>
  <si>
    <t>GTA Summary by Sector</t>
  </si>
  <si>
    <t>Peak Hourly Demand Extrapolation Trendline (2010-2012)</t>
  </si>
  <si>
    <t>Baseline Establishment (2010-2012)</t>
  </si>
  <si>
    <t>Top Quartile</t>
  </si>
  <si>
    <t>90th percentile</t>
  </si>
  <si>
    <t>Base thermal (TJ/hr) - actual median with no heating during occupied periods</t>
  </si>
  <si>
    <t>% of Potential Achievable</t>
  </si>
  <si>
    <t>m3/hr from 2012</t>
  </si>
  <si>
    <t>Baseline with Load Growth and DSM (median) (m3/hr)</t>
  </si>
  <si>
    <t>Baseline with Load Growth and DSM (top quartile) (m3/hr)</t>
  </si>
  <si>
    <t>Exhibit I.A4.EGD.ED.3</t>
  </si>
  <si>
    <t>10^6 m3/yr</t>
  </si>
  <si>
    <t>% of annual volume</t>
  </si>
  <si>
    <t>Total GTA Annual Demand (10^6 m3/yr)</t>
  </si>
  <si>
    <t>Savings Forecast-Median</t>
  </si>
  <si>
    <t>Peak Demand (m3/hr) at 41HDD -with discounted growth</t>
  </si>
  <si>
    <t>Peak Demand (m3/hr) at 41HDD -Derived Historic and Baseline (2011-2012)</t>
  </si>
  <si>
    <t>Enbridge Load Growth Forecast Model</t>
  </si>
  <si>
    <t>Baseline with Load Growth and DSM Model</t>
  </si>
  <si>
    <t>Incremental Peak Demand growth (m3/hr) without discount</t>
  </si>
  <si>
    <t>Savings Forecast-Top Quartile</t>
  </si>
  <si>
    <t>Data From I A4 EDG ED11 Attachment</t>
  </si>
  <si>
    <t>Database:</t>
  </si>
  <si>
    <t>Exhibit I.A4.EGD.ED.25</t>
  </si>
  <si>
    <t>Commodity Cost</t>
  </si>
  <si>
    <t>Discount rate</t>
  </si>
  <si>
    <t>GJ/10^3m3</t>
  </si>
  <si>
    <t>($/GJ)</t>
  </si>
  <si>
    <t>NPV Assumption</t>
  </si>
  <si>
    <t>Total DSM</t>
  </si>
  <si>
    <t>(m3/hr)</t>
  </si>
  <si>
    <t>DSM per year</t>
  </si>
  <si>
    <t>Enbridge Total Commercial (2012)</t>
  </si>
  <si>
    <t>Baseline 2012</t>
  </si>
  <si>
    <t>m3/hr from Enbridge's Full Growth Forecast</t>
  </si>
  <si>
    <t>Enbridge's Full Growth Model</t>
  </si>
  <si>
    <t>Enbridge's Discounted Growth Model</t>
  </si>
  <si>
    <t>Enerlife's Forecast with Full Growth and DSM (median)</t>
  </si>
  <si>
    <t>Enerlife's Forecast with Full Growth and DSM (top quartile)</t>
  </si>
  <si>
    <t>% Reduction by 2025 from Enbridge's Full Growth Model</t>
  </si>
  <si>
    <t>Enerlife's median DSM</t>
  </si>
  <si>
    <t>Enerlife's top quartile DSM</t>
  </si>
  <si>
    <t>Full Load Growth (m3/hr)</t>
  </si>
  <si>
    <t>Total Average Annual Saving</t>
  </si>
  <si>
    <t>median</t>
  </si>
  <si>
    <t>top quartile</t>
  </si>
  <si>
    <t># of customers with high gas savings</t>
  </si>
  <si>
    <t>% of potential savings</t>
  </si>
  <si>
    <t>10^6 m3 savings</t>
  </si>
  <si>
    <t>% Savings potential</t>
  </si>
  <si>
    <t xml:space="preserve">% buildings </t>
  </si>
  <si>
    <t>% of total savings</t>
  </si>
  <si>
    <t>GTA Project Influence Area (Exhibit JT.2.36)</t>
  </si>
  <si>
    <t xml:space="preserve">Target Customers based on 2025 Customer Counts </t>
  </si>
  <si>
    <t># of customers by 2025</t>
  </si>
  <si>
    <t>10^6 m3 volume by 2025</t>
  </si>
  <si>
    <t>Overall Peak Hour (HDD41) Breakdown</t>
  </si>
  <si>
    <t>Base Heating %</t>
  </si>
  <si>
    <t>Customers with high gas savings</t>
  </si>
  <si>
    <t>Median PV ($million)</t>
  </si>
  <si>
    <t>Top Quartile PV ($million)</t>
  </si>
  <si>
    <t>Annual Additional DSM (10^6 m3/yr)</t>
  </si>
  <si>
    <t>Annual Savings by 2025 (10^6 m3/yr)</t>
  </si>
  <si>
    <t>Peak Demand Reduction by 2025</t>
  </si>
  <si>
    <t>Overall</t>
  </si>
  <si>
    <t>Reduction from Full Growth Forecast 2025 Peak</t>
  </si>
  <si>
    <t>Average Annual Saving by Sector</t>
  </si>
  <si>
    <t>PV ($ million)</t>
  </si>
  <si>
    <t>PV ($million)</t>
  </si>
  <si>
    <t>NPV</t>
  </si>
  <si>
    <t>Apartment DSM (10^6M3/yr)</t>
  </si>
  <si>
    <t>Annual apartment and commercial gas saving from 2025 and onward (10^6 m3)</t>
  </si>
  <si>
    <t>Apartment and commercial DSM cost 2014-2025 ($ million)</t>
  </si>
  <si>
    <t>PV of apartment and commercial avoided commodity Cost 2015-2030($million)</t>
  </si>
  <si>
    <t>Commercial DSM (10^6M3/yr)</t>
  </si>
  <si>
    <t>DSM (10^6M3/yr)</t>
  </si>
  <si>
    <t>Calculated from trendline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</si>
</sst>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0.0%"/>
    <numFmt numFmtId="168" formatCode="_-* #,##0.0_-;\-* #,##0.0_-;_-* &quot;-&quot;??_-;_-@_-"/>
    <numFmt numFmtId="169" formatCode="_-&quot;$&quot;* #,##0_-;\-&quot;$&quot;* #,##0_-;_-&quot;$&quot;* &quot;-&quot;??_-;_-@_-"/>
    <numFmt numFmtId="170" formatCode="_-* #,##0.000_-;\-* #,##0.000_-;_-* &quot;-&quot;??_-;_-@_-"/>
    <numFmt numFmtId="171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Fill="1"/>
    <xf numFmtId="9" fontId="0" fillId="0" borderId="0" xfId="2" applyFont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2" fillId="0" borderId="11" xfId="0" applyFont="1" applyBorder="1"/>
    <xf numFmtId="0" fontId="2" fillId="0" borderId="0" xfId="0" applyFont="1"/>
    <xf numFmtId="165" fontId="0" fillId="0" borderId="0" xfId="0" applyNumberFormat="1"/>
    <xf numFmtId="0" fontId="7" fillId="0" borderId="0" xfId="0" applyFont="1"/>
    <xf numFmtId="165" fontId="0" fillId="0" borderId="14" xfId="0" applyNumberFormat="1" applyBorder="1"/>
    <xf numFmtId="165" fontId="0" fillId="0" borderId="0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0" fillId="4" borderId="0" xfId="0" applyFill="1"/>
    <xf numFmtId="9" fontId="0" fillId="0" borderId="0" xfId="2" applyFont="1" applyFill="1" applyBorder="1"/>
    <xf numFmtId="0" fontId="0" fillId="0" borderId="14" xfId="0" applyFill="1" applyBorder="1"/>
    <xf numFmtId="0" fontId="2" fillId="0" borderId="0" xfId="0" applyFont="1" applyFill="1"/>
    <xf numFmtId="0" fontId="8" fillId="0" borderId="0" xfId="0" applyFont="1"/>
    <xf numFmtId="0" fontId="0" fillId="0" borderId="29" xfId="0" applyBorder="1"/>
    <xf numFmtId="0" fontId="0" fillId="0" borderId="24" xfId="0" applyBorder="1"/>
    <xf numFmtId="0" fontId="2" fillId="0" borderId="31" xfId="0" applyFont="1" applyBorder="1"/>
    <xf numFmtId="3" fontId="0" fillId="4" borderId="4" xfId="0" applyNumberFormat="1" applyFill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3" fontId="0" fillId="4" borderId="19" xfId="0" applyNumberForma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9" fontId="0" fillId="5" borderId="5" xfId="2" applyFont="1" applyFill="1" applyBorder="1"/>
    <xf numFmtId="9" fontId="0" fillId="5" borderId="4" xfId="2" applyFont="1" applyFill="1" applyBorder="1"/>
    <xf numFmtId="9" fontId="0" fillId="5" borderId="4" xfId="2" applyFont="1" applyFill="1" applyBorder="1" applyAlignment="1">
      <alignment horizontal="center" vertical="center" wrapText="1"/>
    </xf>
    <xf numFmtId="9" fontId="0" fillId="5" borderId="5" xfId="2" applyFont="1" applyFill="1" applyBorder="1" applyAlignment="1">
      <alignment horizontal="center" vertical="center" wrapText="1"/>
    </xf>
    <xf numFmtId="9" fontId="0" fillId="4" borderId="23" xfId="2" applyNumberFormat="1" applyFont="1" applyFill="1" applyBorder="1" applyAlignment="1">
      <alignment horizontal="center" vertical="center"/>
    </xf>
    <xf numFmtId="9" fontId="0" fillId="4" borderId="26" xfId="2" applyNumberFormat="1" applyFont="1" applyFill="1" applyBorder="1" applyAlignment="1">
      <alignment horizontal="center" vertical="center"/>
    </xf>
    <xf numFmtId="9" fontId="0" fillId="4" borderId="21" xfId="2" applyNumberFormat="1" applyFont="1" applyFill="1" applyBorder="1" applyAlignment="1">
      <alignment horizontal="center" vertical="center"/>
    </xf>
    <xf numFmtId="9" fontId="2" fillId="4" borderId="32" xfId="2" applyNumberFormat="1" applyFon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166" fontId="0" fillId="6" borderId="6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7" fillId="0" borderId="0" xfId="0" applyNumberFormat="1" applyFont="1"/>
    <xf numFmtId="9" fontId="7" fillId="0" borderId="0" xfId="2" applyFont="1"/>
    <xf numFmtId="0" fontId="4" fillId="0" borderId="5" xfId="0" applyFont="1" applyFill="1" applyBorder="1"/>
    <xf numFmtId="3" fontId="4" fillId="0" borderId="5" xfId="0" applyNumberFormat="1" applyFont="1" applyFill="1" applyBorder="1" applyAlignment="1">
      <alignment horizontal="center" vertical="center"/>
    </xf>
    <xf numFmtId="9" fontId="4" fillId="0" borderId="5" xfId="2" applyFont="1" applyFill="1" applyBorder="1"/>
    <xf numFmtId="3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3" fontId="0" fillId="4" borderId="20" xfId="0" applyNumberFormat="1" applyFill="1" applyBorder="1" applyAlignment="1">
      <alignment horizontal="center" vertical="center"/>
    </xf>
    <xf numFmtId="3" fontId="2" fillId="4" borderId="10" xfId="2" applyNumberFormat="1" applyFont="1" applyFill="1" applyBorder="1" applyAlignment="1">
      <alignment horizontal="center" vertical="center"/>
    </xf>
    <xf numFmtId="3" fontId="0" fillId="4" borderId="33" xfId="0" applyNumberFormat="1" applyFill="1" applyBorder="1" applyAlignment="1">
      <alignment horizontal="center" vertical="center"/>
    </xf>
    <xf numFmtId="3" fontId="0" fillId="4" borderId="34" xfId="0" applyNumberFormat="1" applyFill="1" applyBorder="1" applyAlignment="1">
      <alignment horizontal="center" vertical="center"/>
    </xf>
    <xf numFmtId="9" fontId="0" fillId="4" borderId="38" xfId="2" applyNumberFormat="1" applyFont="1" applyFill="1" applyBorder="1" applyAlignment="1">
      <alignment horizontal="center" vertical="center"/>
    </xf>
    <xf numFmtId="3" fontId="0" fillId="4" borderId="35" xfId="0" applyNumberForma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9" fontId="0" fillId="4" borderId="32" xfId="2" applyNumberFormat="1" applyFont="1" applyFill="1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0" fontId="4" fillId="0" borderId="33" xfId="0" applyFont="1" applyFill="1" applyBorder="1"/>
    <xf numFmtId="3" fontId="4" fillId="0" borderId="34" xfId="0" applyNumberFormat="1" applyFont="1" applyFill="1" applyBorder="1" applyAlignment="1">
      <alignment horizontal="center" vertical="center"/>
    </xf>
    <xf numFmtId="9" fontId="4" fillId="0" borderId="34" xfId="2" applyFont="1" applyFill="1" applyBorder="1"/>
    <xf numFmtId="0" fontId="4" fillId="0" borderId="4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6" fontId="4" fillId="0" borderId="38" xfId="0" applyNumberFormat="1" applyFont="1" applyFill="1" applyBorder="1" applyAlignment="1">
      <alignment horizontal="center" vertical="center"/>
    </xf>
    <xf numFmtId="166" fontId="4" fillId="0" borderId="26" xfId="0" applyNumberFormat="1" applyFont="1" applyFill="1" applyBorder="1" applyAlignment="1">
      <alignment horizontal="center" vertical="center"/>
    </xf>
    <xf numFmtId="0" fontId="4" fillId="0" borderId="26" xfId="0" applyFont="1" applyFill="1" applyBorder="1"/>
    <xf numFmtId="0" fontId="4" fillId="0" borderId="32" xfId="0" applyFont="1" applyFill="1" applyBorder="1"/>
    <xf numFmtId="9" fontId="4" fillId="0" borderId="36" xfId="2" applyFont="1" applyFill="1" applyBorder="1"/>
    <xf numFmtId="9" fontId="4" fillId="0" borderId="28" xfId="2" applyFont="1" applyFill="1" applyBorder="1"/>
    <xf numFmtId="9" fontId="4" fillId="0" borderId="33" xfId="2" applyFont="1" applyFill="1" applyBorder="1"/>
    <xf numFmtId="9" fontId="4" fillId="0" borderId="4" xfId="2" applyFont="1" applyFill="1" applyBorder="1"/>
    <xf numFmtId="0" fontId="0" fillId="0" borderId="7" xfId="0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20" xfId="0" applyFill="1" applyBorder="1" applyAlignment="1">
      <alignment wrapText="1"/>
    </xf>
    <xf numFmtId="165" fontId="0" fillId="0" borderId="0" xfId="0" applyNumberFormat="1" applyFont="1" applyBorder="1"/>
    <xf numFmtId="165" fontId="0" fillId="0" borderId="17" xfId="0" applyNumberFormat="1" applyFont="1" applyBorder="1"/>
    <xf numFmtId="0" fontId="2" fillId="0" borderId="0" xfId="0" applyFont="1" applyFill="1" applyBorder="1"/>
    <xf numFmtId="9" fontId="0" fillId="7" borderId="4" xfId="0" applyNumberFormat="1" applyFill="1" applyBorder="1" applyAlignment="1"/>
    <xf numFmtId="9" fontId="0" fillId="7" borderId="5" xfId="0" applyNumberFormat="1" applyFill="1" applyBorder="1" applyAlignment="1"/>
    <xf numFmtId="9" fontId="0" fillId="8" borderId="8" xfId="0" applyNumberFormat="1" applyFill="1" applyBorder="1" applyAlignment="1"/>
    <xf numFmtId="9" fontId="0" fillId="8" borderId="9" xfId="0" applyNumberFormat="1" applyFill="1" applyBorder="1" applyAlignment="1"/>
    <xf numFmtId="165" fontId="1" fillId="0" borderId="15" xfId="1" applyNumberFormat="1" applyFont="1" applyFill="1" applyBorder="1"/>
    <xf numFmtId="0" fontId="9" fillId="0" borderId="0" xfId="0" applyFont="1" applyFill="1"/>
    <xf numFmtId="0" fontId="4" fillId="0" borderId="0" xfId="0" applyFont="1" applyFill="1"/>
    <xf numFmtId="0" fontId="4" fillId="0" borderId="0" xfId="0" applyFont="1"/>
    <xf numFmtId="2" fontId="4" fillId="0" borderId="0" xfId="0" applyNumberFormat="1" applyFont="1" applyFill="1"/>
    <xf numFmtId="0" fontId="10" fillId="0" borderId="0" xfId="0" applyFont="1" applyFill="1"/>
    <xf numFmtId="167" fontId="11" fillId="0" borderId="0" xfId="2" applyNumberFormat="1" applyFont="1" applyFill="1"/>
    <xf numFmtId="164" fontId="4" fillId="0" borderId="0" xfId="0" applyNumberFormat="1" applyFont="1" applyFill="1"/>
    <xf numFmtId="167" fontId="11" fillId="0" borderId="0" xfId="0" applyNumberFormat="1" applyFont="1" applyFill="1"/>
    <xf numFmtId="9" fontId="11" fillId="0" borderId="0" xfId="2" applyFont="1"/>
    <xf numFmtId="0" fontId="9" fillId="0" borderId="0" xfId="0" applyFont="1"/>
    <xf numFmtId="9" fontId="0" fillId="0" borderId="0" xfId="2" applyFont="1" applyFill="1"/>
    <xf numFmtId="0" fontId="0" fillId="0" borderId="16" xfId="0" applyBorder="1"/>
    <xf numFmtId="0" fontId="0" fillId="0" borderId="18" xfId="0" applyBorder="1"/>
    <xf numFmtId="0" fontId="2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5" xfId="0" applyFill="1" applyBorder="1"/>
    <xf numFmtId="165" fontId="0" fillId="0" borderId="14" xfId="1" applyNumberFormat="1" applyFont="1" applyFill="1" applyBorder="1"/>
    <xf numFmtId="165" fontId="0" fillId="0" borderId="0" xfId="1" applyNumberFormat="1" applyFont="1" applyFill="1" applyBorder="1"/>
    <xf numFmtId="165" fontId="0" fillId="0" borderId="15" xfId="1" applyNumberFormat="1" applyFont="1" applyFill="1" applyBorder="1"/>
    <xf numFmtId="165" fontId="0" fillId="0" borderId="0" xfId="0" applyNumberFormat="1" applyFill="1"/>
    <xf numFmtId="165" fontId="0" fillId="0" borderId="16" xfId="1" applyNumberFormat="1" applyFont="1" applyFill="1" applyBorder="1"/>
    <xf numFmtId="165" fontId="0" fillId="0" borderId="17" xfId="1" applyNumberFormat="1" applyFont="1" applyFill="1" applyBorder="1"/>
    <xf numFmtId="165" fontId="0" fillId="0" borderId="18" xfId="1" applyNumberFormat="1" applyFont="1" applyFill="1" applyBorder="1"/>
    <xf numFmtId="165" fontId="0" fillId="0" borderId="15" xfId="1" applyNumberFormat="1" applyFont="1" applyBorder="1"/>
    <xf numFmtId="0" fontId="0" fillId="0" borderId="11" xfId="0" applyBorder="1"/>
    <xf numFmtId="165" fontId="1" fillId="0" borderId="18" xfId="1" applyNumberFormat="1" applyFont="1" applyFill="1" applyBorder="1"/>
    <xf numFmtId="0" fontId="3" fillId="4" borderId="0" xfId="0" applyFont="1" applyFill="1"/>
    <xf numFmtId="0" fontId="7" fillId="4" borderId="0" xfId="0" applyFont="1" applyFill="1"/>
    <xf numFmtId="0" fontId="3" fillId="2" borderId="0" xfId="0" applyFont="1" applyFill="1"/>
    <xf numFmtId="0" fontId="0" fillId="2" borderId="0" xfId="0" applyFill="1"/>
    <xf numFmtId="9" fontId="0" fillId="2" borderId="0" xfId="2" applyFont="1" applyFill="1"/>
    <xf numFmtId="165" fontId="0" fillId="2" borderId="0" xfId="0" applyNumberFormat="1" applyFill="1"/>
    <xf numFmtId="0" fontId="0" fillId="0" borderId="14" xfId="0" applyFill="1" applyBorder="1" applyAlignment="1">
      <alignment wrapText="1"/>
    </xf>
    <xf numFmtId="9" fontId="0" fillId="3" borderId="15" xfId="0" applyNumberFormat="1" applyFill="1" applyBorder="1"/>
    <xf numFmtId="9" fontId="0" fillId="3" borderId="18" xfId="0" applyNumberFormat="1" applyFill="1" applyBorder="1"/>
    <xf numFmtId="165" fontId="0" fillId="0" borderId="14" xfId="0" applyNumberFormat="1" applyFill="1" applyBorder="1"/>
    <xf numFmtId="165" fontId="0" fillId="0" borderId="0" xfId="0" applyNumberFormat="1" applyFill="1" applyBorder="1"/>
    <xf numFmtId="165" fontId="0" fillId="0" borderId="15" xfId="0" applyNumberFormat="1" applyFill="1" applyBorder="1"/>
    <xf numFmtId="0" fontId="0" fillId="0" borderId="42" xfId="0" applyBorder="1"/>
    <xf numFmtId="0" fontId="6" fillId="0" borderId="42" xfId="0" applyFont="1" applyBorder="1"/>
    <xf numFmtId="0" fontId="0" fillId="9" borderId="0" xfId="0" applyFill="1"/>
    <xf numFmtId="0" fontId="6" fillId="9" borderId="0" xfId="0" applyFont="1" applyFill="1"/>
    <xf numFmtId="0" fontId="2" fillId="9" borderId="0" xfId="0" applyFont="1" applyFill="1"/>
    <xf numFmtId="165" fontId="4" fillId="0" borderId="17" xfId="0" applyNumberFormat="1" applyFont="1" applyBorder="1"/>
    <xf numFmtId="165" fontId="4" fillId="0" borderId="18" xfId="1" applyNumberFormat="1" applyFont="1" applyFill="1" applyBorder="1"/>
    <xf numFmtId="167" fontId="0" fillId="0" borderId="0" xfId="2" applyNumberFormat="1" applyFont="1" applyFill="1" applyBorder="1"/>
    <xf numFmtId="43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10" fontId="0" fillId="0" borderId="15" xfId="0" applyNumberFormat="1" applyBorder="1"/>
    <xf numFmtId="165" fontId="0" fillId="0" borderId="16" xfId="0" applyNumberFormat="1" applyFill="1" applyBorder="1"/>
    <xf numFmtId="165" fontId="0" fillId="0" borderId="17" xfId="0" applyNumberFormat="1" applyFill="1" applyBorder="1"/>
    <xf numFmtId="165" fontId="0" fillId="0" borderId="18" xfId="0" applyNumberFormat="1" applyFill="1" applyBorder="1"/>
    <xf numFmtId="0" fontId="2" fillId="10" borderId="11" xfId="0" applyFont="1" applyFill="1" applyBorder="1"/>
    <xf numFmtId="0" fontId="0" fillId="10" borderId="12" xfId="0" applyFill="1" applyBorder="1"/>
    <xf numFmtId="0" fontId="0" fillId="10" borderId="13" xfId="0" applyFill="1" applyBorder="1"/>
    <xf numFmtId="0" fontId="2" fillId="8" borderId="11" xfId="0" applyFont="1" applyFill="1" applyBorder="1"/>
    <xf numFmtId="0" fontId="0" fillId="8" borderId="12" xfId="0" applyFill="1" applyBorder="1"/>
    <xf numFmtId="0" fontId="0" fillId="8" borderId="13" xfId="0" applyFill="1" applyBorder="1"/>
    <xf numFmtId="169" fontId="2" fillId="10" borderId="15" xfId="0" applyNumberFormat="1" applyFont="1" applyFill="1" applyBorder="1" applyAlignment="1">
      <alignment wrapText="1"/>
    </xf>
    <xf numFmtId="167" fontId="0" fillId="0" borderId="15" xfId="2" applyNumberFormat="1" applyFont="1" applyFill="1" applyBorder="1"/>
    <xf numFmtId="169" fontId="0" fillId="0" borderId="15" xfId="5" applyNumberFormat="1" applyFont="1" applyFill="1" applyBorder="1"/>
    <xf numFmtId="167" fontId="0" fillId="0" borderId="17" xfId="2" applyNumberFormat="1" applyFont="1" applyFill="1" applyBorder="1"/>
    <xf numFmtId="169" fontId="0" fillId="0" borderId="18" xfId="5" applyNumberFormat="1" applyFont="1" applyFill="1" applyBorder="1"/>
    <xf numFmtId="169" fontId="2" fillId="8" borderId="15" xfId="0" applyNumberFormat="1" applyFont="1" applyFill="1" applyBorder="1" applyAlignment="1">
      <alignment wrapText="1"/>
    </xf>
    <xf numFmtId="167" fontId="0" fillId="0" borderId="0" xfId="2" applyNumberFormat="1" applyFont="1" applyBorder="1"/>
    <xf numFmtId="167" fontId="0" fillId="0" borderId="17" xfId="2" applyNumberFormat="1" applyFont="1" applyBorder="1"/>
    <xf numFmtId="0" fontId="2" fillId="10" borderId="13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0" fillId="8" borderId="14" xfId="0" applyFill="1" applyBorder="1"/>
    <xf numFmtId="0" fontId="0" fillId="8" borderId="0" xfId="0" applyFill="1" applyBorder="1"/>
    <xf numFmtId="0" fontId="0" fillId="8" borderId="15" xfId="0" applyFill="1" applyBorder="1"/>
    <xf numFmtId="0" fontId="0" fillId="10" borderId="14" xfId="0" applyFill="1" applyBorder="1"/>
    <xf numFmtId="0" fontId="0" fillId="10" borderId="0" xfId="0" applyFill="1" applyBorder="1"/>
    <xf numFmtId="0" fontId="0" fillId="10" borderId="15" xfId="0" applyFill="1" applyBorder="1"/>
    <xf numFmtId="0" fontId="0" fillId="10" borderId="43" xfId="0" applyFill="1" applyBorder="1"/>
    <xf numFmtId="0" fontId="0" fillId="10" borderId="44" xfId="0" applyFill="1" applyBorder="1"/>
    <xf numFmtId="165" fontId="0" fillId="0" borderId="44" xfId="0" applyNumberFormat="1" applyFill="1" applyBorder="1"/>
    <xf numFmtId="165" fontId="0" fillId="0" borderId="45" xfId="0" applyNumberFormat="1" applyFill="1" applyBorder="1"/>
    <xf numFmtId="9" fontId="1" fillId="0" borderId="14" xfId="2" applyFont="1" applyFill="1" applyBorder="1"/>
    <xf numFmtId="165" fontId="0" fillId="0" borderId="0" xfId="0" applyNumberFormat="1" applyFont="1" applyFill="1" applyBorder="1"/>
    <xf numFmtId="3" fontId="0" fillId="0" borderId="0" xfId="2" applyNumberFormat="1" applyFont="1"/>
    <xf numFmtId="167" fontId="1" fillId="7" borderId="14" xfId="2" applyNumberFormat="1" applyFont="1" applyFill="1" applyBorder="1"/>
    <xf numFmtId="0" fontId="0" fillId="10" borderId="11" xfId="0" applyFill="1" applyBorder="1"/>
    <xf numFmtId="167" fontId="1" fillId="8" borderId="14" xfId="2" applyNumberFormat="1" applyFont="1" applyFill="1" applyBorder="1"/>
    <xf numFmtId="167" fontId="1" fillId="0" borderId="14" xfId="2" applyNumberFormat="1" applyFont="1" applyFill="1" applyBorder="1"/>
    <xf numFmtId="43" fontId="7" fillId="0" borderId="0" xfId="1" applyFont="1"/>
    <xf numFmtId="170" fontId="0" fillId="0" borderId="0" xfId="0" applyNumberFormat="1"/>
    <xf numFmtId="43" fontId="2" fillId="0" borderId="0" xfId="0" applyNumberFormat="1" applyFont="1"/>
    <xf numFmtId="9" fontId="4" fillId="0" borderId="8" xfId="0" applyNumberFormat="1" applyFont="1" applyFill="1" applyBorder="1"/>
    <xf numFmtId="9" fontId="4" fillId="0" borderId="9" xfId="0" applyNumberFormat="1" applyFont="1" applyFill="1" applyBorder="1"/>
    <xf numFmtId="9" fontId="4" fillId="0" borderId="37" xfId="2" applyFont="1" applyFill="1" applyBorder="1"/>
    <xf numFmtId="9" fontId="4" fillId="0" borderId="9" xfId="2" applyFont="1" applyFill="1" applyBorder="1"/>
    <xf numFmtId="167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70" fontId="0" fillId="0" borderId="0" xfId="0" applyNumberFormat="1" applyFill="1"/>
    <xf numFmtId="3" fontId="0" fillId="0" borderId="0" xfId="2" applyNumberFormat="1" applyFont="1" applyFill="1"/>
    <xf numFmtId="168" fontId="0" fillId="0" borderId="15" xfId="1" applyNumberFormat="1" applyFont="1" applyBorder="1"/>
    <xf numFmtId="0" fontId="0" fillId="8" borderId="11" xfId="0" applyFill="1" applyBorder="1"/>
    <xf numFmtId="0" fontId="0" fillId="9" borderId="0" xfId="0" applyFill="1" applyBorder="1"/>
    <xf numFmtId="0" fontId="2" fillId="9" borderId="0" xfId="0" applyFont="1" applyFill="1" applyBorder="1"/>
    <xf numFmtId="0" fontId="0" fillId="9" borderId="5" xfId="0" applyFill="1" applyBorder="1"/>
    <xf numFmtId="167" fontId="0" fillId="9" borderId="5" xfId="2" applyNumberFormat="1" applyFont="1" applyFill="1" applyBorder="1"/>
    <xf numFmtId="167" fontId="2" fillId="9" borderId="5" xfId="2" applyNumberFormat="1" applyFont="1" applyFill="1" applyBorder="1"/>
    <xf numFmtId="0" fontId="2" fillId="9" borderId="5" xfId="0" applyFont="1" applyFill="1" applyBorder="1"/>
    <xf numFmtId="0" fontId="0" fillId="0" borderId="0" xfId="0" applyAlignment="1">
      <alignment horizontal="right"/>
    </xf>
    <xf numFmtId="10" fontId="4" fillId="0" borderId="34" xfId="2" applyNumberFormat="1" applyFont="1" applyFill="1" applyBorder="1"/>
    <xf numFmtId="10" fontId="4" fillId="0" borderId="5" xfId="2" applyNumberFormat="1" applyFont="1" applyFill="1" applyBorder="1"/>
    <xf numFmtId="10" fontId="4" fillId="0" borderId="9" xfId="0" applyNumberFormat="1" applyFont="1" applyFill="1" applyBorder="1"/>
    <xf numFmtId="10" fontId="4" fillId="0" borderId="9" xfId="2" applyNumberFormat="1" applyFont="1" applyFill="1" applyBorder="1"/>
    <xf numFmtId="0" fontId="0" fillId="0" borderId="0" xfId="0" applyFill="1" applyBorder="1" applyAlignment="1">
      <alignment wrapText="1"/>
    </xf>
    <xf numFmtId="0" fontId="14" fillId="0" borderId="0" xfId="0" applyFon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167" fontId="14" fillId="0" borderId="0" xfId="0" applyNumberFormat="1" applyFont="1" applyFill="1" applyBorder="1"/>
    <xf numFmtId="167" fontId="0" fillId="0" borderId="0" xfId="0" applyNumberFormat="1" applyFill="1" applyBorder="1"/>
    <xf numFmtId="0" fontId="0" fillId="0" borderId="5" xfId="0" applyFill="1" applyBorder="1"/>
    <xf numFmtId="167" fontId="9" fillId="0" borderId="16" xfId="2" applyNumberFormat="1" applyFont="1" applyFill="1" applyBorder="1"/>
    <xf numFmtId="1" fontId="4" fillId="0" borderId="0" xfId="0" applyNumberFormat="1" applyFont="1" applyFill="1" applyBorder="1"/>
    <xf numFmtId="9" fontId="4" fillId="0" borderId="5" xfId="0" applyNumberFormat="1" applyFont="1" applyFill="1" applyBorder="1"/>
    <xf numFmtId="9" fontId="0" fillId="0" borderId="5" xfId="0" applyNumberFormat="1" applyFill="1" applyBorder="1"/>
    <xf numFmtId="9" fontId="2" fillId="0" borderId="5" xfId="2" applyFont="1" applyFill="1" applyBorder="1"/>
    <xf numFmtId="167" fontId="1" fillId="0" borderId="16" xfId="2" applyNumberFormat="1" applyFont="1" applyFill="1" applyBorder="1"/>
    <xf numFmtId="165" fontId="0" fillId="0" borderId="17" xfId="0" applyNumberFormat="1" applyFont="1" applyFill="1" applyBorder="1"/>
    <xf numFmtId="9" fontId="0" fillId="0" borderId="0" xfId="2" applyNumberFormat="1" applyFont="1" applyFill="1" applyBorder="1"/>
    <xf numFmtId="167" fontId="7" fillId="0" borderId="0" xfId="0" applyNumberFormat="1" applyFont="1"/>
    <xf numFmtId="9" fontId="2" fillId="0" borderId="0" xfId="2" applyFont="1"/>
    <xf numFmtId="0" fontId="9" fillId="0" borderId="0" xfId="0" applyFont="1" applyFill="1" applyBorder="1"/>
    <xf numFmtId="3" fontId="4" fillId="0" borderId="5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1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4" fillId="0" borderId="0" xfId="2" applyFont="1"/>
    <xf numFmtId="10" fontId="4" fillId="0" borderId="0" xfId="2" applyNumberFormat="1" applyFont="1"/>
    <xf numFmtId="0" fontId="8" fillId="0" borderId="12" xfId="0" applyFont="1" applyBorder="1" applyAlignment="1">
      <alignment wrapText="1"/>
    </xf>
    <xf numFmtId="9" fontId="0" fillId="0" borderId="12" xfId="2" applyFont="1" applyBorder="1"/>
    <xf numFmtId="3" fontId="0" fillId="0" borderId="0" xfId="2" applyNumberFormat="1" applyFont="1" applyBorder="1"/>
    <xf numFmtId="3" fontId="0" fillId="0" borderId="0" xfId="2" applyNumberFormat="1" applyFont="1" applyFill="1" applyBorder="1"/>
    <xf numFmtId="3" fontId="0" fillId="0" borderId="17" xfId="2" applyNumberFormat="1" applyFont="1" applyFill="1" applyBorder="1"/>
    <xf numFmtId="3" fontId="0" fillId="0" borderId="17" xfId="2" applyNumberFormat="1" applyFont="1" applyBorder="1"/>
    <xf numFmtId="165" fontId="0" fillId="0" borderId="18" xfId="1" applyNumberFormat="1" applyFont="1" applyBorder="1"/>
    <xf numFmtId="168" fontId="2" fillId="0" borderId="0" xfId="0" applyNumberFormat="1" applyFont="1"/>
    <xf numFmtId="9" fontId="8" fillId="0" borderId="0" xfId="0" applyNumberFormat="1" applyFont="1"/>
    <xf numFmtId="167" fontId="8" fillId="0" borderId="16" xfId="2" applyNumberFormat="1" applyFont="1" applyFill="1" applyBorder="1"/>
    <xf numFmtId="0" fontId="2" fillId="0" borderId="21" xfId="0" applyFont="1" applyFill="1" applyBorder="1"/>
    <xf numFmtId="0" fontId="0" fillId="0" borderId="22" xfId="0" applyFill="1" applyBorder="1"/>
    <xf numFmtId="0" fontId="0" fillId="0" borderId="46" xfId="0" applyFill="1" applyBorder="1"/>
    <xf numFmtId="0" fontId="2" fillId="0" borderId="47" xfId="0" applyFont="1" applyFill="1" applyBorder="1"/>
    <xf numFmtId="0" fontId="0" fillId="0" borderId="48" xfId="0" applyFill="1" applyBorder="1"/>
    <xf numFmtId="0" fontId="0" fillId="0" borderId="47" xfId="0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4" fillId="0" borderId="47" xfId="0" applyFont="1" applyFill="1" applyBorder="1"/>
    <xf numFmtId="9" fontId="4" fillId="0" borderId="5" xfId="0" applyNumberFormat="1" applyFont="1" applyFill="1" applyBorder="1" applyAlignment="1">
      <alignment horizontal="center"/>
    </xf>
    <xf numFmtId="0" fontId="0" fillId="0" borderId="47" xfId="0" applyFill="1" applyBorder="1"/>
    <xf numFmtId="3" fontId="0" fillId="0" borderId="5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/>
    </xf>
    <xf numFmtId="0" fontId="2" fillId="0" borderId="23" xfId="0" applyFont="1" applyFill="1" applyBorder="1"/>
    <xf numFmtId="3" fontId="2" fillId="0" borderId="5" xfId="0" applyNumberFormat="1" applyFont="1" applyFill="1" applyBorder="1" applyAlignment="1">
      <alignment horizontal="center"/>
    </xf>
    <xf numFmtId="9" fontId="9" fillId="0" borderId="5" xfId="0" applyNumberFormat="1" applyFont="1" applyFill="1" applyBorder="1" applyAlignment="1">
      <alignment horizontal="center"/>
    </xf>
    <xf numFmtId="9" fontId="2" fillId="0" borderId="5" xfId="2" applyFont="1" applyFill="1" applyBorder="1" applyAlignment="1">
      <alignment horizontal="center"/>
    </xf>
    <xf numFmtId="165" fontId="2" fillId="0" borderId="0" xfId="0" applyNumberFormat="1" applyFont="1"/>
    <xf numFmtId="2" fontId="0" fillId="0" borderId="5" xfId="0" applyNumberFormat="1" applyBorder="1"/>
    <xf numFmtId="171" fontId="0" fillId="0" borderId="5" xfId="0" applyNumberFormat="1" applyBorder="1"/>
    <xf numFmtId="0" fontId="0" fillId="0" borderId="5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/>
    </xf>
    <xf numFmtId="0" fontId="2" fillId="10" borderId="11" xfId="0" applyFont="1" applyFill="1" applyBorder="1" applyAlignment="1">
      <alignment horizontal="center" wrapText="1"/>
    </xf>
    <xf numFmtId="0" fontId="2" fillId="10" borderId="14" xfId="0" applyFont="1" applyFill="1" applyBorder="1" applyAlignment="1">
      <alignment horizontal="center" wrapText="1"/>
    </xf>
    <xf numFmtId="0" fontId="2" fillId="10" borderId="12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2" fillId="5" borderId="39" xfId="0" applyFont="1" applyFill="1" applyBorder="1" applyAlignment="1">
      <alignment horizontal="center"/>
    </xf>
    <xf numFmtId="0" fontId="0" fillId="0" borderId="40" xfId="0" applyBorder="1"/>
    <xf numFmtId="0" fontId="0" fillId="0" borderId="36" xfId="0" applyBorder="1"/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9" fontId="2" fillId="5" borderId="39" xfId="2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169" fontId="0" fillId="0" borderId="0" xfId="0" applyNumberFormat="1"/>
    <xf numFmtId="169" fontId="0" fillId="0" borderId="0" xfId="5" applyNumberFormat="1" applyFont="1"/>
    <xf numFmtId="1" fontId="0" fillId="0" borderId="0" xfId="0" applyNumberFormat="1"/>
    <xf numFmtId="2" fontId="0" fillId="0" borderId="0" xfId="0" applyNumberFormat="1" applyFill="1"/>
    <xf numFmtId="2" fontId="0" fillId="0" borderId="5" xfId="0" applyNumberFormat="1" applyFon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2" fontId="6" fillId="0" borderId="15" xfId="0" applyNumberFormat="1" applyFont="1" applyFill="1" applyBorder="1"/>
    <xf numFmtId="2" fontId="6" fillId="0" borderId="18" xfId="0" applyNumberFormat="1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50">
    <cellStyle name="Comma" xfId="1" builtinId="3"/>
    <cellStyle name="Currency" xfId="5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colors>
    <mruColors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Commodity Cost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0647419072615924E-3"/>
                  <c:y val="8.29166666666666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Forecast!$AQ$44:$AQ$54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xVal>
          <c:yVal>
            <c:numRef>
              <c:f>Forecast!$BM$44:$BM$54</c:f>
              <c:numCache>
                <c:formatCode>General</c:formatCode>
                <c:ptCount val="11"/>
                <c:pt idx="0">
                  <c:v>4.6500000000000004</c:v>
                </c:pt>
                <c:pt idx="1">
                  <c:v>4.7</c:v>
                </c:pt>
                <c:pt idx="2">
                  <c:v>4.83</c:v>
                </c:pt>
                <c:pt idx="3">
                  <c:v>5</c:v>
                </c:pt>
                <c:pt idx="4">
                  <c:v>5.2</c:v>
                </c:pt>
                <c:pt idx="5">
                  <c:v>5.28</c:v>
                </c:pt>
                <c:pt idx="6">
                  <c:v>5.32</c:v>
                </c:pt>
                <c:pt idx="7">
                  <c:v>5.4</c:v>
                </c:pt>
                <c:pt idx="8">
                  <c:v>5.4</c:v>
                </c:pt>
                <c:pt idx="9">
                  <c:v>5.44</c:v>
                </c:pt>
                <c:pt idx="10">
                  <c:v>5.44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539952"/>
        <c:axId val="450539560"/>
      </c:scatterChart>
      <c:valAx>
        <c:axId val="45053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539560"/>
        <c:crosses val="autoZero"/>
        <c:crossBetween val="midCat"/>
      </c:valAx>
      <c:valAx>
        <c:axId val="45053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539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GTA Demand</a:t>
            </a:r>
            <a:r>
              <a:rPr lang="en-US" sz="2400" baseline="0"/>
              <a:t> </a:t>
            </a:r>
            <a:r>
              <a:rPr lang="en-US" sz="2400"/>
              <a:t>Historic and Forecast Models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879682295117425"/>
          <c:y val="0.148815416640559"/>
          <c:w val="0.81098676938180758"/>
          <c:h val="0.7342950531265876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Forecast!$T$5:$T$23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2956583</c:v>
                </c:pt>
                <c:pt idx="8">
                  <c:v>2990147.615384615</c:v>
                </c:pt>
                <c:pt idx="9">
                  <c:v>3025429.153846154</c:v>
                </c:pt>
                <c:pt idx="10">
                  <c:v>3061243</c:v>
                </c:pt>
                <c:pt idx="11">
                  <c:v>3096464.538461538</c:v>
                </c:pt>
                <c:pt idx="12">
                  <c:v>3131703</c:v>
                </c:pt>
                <c:pt idx="13">
                  <c:v>3167055.3076923075</c:v>
                </c:pt>
                <c:pt idx="14">
                  <c:v>3202649.153846154</c:v>
                </c:pt>
                <c:pt idx="15">
                  <c:v>3238489.153846154</c:v>
                </c:pt>
                <c:pt idx="16">
                  <c:v>3274330.692307693</c:v>
                </c:pt>
                <c:pt idx="17">
                  <c:v>3310172.230769231</c:v>
                </c:pt>
                <c:pt idx="18">
                  <c:v>3346015.307692308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Forecast!$F$5:$F$23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2911883</c:v>
                </c:pt>
                <c:pt idx="7">
                  <c:v>2933273</c:v>
                </c:pt>
                <c:pt idx="8">
                  <c:v>2955090</c:v>
                </c:pt>
                <c:pt idx="9">
                  <c:v>2978023</c:v>
                </c:pt>
                <c:pt idx="10">
                  <c:v>3001302</c:v>
                </c:pt>
                <c:pt idx="11">
                  <c:v>3024196</c:v>
                </c:pt>
                <c:pt idx="12">
                  <c:v>3047101</c:v>
                </c:pt>
                <c:pt idx="13">
                  <c:v>3070080</c:v>
                </c:pt>
                <c:pt idx="14">
                  <c:v>3093216</c:v>
                </c:pt>
                <c:pt idx="15">
                  <c:v>3116512</c:v>
                </c:pt>
                <c:pt idx="16">
                  <c:v>3139809</c:v>
                </c:pt>
                <c:pt idx="17">
                  <c:v>3163106</c:v>
                </c:pt>
                <c:pt idx="18">
                  <c:v>3186404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Forecast!$F$36:$F$54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2923675.3076923075</c:v>
                </c:pt>
                <c:pt idx="8">
                  <c:v>2923675.3076923075</c:v>
                </c:pt>
                <c:pt idx="9">
                  <c:v>2923675.3076923075</c:v>
                </c:pt>
                <c:pt idx="10">
                  <c:v>2923675.3076923075</c:v>
                </c:pt>
                <c:pt idx="11">
                  <c:v>2923675.3076923075</c:v>
                </c:pt>
                <c:pt idx="12">
                  <c:v>2923675.3076923075</c:v>
                </c:pt>
                <c:pt idx="13">
                  <c:v>2923675.3076923075</c:v>
                </c:pt>
                <c:pt idx="14">
                  <c:v>2923675.3076923075</c:v>
                </c:pt>
                <c:pt idx="15">
                  <c:v>2923675.3076923075</c:v>
                </c:pt>
                <c:pt idx="16">
                  <c:v>2923675.3076923075</c:v>
                </c:pt>
                <c:pt idx="17">
                  <c:v>2923675.3076923075</c:v>
                </c:pt>
                <c:pt idx="18">
                  <c:v>2923675.3076923075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(median) (Enerlife)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Forecast!$AV$36:$AV$54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2947477.2862272603</c:v>
                </c:pt>
                <c:pt idx="8">
                  <c:v>2954899.1857224703</c:v>
                </c:pt>
                <c:pt idx="9">
                  <c:v>2955196.2440545741</c:v>
                </c:pt>
                <c:pt idx="10">
                  <c:v>2955257.676925336</c:v>
                </c:pt>
                <c:pt idx="11">
                  <c:v>2954028.0937583563</c:v>
                </c:pt>
                <c:pt idx="12">
                  <c:v>2952086.701345548</c:v>
                </c:pt>
                <c:pt idx="13">
                  <c:v>2949530.9079308044</c:v>
                </c:pt>
                <c:pt idx="14">
                  <c:v>2946474.4300588267</c:v>
                </c:pt>
                <c:pt idx="15">
                  <c:v>2942918.6658265069</c:v>
                </c:pt>
                <c:pt idx="16">
                  <c:v>2938627.8199530654</c:v>
                </c:pt>
                <c:pt idx="17">
                  <c:v>2933600.8307650974</c:v>
                </c:pt>
                <c:pt idx="18">
                  <c:v>2928992.9170293231</c:v>
                </c:pt>
              </c:numCache>
            </c:numRef>
          </c:yVal>
          <c:smooth val="0"/>
        </c:ser>
        <c:ser>
          <c:idx val="3"/>
          <c:order val="4"/>
          <c:tx>
            <c:v>Baseline with Full Load Growth and DSM (top quartile) (Enerlife)</c:v>
          </c:tx>
          <c:spPr>
            <a:ln w="25400"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Forecast!$BF$36:$BF$54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2942144.4132096362</c:v>
                </c:pt>
                <c:pt idx="8">
                  <c:v>2934296.4056758112</c:v>
                </c:pt>
                <c:pt idx="9">
                  <c:v>2914493.3711286159</c:v>
                </c:pt>
                <c:pt idx="10">
                  <c:v>2893976.6690113498</c:v>
                </c:pt>
                <c:pt idx="11">
                  <c:v>2871749.358826641</c:v>
                </c:pt>
                <c:pt idx="12">
                  <c:v>2848368.2781192716</c:v>
                </c:pt>
                <c:pt idx="13">
                  <c:v>2823932.5483810641</c:v>
                </c:pt>
                <c:pt idx="14">
                  <c:v>2798554.1846475992</c:v>
                </c:pt>
                <c:pt idx="15">
                  <c:v>2772232.5654576253</c:v>
                </c:pt>
                <c:pt idx="16">
                  <c:v>2744732.0206504026</c:v>
                </c:pt>
                <c:pt idx="17">
                  <c:v>2716051.9492294081</c:v>
                </c:pt>
                <c:pt idx="18">
                  <c:v>2688458.7528577102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58776"/>
        <c:axId val="331759168"/>
      </c:scatterChart>
      <c:valAx>
        <c:axId val="33175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331759168"/>
        <c:crosses val="autoZero"/>
        <c:crossBetween val="midCat"/>
        <c:majorUnit val="1"/>
      </c:valAx>
      <c:valAx>
        <c:axId val="331759168"/>
        <c:scaling>
          <c:orientation val="minMax"/>
          <c:max val="3500000"/>
          <c:min val="2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788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31758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558309666037416"/>
          <c:y val="0.61689104463040234"/>
          <c:w val="0.60485996157870692"/>
          <c:h val="0.2042179749789390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Apartment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layout>
        <c:manualLayout>
          <c:xMode val="edge"/>
          <c:yMode val="edge"/>
          <c:x val="0.15456612725531316"/>
          <c:y val="1.21165054471802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79682295117425"/>
          <c:y val="0.148815416640559"/>
          <c:w val="0.81684592451932092"/>
          <c:h val="0.71813971253034492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Forecast!$P$5:$P$23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436564.23076923075</c:v>
                </c:pt>
                <c:pt idx="8">
                  <c:v>442911.92307692306</c:v>
                </c:pt>
                <c:pt idx="9">
                  <c:v>449407.30769230769</c:v>
                </c:pt>
                <c:pt idx="10">
                  <c:v>455879.61538461538</c:v>
                </c:pt>
                <c:pt idx="11">
                  <c:v>462051.92307692306</c:v>
                </c:pt>
                <c:pt idx="12">
                  <c:v>468147.30769230769</c:v>
                </c:pt>
                <c:pt idx="13">
                  <c:v>474225.76923076925</c:v>
                </c:pt>
                <c:pt idx="14">
                  <c:v>480233.46153846156</c:v>
                </c:pt>
                <c:pt idx="15">
                  <c:v>486216.5384615385</c:v>
                </c:pt>
                <c:pt idx="16">
                  <c:v>492201.15384615387</c:v>
                </c:pt>
                <c:pt idx="17">
                  <c:v>498185.76923076925</c:v>
                </c:pt>
                <c:pt idx="18">
                  <c:v>504170.38461538462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Forecast!$B$5:$B$23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428717</c:v>
                </c:pt>
                <c:pt idx="7">
                  <c:v>432326</c:v>
                </c:pt>
                <c:pt idx="8">
                  <c:v>436452</c:v>
                </c:pt>
                <c:pt idx="9">
                  <c:v>440674</c:v>
                </c:pt>
                <c:pt idx="10">
                  <c:v>444881</c:v>
                </c:pt>
                <c:pt idx="11">
                  <c:v>448893</c:v>
                </c:pt>
                <c:pt idx="12">
                  <c:v>452855</c:v>
                </c:pt>
                <c:pt idx="13">
                  <c:v>456806</c:v>
                </c:pt>
                <c:pt idx="14">
                  <c:v>460711</c:v>
                </c:pt>
                <c:pt idx="15">
                  <c:v>464600</c:v>
                </c:pt>
                <c:pt idx="16">
                  <c:v>468490</c:v>
                </c:pt>
                <c:pt idx="17">
                  <c:v>472380</c:v>
                </c:pt>
                <c:pt idx="18">
                  <c:v>476270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Forecast!$B$36:$B$54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431011.92307692306</c:v>
                </c:pt>
                <c:pt idx="8">
                  <c:v>431011.92307692306</c:v>
                </c:pt>
                <c:pt idx="9">
                  <c:v>431011.92307692306</c:v>
                </c:pt>
                <c:pt idx="10">
                  <c:v>431011.92307692306</c:v>
                </c:pt>
                <c:pt idx="11">
                  <c:v>431011.92307692306</c:v>
                </c:pt>
                <c:pt idx="12">
                  <c:v>431011.92307692306</c:v>
                </c:pt>
                <c:pt idx="13">
                  <c:v>431011.92307692306</c:v>
                </c:pt>
                <c:pt idx="14">
                  <c:v>431011.92307692306</c:v>
                </c:pt>
                <c:pt idx="15">
                  <c:v>431011.92307692306</c:v>
                </c:pt>
                <c:pt idx="16">
                  <c:v>431011.92307692306</c:v>
                </c:pt>
                <c:pt idx="17">
                  <c:v>431011.92307692306</c:v>
                </c:pt>
                <c:pt idx="18">
                  <c:v>431011.92307692306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(median) (Enerlife)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Forecast!$AR$36:$AR$54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435180.74518094736</c:v>
                </c:pt>
                <c:pt idx="8">
                  <c:v>437297.51658854797</c:v>
                </c:pt>
                <c:pt idx="9">
                  <c:v>438531.70782119042</c:v>
                </c:pt>
                <c:pt idx="10">
                  <c:v>439593.94415611838</c:v>
                </c:pt>
                <c:pt idx="11">
                  <c:v>440221.18420192716</c:v>
                </c:pt>
                <c:pt idx="12">
                  <c:v>440633.7657751643</c:v>
                </c:pt>
                <c:pt idx="13">
                  <c:v>440890.13051036728</c:v>
                </c:pt>
                <c:pt idx="14">
                  <c:v>440941.42292351555</c:v>
                </c:pt>
                <c:pt idx="15">
                  <c:v>440831.93533205363</c:v>
                </c:pt>
                <c:pt idx="16">
                  <c:v>440585.92991438974</c:v>
                </c:pt>
                <c:pt idx="17">
                  <c:v>440201.99408378382</c:v>
                </c:pt>
                <c:pt idx="18">
                  <c:v>440261.12114451657</c:v>
                </c:pt>
              </c:numCache>
            </c:numRef>
          </c:yVal>
          <c:smooth val="0"/>
        </c:ser>
        <c:ser>
          <c:idx val="3"/>
          <c:order val="4"/>
          <c:tx>
            <c:v>Baseline with Full Load Growth and DSM (top quartile) (Enerlife)</c:v>
          </c:tx>
          <c:spPr>
            <a:ln w="25400"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Forecast!$BB$36:$BB$54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433387.97358348506</c:v>
                </c:pt>
                <c:pt idx="8">
                  <c:v>430022.16180768929</c:v>
                </c:pt>
                <c:pt idx="9">
                  <c:v>424438.70481528615</c:v>
                </c:pt>
                <c:pt idx="10">
                  <c:v>418490.37136047828</c:v>
                </c:pt>
                <c:pt idx="11">
                  <c:v>411932.10845140292</c:v>
                </c:pt>
                <c:pt idx="12">
                  <c:v>404980.70446944883</c:v>
                </c:pt>
                <c:pt idx="13">
                  <c:v>397692.5816617721</c:v>
                </c:pt>
                <c:pt idx="14">
                  <c:v>390025.35163818486</c:v>
                </c:pt>
                <c:pt idx="15">
                  <c:v>382020.89447864518</c:v>
                </c:pt>
                <c:pt idx="16">
                  <c:v>373701.02106880117</c:v>
                </c:pt>
                <c:pt idx="17">
                  <c:v>365064.48193511437</c:v>
                </c:pt>
                <c:pt idx="18">
                  <c:v>357445.14291125862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59952"/>
        <c:axId val="346699800"/>
      </c:scatterChart>
      <c:valAx>
        <c:axId val="33175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346699800"/>
        <c:crosses val="autoZero"/>
        <c:crossBetween val="midCat"/>
        <c:majorUnit val="1"/>
      </c:valAx>
      <c:valAx>
        <c:axId val="3466998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667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317599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341118166702743"/>
          <c:y val="0.52883775999206006"/>
          <c:w val="0.69405360342654565"/>
          <c:h val="0.28714050789465273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Commercial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79678327769522"/>
          <c:y val="0.14477665718653501"/>
          <c:w val="0.80805719181305258"/>
          <c:h val="0.73025621797752305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Forecast!$Q$5:$Q$23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1134786.3846153845</c:v>
                </c:pt>
                <c:pt idx="8">
                  <c:v>1146181.769230769</c:v>
                </c:pt>
                <c:pt idx="9">
                  <c:v>1158374.0769230768</c:v>
                </c:pt>
                <c:pt idx="10">
                  <c:v>1170814.0769230768</c:v>
                </c:pt>
                <c:pt idx="11">
                  <c:v>1182430.9999999998</c:v>
                </c:pt>
                <c:pt idx="12">
                  <c:v>1194046.3846153843</c:v>
                </c:pt>
                <c:pt idx="13">
                  <c:v>1205606.3846153843</c:v>
                </c:pt>
                <c:pt idx="14">
                  <c:v>1217237.1538461535</c:v>
                </c:pt>
                <c:pt idx="15">
                  <c:v>1228907.9230769228</c:v>
                </c:pt>
                <c:pt idx="16">
                  <c:v>1240580.2307692305</c:v>
                </c:pt>
                <c:pt idx="17">
                  <c:v>1252250.9999999998</c:v>
                </c:pt>
                <c:pt idx="18">
                  <c:v>1263921.769230769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Forecast!$C$5:$C$23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1119742</c:v>
                </c:pt>
                <c:pt idx="7">
                  <c:v>1126892</c:v>
                </c:pt>
                <c:pt idx="8">
                  <c:v>1134299</c:v>
                </c:pt>
                <c:pt idx="9">
                  <c:v>1142224</c:v>
                </c:pt>
                <c:pt idx="10">
                  <c:v>1150310</c:v>
                </c:pt>
                <c:pt idx="11">
                  <c:v>1157861</c:v>
                </c:pt>
                <c:pt idx="12">
                  <c:v>1165411</c:v>
                </c:pt>
                <c:pt idx="13">
                  <c:v>1172925</c:v>
                </c:pt>
                <c:pt idx="14">
                  <c:v>1180485</c:v>
                </c:pt>
                <c:pt idx="15">
                  <c:v>1188071</c:v>
                </c:pt>
                <c:pt idx="16">
                  <c:v>1195658</c:v>
                </c:pt>
                <c:pt idx="17">
                  <c:v>1203244</c:v>
                </c:pt>
                <c:pt idx="18">
                  <c:v>1210830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Forecast!$C$36:$C$54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1123786.3846153845</c:v>
                </c:pt>
                <c:pt idx="8">
                  <c:v>1123786.3846153845</c:v>
                </c:pt>
                <c:pt idx="9">
                  <c:v>1123786.3846153845</c:v>
                </c:pt>
                <c:pt idx="10">
                  <c:v>1123786.3846153845</c:v>
                </c:pt>
                <c:pt idx="11">
                  <c:v>1123786.3846153845</c:v>
                </c:pt>
                <c:pt idx="12">
                  <c:v>1123786.3846153845</c:v>
                </c:pt>
                <c:pt idx="13">
                  <c:v>1123786.3846153845</c:v>
                </c:pt>
                <c:pt idx="14">
                  <c:v>1123786.3846153845</c:v>
                </c:pt>
                <c:pt idx="15">
                  <c:v>1123786.3846153845</c:v>
                </c:pt>
                <c:pt idx="16">
                  <c:v>1123786.3846153845</c:v>
                </c:pt>
                <c:pt idx="17">
                  <c:v>1123786.3846153845</c:v>
                </c:pt>
                <c:pt idx="18">
                  <c:v>1123786.3846153845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(median) (Enerlife)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Forecast!$AS$36:$AS$54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1129126.5454125716</c:v>
                </c:pt>
                <c:pt idx="8">
                  <c:v>1124874.1638716848</c:v>
                </c:pt>
                <c:pt idx="9">
                  <c:v>1115830.7802543628</c:v>
                </c:pt>
                <c:pt idx="10">
                  <c:v>1106579.2442552312</c:v>
                </c:pt>
                <c:pt idx="11">
                  <c:v>1096113.4759200655</c:v>
                </c:pt>
                <c:pt idx="12">
                  <c:v>1085224.9249934605</c:v>
                </c:pt>
                <c:pt idx="13">
                  <c:v>1073865.7129798778</c:v>
                </c:pt>
                <c:pt idx="14">
                  <c:v>1062148.9339360106</c:v>
                </c:pt>
                <c:pt idx="15">
                  <c:v>1050044.4464385093</c:v>
                </c:pt>
                <c:pt idx="16">
                  <c:v>1037517.9080631504</c:v>
                </c:pt>
                <c:pt idx="17">
                  <c:v>1024566.7176253686</c:v>
                </c:pt>
                <c:pt idx="18">
                  <c:v>1011765.2726155753</c:v>
                </c:pt>
              </c:numCache>
            </c:numRef>
          </c:yVal>
          <c:smooth val="0"/>
        </c:ser>
        <c:ser>
          <c:idx val="3"/>
          <c:order val="4"/>
          <c:tx>
            <c:v>Baseline with Full Load Growth and DSM (top quartile) (Enerlife)</c:v>
          </c:tx>
          <c:spPr>
            <a:ln w="25400"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Forecast!$BC$36:$BC$54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1125586.4439924099</c:v>
                </c:pt>
                <c:pt idx="8">
                  <c:v>1111546.7386058841</c:v>
                </c:pt>
                <c:pt idx="9">
                  <c:v>1089220.9103343089</c:v>
                </c:pt>
                <c:pt idx="10">
                  <c:v>1066401.8091368852</c:v>
                </c:pt>
                <c:pt idx="11">
                  <c:v>1042123.8167388742</c:v>
                </c:pt>
                <c:pt idx="12">
                  <c:v>1017159.5630728996</c:v>
                </c:pt>
                <c:pt idx="13">
                  <c:v>991464.90227873251</c:v>
                </c:pt>
                <c:pt idx="14">
                  <c:v>965144.75981011346</c:v>
                </c:pt>
                <c:pt idx="15">
                  <c:v>938169.38692303607</c:v>
                </c:pt>
                <c:pt idx="16">
                  <c:v>910507.01760607655</c:v>
                </c:pt>
                <c:pt idx="17">
                  <c:v>882155.34823834896</c:v>
                </c:pt>
                <c:pt idx="18">
                  <c:v>854047.08667721995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00584"/>
        <c:axId val="346700976"/>
      </c:scatterChart>
      <c:valAx>
        <c:axId val="34670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346700976"/>
        <c:crosses val="autoZero"/>
        <c:crossBetween val="midCat"/>
        <c:majorUnit val="1"/>
      </c:valAx>
      <c:valAx>
        <c:axId val="3467009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667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46700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0048273440772733"/>
          <c:y val="0.57251394590695426"/>
          <c:w val="0.61602430488275151"/>
          <c:h val="0.2493543429085528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Industrial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38718930715673"/>
          <c:y val="0.18370904357666445"/>
          <c:w val="0.85053606656000302"/>
          <c:h val="0.71410087738128492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Forecast!$R$5:$R$23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184800.15384615384</c:v>
                </c:pt>
                <c:pt idx="7">
                  <c:v>184824.76923076922</c:v>
                </c:pt>
                <c:pt idx="8">
                  <c:v>184977.07692307691</c:v>
                </c:pt>
                <c:pt idx="9">
                  <c:v>185133.99999999997</c:v>
                </c:pt>
                <c:pt idx="10">
                  <c:v>185201.69230769228</c:v>
                </c:pt>
                <c:pt idx="11">
                  <c:v>185266.30769230766</c:v>
                </c:pt>
                <c:pt idx="12">
                  <c:v>185329.3846153846</c:v>
                </c:pt>
                <c:pt idx="13">
                  <c:v>185390.92307692306</c:v>
                </c:pt>
                <c:pt idx="14">
                  <c:v>185474</c:v>
                </c:pt>
                <c:pt idx="15">
                  <c:v>185555.53846153847</c:v>
                </c:pt>
                <c:pt idx="16">
                  <c:v>185637.07692307694</c:v>
                </c:pt>
                <c:pt idx="17">
                  <c:v>185718.6153846154</c:v>
                </c:pt>
                <c:pt idx="18">
                  <c:v>185801.69230769234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dPt>
            <c:idx val="18"/>
            <c:bubble3D val="0"/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dPt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Forecast!$D$5:$D$23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184791</c:v>
                </c:pt>
                <c:pt idx="7">
                  <c:v>184807</c:v>
                </c:pt>
                <c:pt idx="8">
                  <c:v>184906</c:v>
                </c:pt>
                <c:pt idx="9">
                  <c:v>185008</c:v>
                </c:pt>
                <c:pt idx="10">
                  <c:v>185052</c:v>
                </c:pt>
                <c:pt idx="11">
                  <c:v>185094</c:v>
                </c:pt>
                <c:pt idx="12">
                  <c:v>185135</c:v>
                </c:pt>
                <c:pt idx="13">
                  <c:v>185175</c:v>
                </c:pt>
                <c:pt idx="14">
                  <c:v>185229</c:v>
                </c:pt>
                <c:pt idx="15">
                  <c:v>185282</c:v>
                </c:pt>
                <c:pt idx="16">
                  <c:v>185335</c:v>
                </c:pt>
                <c:pt idx="17">
                  <c:v>185388</c:v>
                </c:pt>
                <c:pt idx="18">
                  <c:v>185442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Forecast!$D$36:$D$54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184800.15384615384</c:v>
                </c:pt>
                <c:pt idx="7">
                  <c:v>184800.15384615384</c:v>
                </c:pt>
                <c:pt idx="8">
                  <c:v>184800.15384615384</c:v>
                </c:pt>
                <c:pt idx="9">
                  <c:v>184800.15384615384</c:v>
                </c:pt>
                <c:pt idx="10">
                  <c:v>184800.15384615384</c:v>
                </c:pt>
                <c:pt idx="11">
                  <c:v>184800.15384615384</c:v>
                </c:pt>
                <c:pt idx="12">
                  <c:v>184800.15384615384</c:v>
                </c:pt>
                <c:pt idx="13">
                  <c:v>184800.15384615384</c:v>
                </c:pt>
                <c:pt idx="14">
                  <c:v>184800.15384615384</c:v>
                </c:pt>
                <c:pt idx="15">
                  <c:v>184800.15384615384</c:v>
                </c:pt>
                <c:pt idx="16">
                  <c:v>184800.15384615384</c:v>
                </c:pt>
                <c:pt idx="17">
                  <c:v>184800.15384615384</c:v>
                </c:pt>
                <c:pt idx="18">
                  <c:v>184800.15384615384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(Chris Neme)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Forecast!$AT$36:$AT$54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184800.15384615384</c:v>
                </c:pt>
                <c:pt idx="7">
                  <c:v>184194.68479020978</c:v>
                </c:pt>
                <c:pt idx="8">
                  <c:v>182454.66223776221</c:v>
                </c:pt>
                <c:pt idx="9">
                  <c:v>180084.89090909087</c:v>
                </c:pt>
                <c:pt idx="10">
                  <c:v>177625.25944055943</c:v>
                </c:pt>
                <c:pt idx="11">
                  <c:v>175160.87272727268</c:v>
                </c:pt>
                <c:pt idx="12">
                  <c:v>172693.2902097902</c:v>
                </c:pt>
                <c:pt idx="13">
                  <c:v>170222.57482517482</c:v>
                </c:pt>
                <c:pt idx="14">
                  <c:v>167769.66363636364</c:v>
                </c:pt>
                <c:pt idx="15">
                  <c:v>165313.1160839161</c:v>
                </c:pt>
                <c:pt idx="16">
                  <c:v>162854.34475524476</c:v>
                </c:pt>
                <c:pt idx="17">
                  <c:v>160393.34965034967</c:v>
                </c:pt>
                <c:pt idx="18">
                  <c:v>157931.43846153849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150056"/>
        <c:axId val="344150448"/>
      </c:scatterChart>
      <c:valAx>
        <c:axId val="34415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344150448"/>
        <c:crosses val="autoZero"/>
        <c:crossBetween val="midCat"/>
        <c:majorUnit val="1"/>
      </c:valAx>
      <c:valAx>
        <c:axId val="344150448"/>
        <c:scaling>
          <c:orientation val="minMax"/>
          <c:max val="200000"/>
          <c:min val="1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667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44150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285083091217081"/>
          <c:y val="0.59487448516033958"/>
          <c:w val="0.67239664358067408"/>
          <c:h val="0.252810409127641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Residential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879682295117425"/>
          <c:y val="0.148815416640559"/>
          <c:w val="0.83295860114747367"/>
          <c:h val="0.7342950531265876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Forecast!$S$5:$S$23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1184076.8461538462</c:v>
                </c:pt>
                <c:pt idx="7">
                  <c:v>1200407.6153846155</c:v>
                </c:pt>
                <c:pt idx="8">
                  <c:v>1216076.8461538462</c:v>
                </c:pt>
                <c:pt idx="9">
                  <c:v>1232513.7692307692</c:v>
                </c:pt>
                <c:pt idx="10">
                  <c:v>1249347.6153846155</c:v>
                </c:pt>
                <c:pt idx="11">
                  <c:v>1266715.3076923077</c:v>
                </c:pt>
                <c:pt idx="12">
                  <c:v>1284179.9230769232</c:v>
                </c:pt>
                <c:pt idx="13">
                  <c:v>1301832.230769231</c:v>
                </c:pt>
                <c:pt idx="14">
                  <c:v>1319704.5384615387</c:v>
                </c:pt>
                <c:pt idx="15">
                  <c:v>1337809.1538461542</c:v>
                </c:pt>
                <c:pt idx="16">
                  <c:v>1355912.2307692312</c:v>
                </c:pt>
                <c:pt idx="17">
                  <c:v>1374016.8461538467</c:v>
                </c:pt>
                <c:pt idx="18">
                  <c:v>1392121.4615384622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Forecast!$E$5:$E$23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1178633</c:v>
                </c:pt>
                <c:pt idx="7">
                  <c:v>1189248</c:v>
                </c:pt>
                <c:pt idx="8">
                  <c:v>1199433</c:v>
                </c:pt>
                <c:pt idx="9">
                  <c:v>1210117</c:v>
                </c:pt>
                <c:pt idx="10">
                  <c:v>1221059</c:v>
                </c:pt>
                <c:pt idx="11">
                  <c:v>1232348</c:v>
                </c:pt>
                <c:pt idx="12">
                  <c:v>1243700</c:v>
                </c:pt>
                <c:pt idx="13">
                  <c:v>1255174</c:v>
                </c:pt>
                <c:pt idx="14">
                  <c:v>1266791</c:v>
                </c:pt>
                <c:pt idx="15">
                  <c:v>1278559</c:v>
                </c:pt>
                <c:pt idx="16">
                  <c:v>1290326</c:v>
                </c:pt>
                <c:pt idx="17">
                  <c:v>1302094</c:v>
                </c:pt>
                <c:pt idx="18">
                  <c:v>1313862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Forecast!$E$36:$E$54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1184076.8461538462</c:v>
                </c:pt>
                <c:pt idx="7">
                  <c:v>1184076.8461538462</c:v>
                </c:pt>
                <c:pt idx="8">
                  <c:v>1184076.8461538462</c:v>
                </c:pt>
                <c:pt idx="9">
                  <c:v>1184076.8461538462</c:v>
                </c:pt>
                <c:pt idx="10">
                  <c:v>1184076.8461538462</c:v>
                </c:pt>
                <c:pt idx="11">
                  <c:v>1184076.8461538462</c:v>
                </c:pt>
                <c:pt idx="12">
                  <c:v>1184076.8461538462</c:v>
                </c:pt>
                <c:pt idx="13">
                  <c:v>1184076.8461538462</c:v>
                </c:pt>
                <c:pt idx="14">
                  <c:v>1184076.8461538462</c:v>
                </c:pt>
                <c:pt idx="15">
                  <c:v>1184076.8461538462</c:v>
                </c:pt>
                <c:pt idx="16">
                  <c:v>1184076.8461538462</c:v>
                </c:pt>
                <c:pt idx="17">
                  <c:v>1184076.8461538462</c:v>
                </c:pt>
                <c:pt idx="18">
                  <c:v>1184076.8461538462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(Chris Neme)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Forecast!$AU$36:$AU$54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1184076.8461538462</c:v>
                </c:pt>
                <c:pt idx="7">
                  <c:v>1198975.3108435315</c:v>
                </c:pt>
                <c:pt idx="8">
                  <c:v>1210272.8430244755</c:v>
                </c:pt>
                <c:pt idx="9">
                  <c:v>1220748.86506993</c:v>
                </c:pt>
                <c:pt idx="10">
                  <c:v>1231459.2290734267</c:v>
                </c:pt>
                <c:pt idx="11">
                  <c:v>1242532.560909091</c:v>
                </c:pt>
                <c:pt idx="12">
                  <c:v>1253534.7203671329</c:v>
                </c:pt>
                <c:pt idx="13">
                  <c:v>1264552.4896153847</c:v>
                </c:pt>
                <c:pt idx="14">
                  <c:v>1275614.4095629372</c:v>
                </c:pt>
                <c:pt idx="15">
                  <c:v>1286729.1679720283</c:v>
                </c:pt>
                <c:pt idx="16">
                  <c:v>1297669.6372202802</c:v>
                </c:pt>
                <c:pt idx="17">
                  <c:v>1308438.769405595</c:v>
                </c:pt>
                <c:pt idx="18">
                  <c:v>1319035.084807693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540344"/>
        <c:axId val="450540736"/>
      </c:scatterChart>
      <c:valAx>
        <c:axId val="45054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450540736"/>
        <c:crosses val="autoZero"/>
        <c:crossBetween val="midCat"/>
        <c:majorUnit val="1"/>
      </c:valAx>
      <c:valAx>
        <c:axId val="4505407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788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1200"/>
            </a:pPr>
            <a:endParaRPr lang="en-US"/>
          </a:p>
        </c:txPr>
        <c:crossAx val="450540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483532083257201"/>
          <c:y val="0.54773887245263364"/>
          <c:w val="0.61950784942248105"/>
          <c:h val="0.28095584281107999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226218</xdr:colOff>
      <xdr:row>59</xdr:row>
      <xdr:rowOff>158352</xdr:rowOff>
    </xdr:from>
    <xdr:to>
      <xdr:col>65</xdr:col>
      <xdr:colOff>500062</xdr:colOff>
      <xdr:row>74</xdr:row>
      <xdr:rowOff>44052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9919" cy="582341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16</xdr:col>
      <xdr:colOff>22608</xdr:colOff>
      <xdr:row>21</xdr:row>
      <xdr:rowOff>171000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0"/>
          <a:ext cx="4899408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57150</xdr:colOff>
      <xdr:row>3</xdr:row>
      <xdr:rowOff>0</xdr:rowOff>
    </xdr:from>
    <xdr:to>
      <xdr:col>24</xdr:col>
      <xdr:colOff>180350</xdr:colOff>
      <xdr:row>21</xdr:row>
      <xdr:rowOff>171000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33950" y="3810000"/>
          <a:ext cx="5000000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219075</xdr:colOff>
      <xdr:row>3</xdr:row>
      <xdr:rowOff>0</xdr:rowOff>
    </xdr:from>
    <xdr:to>
      <xdr:col>32</xdr:col>
      <xdr:colOff>342275</xdr:colOff>
      <xdr:row>21</xdr:row>
      <xdr:rowOff>171000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72675" y="3810000"/>
          <a:ext cx="5000000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180975</xdr:colOff>
      <xdr:row>24</xdr:row>
      <xdr:rowOff>0</xdr:rowOff>
    </xdr:from>
    <xdr:to>
      <xdr:col>32</xdr:col>
      <xdr:colOff>314115</xdr:colOff>
      <xdr:row>42</xdr:row>
      <xdr:rowOff>171000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34575" y="7810500"/>
          <a:ext cx="5009940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23</xdr:row>
      <xdr:rowOff>190499</xdr:rowOff>
    </xdr:from>
    <xdr:to>
      <xdr:col>24</xdr:col>
      <xdr:colOff>118826</xdr:colOff>
      <xdr:row>42</xdr:row>
      <xdr:rowOff>170999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76800" y="7810499"/>
          <a:ext cx="4995626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24</xdr:row>
      <xdr:rowOff>1</xdr:rowOff>
    </xdr:from>
    <xdr:to>
      <xdr:col>15</xdr:col>
      <xdr:colOff>520800</xdr:colOff>
      <xdr:row>42</xdr:row>
      <xdr:rowOff>14520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810501"/>
          <a:ext cx="4788000" cy="34435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ad%20Forecast%20with%20DSM%20Model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artment"/>
      <sheetName val="Commercial"/>
      <sheetName val="Industrial"/>
      <sheetName val="Residential"/>
      <sheetName val="GTA "/>
      <sheetName val="Forecast"/>
      <sheetName val="Peak Breakdown"/>
      <sheetName val="Savings Model"/>
      <sheetName val="% savings achiev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4">
          <cell r="I54">
            <v>1</v>
          </cell>
          <cell r="L54">
            <v>1</v>
          </cell>
          <cell r="O54">
            <v>0.375</v>
          </cell>
          <cell r="R54">
            <v>0.15441176470588236</v>
          </cell>
        </row>
      </sheetData>
      <sheetData sheetId="6"/>
      <sheetData sheetId="7">
        <row r="19">
          <cell r="F19">
            <v>0.21690939460771505</v>
          </cell>
          <cell r="I19">
            <v>0.35049149723551387</v>
          </cell>
        </row>
        <row r="20">
          <cell r="G20">
            <v>0.23322825995930752</v>
          </cell>
          <cell r="I20">
            <v>0.28225259646932227</v>
          </cell>
        </row>
        <row r="21">
          <cell r="F21">
            <v>0.4</v>
          </cell>
          <cell r="I21">
            <v>0.4</v>
          </cell>
        </row>
        <row r="22">
          <cell r="F22">
            <v>0.34</v>
          </cell>
          <cell r="I22">
            <v>0.34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K91"/>
  <sheetViews>
    <sheetView tabSelected="1" topLeftCell="BC41" zoomScale="80" zoomScaleNormal="80" zoomScalePageLayoutView="80" workbookViewId="0">
      <selection activeCell="BP64" sqref="BP64"/>
    </sheetView>
  </sheetViews>
  <sheetFormatPr defaultColWidth="11.28515625" defaultRowHeight="15" x14ac:dyDescent="0.25"/>
  <cols>
    <col min="1" max="1" width="64.42578125" customWidth="1"/>
    <col min="2" max="2" width="12.42578125" customWidth="1"/>
    <col min="3" max="3" width="12.7109375" customWidth="1"/>
    <col min="4" max="4" width="12.85546875" customWidth="1"/>
    <col min="5" max="5" width="14.42578125" customWidth="1"/>
    <col min="8" max="8" width="33.28515625" customWidth="1"/>
    <col min="9" max="9" width="12.42578125" customWidth="1"/>
    <col min="10" max="10" width="15.7109375" customWidth="1"/>
    <col min="11" max="11" width="15.42578125" customWidth="1"/>
    <col min="12" max="12" width="17.42578125" customWidth="1"/>
    <col min="13" max="13" width="16.42578125" customWidth="1"/>
    <col min="15" max="15" width="12.42578125" customWidth="1"/>
    <col min="16" max="16" width="15.85546875" customWidth="1"/>
    <col min="17" max="18" width="12.42578125" customWidth="1"/>
    <col min="19" max="19" width="15.28515625" customWidth="1"/>
    <col min="21" max="21" width="19.140625" bestFit="1" customWidth="1"/>
    <col min="43" max="43" width="15.42578125" customWidth="1"/>
    <col min="45" max="45" width="13.28515625" customWidth="1"/>
    <col min="46" max="46" width="14.42578125" customWidth="1"/>
    <col min="47" max="47" width="14.85546875" customWidth="1"/>
    <col min="49" max="49" width="13.7109375" customWidth="1"/>
    <col min="54" max="54" width="13.42578125" customWidth="1"/>
    <col min="55" max="55" width="13.28515625" customWidth="1"/>
    <col min="59" max="59" width="16.7109375" customWidth="1"/>
    <col min="62" max="62" width="17.28515625" customWidth="1"/>
    <col min="63" max="63" width="14.7109375" customWidth="1"/>
    <col min="64" max="64" width="16.140625" customWidth="1"/>
    <col min="66" max="66" width="20.5703125" customWidth="1"/>
    <col min="67" max="67" width="12" customWidth="1"/>
    <col min="69" max="69" width="13.140625" customWidth="1"/>
    <col min="71" max="71" width="13.140625" customWidth="1"/>
    <col min="73" max="73" width="15.7109375" customWidth="1"/>
  </cols>
  <sheetData>
    <row r="1" spans="1:64" s="21" customFormat="1" ht="18.75" x14ac:dyDescent="0.3">
      <c r="A1" s="122" t="s">
        <v>62</v>
      </c>
      <c r="I1" s="123"/>
      <c r="BK1"/>
    </row>
    <row r="2" spans="1:64" ht="15.75" thickBot="1" x14ac:dyDescent="0.3">
      <c r="B2" s="14" t="s">
        <v>55</v>
      </c>
    </row>
    <row r="3" spans="1:64" x14ac:dyDescent="0.25">
      <c r="B3" s="108" t="s">
        <v>60</v>
      </c>
      <c r="C3" s="109"/>
      <c r="D3" s="109"/>
      <c r="E3" s="110"/>
      <c r="F3" s="3"/>
      <c r="G3" s="3"/>
      <c r="I3" s="11" t="s">
        <v>64</v>
      </c>
      <c r="J3" s="6"/>
      <c r="K3" s="6"/>
      <c r="L3" s="7"/>
      <c r="P3" s="11" t="s">
        <v>87</v>
      </c>
      <c r="Q3" s="6"/>
      <c r="R3" s="6"/>
      <c r="S3" s="7"/>
    </row>
    <row r="4" spans="1:64" x14ac:dyDescent="0.25">
      <c r="B4" s="23" t="s">
        <v>13</v>
      </c>
      <c r="C4" s="1" t="s">
        <v>5</v>
      </c>
      <c r="D4" s="1" t="s">
        <v>6</v>
      </c>
      <c r="E4" s="111" t="s">
        <v>7</v>
      </c>
      <c r="F4" s="1" t="s">
        <v>3</v>
      </c>
      <c r="G4" s="1"/>
      <c r="H4" s="1"/>
      <c r="I4" s="8" t="s">
        <v>13</v>
      </c>
      <c r="J4" s="9" t="s">
        <v>5</v>
      </c>
      <c r="K4" s="9" t="s">
        <v>6</v>
      </c>
      <c r="L4" s="10" t="s">
        <v>7</v>
      </c>
      <c r="M4" s="1"/>
      <c r="N4" s="1"/>
      <c r="O4" s="1"/>
      <c r="P4" s="8" t="s">
        <v>13</v>
      </c>
      <c r="Q4" s="9" t="s">
        <v>5</v>
      </c>
      <c r="R4" s="9" t="s">
        <v>6</v>
      </c>
      <c r="S4" s="10" t="s">
        <v>7</v>
      </c>
      <c r="T4" s="1" t="s">
        <v>3</v>
      </c>
    </row>
    <row r="5" spans="1:64" x14ac:dyDescent="0.25">
      <c r="A5" s="12">
        <v>2007</v>
      </c>
      <c r="B5" s="112">
        <v>410758</v>
      </c>
      <c r="C5" s="113">
        <v>896792</v>
      </c>
      <c r="D5" s="113">
        <v>352178</v>
      </c>
      <c r="E5" s="114">
        <v>1203076</v>
      </c>
      <c r="F5" s="115">
        <f>SUM(B5:E5)</f>
        <v>2862804</v>
      </c>
      <c r="G5" s="115"/>
      <c r="H5" s="12"/>
      <c r="I5" s="8"/>
      <c r="J5" s="9"/>
      <c r="K5" s="9"/>
      <c r="L5" s="10"/>
      <c r="P5" s="15">
        <f>B5</f>
        <v>410758</v>
      </c>
      <c r="Q5" s="16">
        <f t="shared" ref="P5:S10" si="0">C5</f>
        <v>896792</v>
      </c>
      <c r="R5" s="16">
        <f t="shared" si="0"/>
        <v>352178</v>
      </c>
      <c r="S5" s="17">
        <f t="shared" si="0"/>
        <v>1203076</v>
      </c>
      <c r="T5" s="13">
        <f>SUM(P5:S5)</f>
        <v>2862804</v>
      </c>
    </row>
    <row r="6" spans="1:64" x14ac:dyDescent="0.25">
      <c r="A6" s="12">
        <v>2008</v>
      </c>
      <c r="B6" s="112">
        <v>414932</v>
      </c>
      <c r="C6" s="113">
        <v>900775</v>
      </c>
      <c r="D6" s="113">
        <v>358798</v>
      </c>
      <c r="E6" s="114">
        <v>1225376</v>
      </c>
      <c r="F6" s="115">
        <f t="shared" ref="F6:F23" si="1">SUM(B6:E6)</f>
        <v>2899881</v>
      </c>
      <c r="G6" s="115"/>
      <c r="H6" s="12"/>
      <c r="I6" s="8"/>
      <c r="J6" s="9"/>
      <c r="K6" s="9"/>
      <c r="L6" s="10"/>
      <c r="P6" s="15">
        <f t="shared" si="0"/>
        <v>414932</v>
      </c>
      <c r="Q6" s="16">
        <f t="shared" si="0"/>
        <v>900775</v>
      </c>
      <c r="R6" s="16">
        <f t="shared" si="0"/>
        <v>358798</v>
      </c>
      <c r="S6" s="17">
        <f t="shared" si="0"/>
        <v>1225376</v>
      </c>
      <c r="T6" s="13">
        <f t="shared" ref="T6:T23" si="2">SUM(P6:S6)</f>
        <v>2899881</v>
      </c>
    </row>
    <row r="7" spans="1:64" x14ac:dyDescent="0.25">
      <c r="A7" s="12">
        <v>2009</v>
      </c>
      <c r="B7" s="112">
        <v>404701</v>
      </c>
      <c r="C7" s="113">
        <v>916271</v>
      </c>
      <c r="D7" s="113">
        <v>336968</v>
      </c>
      <c r="E7" s="114">
        <v>1230241</v>
      </c>
      <c r="F7" s="115">
        <f t="shared" si="1"/>
        <v>2888181</v>
      </c>
      <c r="G7" s="115"/>
      <c r="H7" s="12"/>
      <c r="I7" s="8"/>
      <c r="J7" s="9"/>
      <c r="K7" s="9"/>
      <c r="L7" s="10"/>
      <c r="P7" s="15">
        <f t="shared" si="0"/>
        <v>404701</v>
      </c>
      <c r="Q7" s="16">
        <f t="shared" si="0"/>
        <v>916271</v>
      </c>
      <c r="R7" s="16">
        <f t="shared" si="0"/>
        <v>336968</v>
      </c>
      <c r="S7" s="17">
        <f t="shared" si="0"/>
        <v>1230241</v>
      </c>
      <c r="T7" s="13">
        <f t="shared" si="2"/>
        <v>2888181</v>
      </c>
    </row>
    <row r="8" spans="1:64" x14ac:dyDescent="0.25">
      <c r="A8" s="12">
        <v>2010</v>
      </c>
      <c r="B8" s="112">
        <v>400992</v>
      </c>
      <c r="C8" s="113">
        <v>905314</v>
      </c>
      <c r="D8" s="113">
        <v>311336</v>
      </c>
      <c r="E8" s="114">
        <v>1220411</v>
      </c>
      <c r="F8" s="115">
        <f t="shared" si="1"/>
        <v>2838053</v>
      </c>
      <c r="G8" s="115"/>
      <c r="H8" s="12"/>
      <c r="I8" s="8"/>
      <c r="J8" s="9"/>
      <c r="K8" s="9"/>
      <c r="L8" s="10"/>
      <c r="P8" s="15">
        <f t="shared" si="0"/>
        <v>400992</v>
      </c>
      <c r="Q8" s="16">
        <f t="shared" si="0"/>
        <v>905314</v>
      </c>
      <c r="R8" s="16">
        <f t="shared" si="0"/>
        <v>311336</v>
      </c>
      <c r="S8" s="17">
        <f t="shared" si="0"/>
        <v>1220411</v>
      </c>
      <c r="T8" s="13">
        <f t="shared" si="2"/>
        <v>2838053</v>
      </c>
    </row>
    <row r="9" spans="1:64" x14ac:dyDescent="0.25">
      <c r="A9" s="12">
        <v>2011</v>
      </c>
      <c r="B9" s="112">
        <v>410716</v>
      </c>
      <c r="C9" s="113">
        <v>902621</v>
      </c>
      <c r="D9" s="113">
        <v>324351</v>
      </c>
      <c r="E9" s="114">
        <v>1205503</v>
      </c>
      <c r="F9" s="115">
        <f t="shared" si="1"/>
        <v>2843191</v>
      </c>
      <c r="G9" s="115"/>
      <c r="H9" s="12"/>
      <c r="I9" s="8"/>
      <c r="J9" s="9"/>
      <c r="K9" s="9"/>
      <c r="L9" s="10"/>
      <c r="P9" s="15">
        <f t="shared" si="0"/>
        <v>410716</v>
      </c>
      <c r="Q9" s="16">
        <f t="shared" si="0"/>
        <v>902621</v>
      </c>
      <c r="R9" s="16">
        <f t="shared" si="0"/>
        <v>324351</v>
      </c>
      <c r="S9" s="17">
        <f t="shared" si="0"/>
        <v>1205503</v>
      </c>
      <c r="T9" s="13">
        <f t="shared" si="2"/>
        <v>2843191</v>
      </c>
    </row>
    <row r="10" spans="1:64" x14ac:dyDescent="0.25">
      <c r="A10" s="12">
        <v>2012</v>
      </c>
      <c r="B10" s="112">
        <v>424455</v>
      </c>
      <c r="C10" s="113">
        <v>1112231</v>
      </c>
      <c r="D10" s="113">
        <v>184774</v>
      </c>
      <c r="E10" s="114">
        <v>1168523</v>
      </c>
      <c r="F10" s="115">
        <f t="shared" si="1"/>
        <v>2889983</v>
      </c>
      <c r="G10" s="115"/>
      <c r="H10" s="12"/>
      <c r="I10" s="8"/>
      <c r="J10" s="9"/>
      <c r="K10" s="9"/>
      <c r="L10" s="10"/>
      <c r="P10" s="15">
        <f t="shared" si="0"/>
        <v>424455</v>
      </c>
      <c r="Q10" s="16">
        <f t="shared" si="0"/>
        <v>1112231</v>
      </c>
      <c r="R10" s="16">
        <f t="shared" si="0"/>
        <v>184774</v>
      </c>
      <c r="S10" s="17">
        <f t="shared" si="0"/>
        <v>1168523</v>
      </c>
      <c r="T10" s="13">
        <f t="shared" si="2"/>
        <v>2889983</v>
      </c>
    </row>
    <row r="11" spans="1:64" x14ac:dyDescent="0.25">
      <c r="A11" s="12">
        <v>2013</v>
      </c>
      <c r="B11" s="112">
        <v>428717</v>
      </c>
      <c r="C11" s="113">
        <v>1119742</v>
      </c>
      <c r="D11" s="113">
        <v>184791</v>
      </c>
      <c r="E11" s="114">
        <v>1178633</v>
      </c>
      <c r="F11" s="115">
        <f t="shared" si="1"/>
        <v>2911883</v>
      </c>
      <c r="G11" s="115"/>
      <c r="H11" s="12">
        <v>2013</v>
      </c>
      <c r="I11" s="15">
        <f>(B11-B10)/0.65</f>
        <v>6556.9230769230771</v>
      </c>
      <c r="J11" s="16">
        <f t="shared" ref="J11" si="3">(C11-C10)/0.65</f>
        <v>11555.384615384615</v>
      </c>
      <c r="K11" s="16">
        <f t="shared" ref="K11" si="4">(D11-D10)/0.65</f>
        <v>26.153846153846153</v>
      </c>
      <c r="L11" s="17">
        <f t="shared" ref="L11" si="5">(E11-E10)/0.65</f>
        <v>15553.846153846152</v>
      </c>
      <c r="M11" s="190"/>
      <c r="N11" s="141"/>
      <c r="O11" s="142"/>
      <c r="P11" s="15">
        <f>P10+I11</f>
        <v>431011.92307692306</v>
      </c>
      <c r="Q11" s="16">
        <f t="shared" ref="Q11" si="6">Q10+J11</f>
        <v>1123786.3846153845</v>
      </c>
      <c r="R11" s="16">
        <f t="shared" ref="R11" si="7">R10+K11</f>
        <v>184800.15384615384</v>
      </c>
      <c r="S11" s="17">
        <f t="shared" ref="S11" si="8">S10+L11</f>
        <v>1184076.8461538462</v>
      </c>
      <c r="T11" s="13">
        <f t="shared" si="2"/>
        <v>2923675.3076923075</v>
      </c>
    </row>
    <row r="12" spans="1:64" x14ac:dyDescent="0.25">
      <c r="A12" s="12">
        <v>2014</v>
      </c>
      <c r="B12" s="112">
        <v>432326</v>
      </c>
      <c r="C12" s="113">
        <v>1126892</v>
      </c>
      <c r="D12" s="113">
        <v>184807</v>
      </c>
      <c r="E12" s="114">
        <v>1189248</v>
      </c>
      <c r="F12" s="115">
        <f t="shared" si="1"/>
        <v>2933273</v>
      </c>
      <c r="G12" s="115"/>
      <c r="H12" s="12">
        <v>2014</v>
      </c>
      <c r="I12" s="15">
        <f>(B12-B11)/0.65</f>
        <v>5552.3076923076924</v>
      </c>
      <c r="J12" s="16">
        <f t="shared" ref="J12:J23" si="9">(C12-C11)/0.65</f>
        <v>11000</v>
      </c>
      <c r="K12" s="16">
        <f t="shared" ref="K12:K23" si="10">(D12-D11)/0.65</f>
        <v>24.615384615384613</v>
      </c>
      <c r="L12" s="17">
        <f t="shared" ref="L12:L23" si="11">(E12-E11)/0.65</f>
        <v>16330.76923076923</v>
      </c>
      <c r="M12" s="190"/>
      <c r="N12" s="141"/>
      <c r="O12" s="142"/>
      <c r="P12" s="15">
        <f>P11+I12</f>
        <v>436564.23076923075</v>
      </c>
      <c r="Q12" s="16">
        <f t="shared" ref="Q12:Q23" si="12">Q11+J12</f>
        <v>1134786.3846153845</v>
      </c>
      <c r="R12" s="16">
        <f t="shared" ref="R12:R23" si="13">R11+K12</f>
        <v>184824.76923076922</v>
      </c>
      <c r="S12" s="17">
        <f t="shared" ref="S12:S23" si="14">S11+L12</f>
        <v>1200407.6153846155</v>
      </c>
      <c r="T12" s="13">
        <f t="shared" si="2"/>
        <v>2956583</v>
      </c>
    </row>
    <row r="13" spans="1:64" x14ac:dyDescent="0.25">
      <c r="A13" s="12">
        <v>2015</v>
      </c>
      <c r="B13" s="112">
        <v>436452</v>
      </c>
      <c r="C13" s="113">
        <v>1134299</v>
      </c>
      <c r="D13" s="113">
        <v>184906</v>
      </c>
      <c r="E13" s="114">
        <v>1199433</v>
      </c>
      <c r="F13" s="115">
        <f t="shared" si="1"/>
        <v>2955090</v>
      </c>
      <c r="G13" s="115"/>
      <c r="H13" s="12">
        <v>2015</v>
      </c>
      <c r="I13" s="15">
        <f t="shared" ref="I13:I23" si="15">(B13-B12)/0.65</f>
        <v>6347.6923076923076</v>
      </c>
      <c r="J13" s="16">
        <f t="shared" si="9"/>
        <v>11395.384615384615</v>
      </c>
      <c r="K13" s="16">
        <f t="shared" si="10"/>
        <v>152.30769230769229</v>
      </c>
      <c r="L13" s="17">
        <f t="shared" si="11"/>
        <v>15669.23076923077</v>
      </c>
      <c r="M13" s="190"/>
      <c r="N13" s="141"/>
      <c r="O13" s="142"/>
      <c r="P13" s="15">
        <f t="shared" ref="P13:P22" si="16">P12+I13</f>
        <v>442911.92307692306</v>
      </c>
      <c r="Q13" s="16">
        <f t="shared" si="12"/>
        <v>1146181.769230769</v>
      </c>
      <c r="R13" s="16">
        <f t="shared" si="13"/>
        <v>184977.07692307691</v>
      </c>
      <c r="S13" s="17">
        <f t="shared" si="14"/>
        <v>1216076.8461538462</v>
      </c>
      <c r="T13" s="13">
        <f t="shared" si="2"/>
        <v>2990147.615384615</v>
      </c>
    </row>
    <row r="14" spans="1:64" x14ac:dyDescent="0.25">
      <c r="A14" s="12">
        <v>2016</v>
      </c>
      <c r="B14" s="112">
        <v>440674</v>
      </c>
      <c r="C14" s="113">
        <v>1142224</v>
      </c>
      <c r="D14" s="113">
        <v>185008</v>
      </c>
      <c r="E14" s="114">
        <v>1210117</v>
      </c>
      <c r="F14" s="115">
        <f t="shared" si="1"/>
        <v>2978023</v>
      </c>
      <c r="G14" s="115"/>
      <c r="H14" s="12">
        <v>2016</v>
      </c>
      <c r="I14" s="15">
        <f t="shared" si="15"/>
        <v>6495.3846153846152</v>
      </c>
      <c r="J14" s="16">
        <f t="shared" si="9"/>
        <v>12192.307692307691</v>
      </c>
      <c r="K14" s="16">
        <f t="shared" si="10"/>
        <v>156.92307692307691</v>
      </c>
      <c r="L14" s="17">
        <f t="shared" si="11"/>
        <v>16436.923076923078</v>
      </c>
      <c r="M14" s="190"/>
      <c r="N14" s="141"/>
      <c r="O14" s="142"/>
      <c r="P14" s="15">
        <f t="shared" si="16"/>
        <v>449407.30769230769</v>
      </c>
      <c r="Q14" s="16">
        <f t="shared" si="12"/>
        <v>1158374.0769230768</v>
      </c>
      <c r="R14" s="16">
        <f t="shared" si="13"/>
        <v>185133.99999999997</v>
      </c>
      <c r="S14" s="17">
        <f t="shared" si="14"/>
        <v>1232513.7692307692</v>
      </c>
      <c r="T14" s="13">
        <f t="shared" si="2"/>
        <v>3025429.153846154</v>
      </c>
      <c r="BL14" s="13"/>
    </row>
    <row r="15" spans="1:64" x14ac:dyDescent="0.25">
      <c r="A15" s="12">
        <v>2017</v>
      </c>
      <c r="B15" s="112">
        <v>444881</v>
      </c>
      <c r="C15" s="113">
        <v>1150310</v>
      </c>
      <c r="D15" s="113">
        <v>185052</v>
      </c>
      <c r="E15" s="114">
        <v>1221059</v>
      </c>
      <c r="F15" s="115">
        <f t="shared" si="1"/>
        <v>3001302</v>
      </c>
      <c r="G15" s="115"/>
      <c r="H15" s="12">
        <v>2017</v>
      </c>
      <c r="I15" s="15">
        <f t="shared" si="15"/>
        <v>6472.3076923076924</v>
      </c>
      <c r="J15" s="16">
        <f t="shared" si="9"/>
        <v>12440</v>
      </c>
      <c r="K15" s="16">
        <f t="shared" si="10"/>
        <v>67.692307692307693</v>
      </c>
      <c r="L15" s="17">
        <f t="shared" si="11"/>
        <v>16833.846153846152</v>
      </c>
      <c r="M15" s="190"/>
      <c r="N15" s="141"/>
      <c r="O15" s="142"/>
      <c r="P15" s="15">
        <f t="shared" si="16"/>
        <v>455879.61538461538</v>
      </c>
      <c r="Q15" s="16">
        <f t="shared" si="12"/>
        <v>1170814.0769230768</v>
      </c>
      <c r="R15" s="16">
        <f t="shared" si="13"/>
        <v>185201.69230769228</v>
      </c>
      <c r="S15" s="17">
        <f t="shared" si="14"/>
        <v>1249347.6153846155</v>
      </c>
      <c r="T15" s="13">
        <f t="shared" si="2"/>
        <v>3061243</v>
      </c>
      <c r="BL15" s="13"/>
    </row>
    <row r="16" spans="1:64" x14ac:dyDescent="0.25">
      <c r="A16" s="12">
        <v>2018</v>
      </c>
      <c r="B16" s="112">
        <v>448893</v>
      </c>
      <c r="C16" s="113">
        <v>1157861</v>
      </c>
      <c r="D16" s="113">
        <v>185094</v>
      </c>
      <c r="E16" s="114">
        <v>1232348</v>
      </c>
      <c r="F16" s="115">
        <f t="shared" si="1"/>
        <v>3024196</v>
      </c>
      <c r="G16" s="115"/>
      <c r="H16" s="12">
        <v>2018</v>
      </c>
      <c r="I16" s="15">
        <f t="shared" si="15"/>
        <v>6172.3076923076924</v>
      </c>
      <c r="J16" s="16">
        <f t="shared" si="9"/>
        <v>11616.923076923076</v>
      </c>
      <c r="K16" s="16">
        <f t="shared" si="10"/>
        <v>64.615384615384613</v>
      </c>
      <c r="L16" s="17">
        <f t="shared" si="11"/>
        <v>17367.692307692309</v>
      </c>
      <c r="M16" s="190"/>
      <c r="N16" s="141"/>
      <c r="O16" s="142"/>
      <c r="P16" s="15">
        <f t="shared" si="16"/>
        <v>462051.92307692306</v>
      </c>
      <c r="Q16" s="16">
        <f t="shared" si="12"/>
        <v>1182430.9999999998</v>
      </c>
      <c r="R16" s="16">
        <f t="shared" si="13"/>
        <v>185266.30769230766</v>
      </c>
      <c r="S16" s="17">
        <f t="shared" si="14"/>
        <v>1266715.3076923077</v>
      </c>
      <c r="T16" s="13">
        <f t="shared" si="2"/>
        <v>3096464.538461538</v>
      </c>
      <c r="BL16" s="13"/>
    </row>
    <row r="17" spans="1:64" x14ac:dyDescent="0.25">
      <c r="A17" s="12">
        <v>2019</v>
      </c>
      <c r="B17" s="112">
        <v>452855</v>
      </c>
      <c r="C17" s="113">
        <v>1165411</v>
      </c>
      <c r="D17" s="113">
        <v>185135</v>
      </c>
      <c r="E17" s="114">
        <v>1243700</v>
      </c>
      <c r="F17" s="115">
        <f t="shared" si="1"/>
        <v>3047101</v>
      </c>
      <c r="G17" s="115"/>
      <c r="H17" s="12">
        <v>2019</v>
      </c>
      <c r="I17" s="15">
        <f t="shared" si="15"/>
        <v>6095.3846153846152</v>
      </c>
      <c r="J17" s="16">
        <f t="shared" si="9"/>
        <v>11615.384615384615</v>
      </c>
      <c r="K17" s="16">
        <f t="shared" si="10"/>
        <v>63.076923076923073</v>
      </c>
      <c r="L17" s="17">
        <f t="shared" si="11"/>
        <v>17464.615384615383</v>
      </c>
      <c r="M17" s="190"/>
      <c r="N17" s="141"/>
      <c r="O17" s="142"/>
      <c r="P17" s="15">
        <f t="shared" si="16"/>
        <v>468147.30769230769</v>
      </c>
      <c r="Q17" s="16">
        <f t="shared" si="12"/>
        <v>1194046.3846153843</v>
      </c>
      <c r="R17" s="16">
        <f t="shared" si="13"/>
        <v>185329.3846153846</v>
      </c>
      <c r="S17" s="17">
        <f t="shared" si="14"/>
        <v>1284179.9230769232</v>
      </c>
      <c r="T17" s="13">
        <f t="shared" si="2"/>
        <v>3131703</v>
      </c>
      <c r="BL17" s="13"/>
    </row>
    <row r="18" spans="1:64" x14ac:dyDescent="0.25">
      <c r="A18" s="12">
        <v>2020</v>
      </c>
      <c r="B18" s="112">
        <v>456806</v>
      </c>
      <c r="C18" s="113">
        <v>1172925</v>
      </c>
      <c r="D18" s="113">
        <v>185175</v>
      </c>
      <c r="E18" s="114">
        <v>1255174</v>
      </c>
      <c r="F18" s="115">
        <f t="shared" si="1"/>
        <v>3070080</v>
      </c>
      <c r="G18" s="115"/>
      <c r="H18" s="12">
        <v>2020</v>
      </c>
      <c r="I18" s="15">
        <f t="shared" si="15"/>
        <v>6078.4615384615381</v>
      </c>
      <c r="J18" s="16">
        <f t="shared" si="9"/>
        <v>11560</v>
      </c>
      <c r="K18" s="16">
        <f t="shared" si="10"/>
        <v>61.538461538461533</v>
      </c>
      <c r="L18" s="17">
        <f t="shared" si="11"/>
        <v>17652.307692307691</v>
      </c>
      <c r="M18" s="190"/>
      <c r="N18" s="141"/>
      <c r="O18" s="142"/>
      <c r="P18" s="15">
        <f t="shared" si="16"/>
        <v>474225.76923076925</v>
      </c>
      <c r="Q18" s="16">
        <f t="shared" si="12"/>
        <v>1205606.3846153843</v>
      </c>
      <c r="R18" s="16">
        <f t="shared" si="13"/>
        <v>185390.92307692306</v>
      </c>
      <c r="S18" s="17">
        <f t="shared" si="14"/>
        <v>1301832.230769231</v>
      </c>
      <c r="T18" s="13">
        <f t="shared" si="2"/>
        <v>3167055.3076923075</v>
      </c>
      <c r="BL18" s="13"/>
    </row>
    <row r="19" spans="1:64" x14ac:dyDescent="0.25">
      <c r="A19" s="12">
        <v>2021</v>
      </c>
      <c r="B19" s="112">
        <v>460711</v>
      </c>
      <c r="C19" s="113">
        <v>1180485</v>
      </c>
      <c r="D19" s="113">
        <v>185229</v>
      </c>
      <c r="E19" s="114">
        <v>1266791</v>
      </c>
      <c r="F19" s="115">
        <f t="shared" si="1"/>
        <v>3093216</v>
      </c>
      <c r="G19" s="115"/>
      <c r="H19" s="12">
        <v>2021</v>
      </c>
      <c r="I19" s="15">
        <f t="shared" si="15"/>
        <v>6007.6923076923076</v>
      </c>
      <c r="J19" s="16">
        <f t="shared" si="9"/>
        <v>11630.76923076923</v>
      </c>
      <c r="K19" s="16">
        <f t="shared" si="10"/>
        <v>83.07692307692308</v>
      </c>
      <c r="L19" s="17">
        <f t="shared" si="11"/>
        <v>17872.307692307691</v>
      </c>
      <c r="M19" s="190"/>
      <c r="N19" s="141"/>
      <c r="O19" s="142"/>
      <c r="P19" s="15">
        <f t="shared" si="16"/>
        <v>480233.46153846156</v>
      </c>
      <c r="Q19" s="16">
        <f t="shared" si="12"/>
        <v>1217237.1538461535</v>
      </c>
      <c r="R19" s="16">
        <f t="shared" si="13"/>
        <v>185474</v>
      </c>
      <c r="S19" s="17">
        <f t="shared" si="14"/>
        <v>1319704.5384615387</v>
      </c>
      <c r="T19" s="13">
        <f t="shared" si="2"/>
        <v>3202649.153846154</v>
      </c>
      <c r="BL19" s="13"/>
    </row>
    <row r="20" spans="1:64" x14ac:dyDescent="0.25">
      <c r="A20" s="12">
        <v>2022</v>
      </c>
      <c r="B20" s="112">
        <v>464600</v>
      </c>
      <c r="C20" s="113">
        <v>1188071</v>
      </c>
      <c r="D20" s="113">
        <v>185282</v>
      </c>
      <c r="E20" s="114">
        <v>1278559</v>
      </c>
      <c r="F20" s="115">
        <f t="shared" si="1"/>
        <v>3116512</v>
      </c>
      <c r="G20" s="115"/>
      <c r="H20" s="12">
        <v>2022</v>
      </c>
      <c r="I20" s="15">
        <f t="shared" si="15"/>
        <v>5983.0769230769229</v>
      </c>
      <c r="J20" s="16">
        <f t="shared" si="9"/>
        <v>11670.76923076923</v>
      </c>
      <c r="K20" s="16">
        <f t="shared" si="10"/>
        <v>81.538461538461533</v>
      </c>
      <c r="L20" s="17">
        <f t="shared" si="11"/>
        <v>18104.615384615383</v>
      </c>
      <c r="M20" s="190"/>
      <c r="N20" s="141"/>
      <c r="O20" s="142"/>
      <c r="P20" s="15">
        <f t="shared" si="16"/>
        <v>486216.5384615385</v>
      </c>
      <c r="Q20" s="16">
        <f t="shared" si="12"/>
        <v>1228907.9230769228</v>
      </c>
      <c r="R20" s="16">
        <f t="shared" si="13"/>
        <v>185555.53846153847</v>
      </c>
      <c r="S20" s="17">
        <f t="shared" si="14"/>
        <v>1337809.1538461542</v>
      </c>
      <c r="T20" s="13">
        <f t="shared" si="2"/>
        <v>3238489.153846154</v>
      </c>
    </row>
    <row r="21" spans="1:64" x14ac:dyDescent="0.25">
      <c r="A21" s="12">
        <v>2023</v>
      </c>
      <c r="B21" s="112">
        <v>468490</v>
      </c>
      <c r="C21" s="113">
        <v>1195658</v>
      </c>
      <c r="D21" s="113">
        <v>185335</v>
      </c>
      <c r="E21" s="114">
        <v>1290326</v>
      </c>
      <c r="F21" s="115">
        <f t="shared" si="1"/>
        <v>3139809</v>
      </c>
      <c r="G21" s="115"/>
      <c r="H21" s="12">
        <v>2023</v>
      </c>
      <c r="I21" s="15">
        <f t="shared" si="15"/>
        <v>5984.6153846153848</v>
      </c>
      <c r="J21" s="16">
        <f t="shared" si="9"/>
        <v>11672.307692307691</v>
      </c>
      <c r="K21" s="16">
        <f t="shared" si="10"/>
        <v>81.538461538461533</v>
      </c>
      <c r="L21" s="17">
        <f t="shared" si="11"/>
        <v>18103.076923076922</v>
      </c>
      <c r="M21" s="190"/>
      <c r="N21" s="141"/>
      <c r="O21" s="142"/>
      <c r="P21" s="15">
        <f t="shared" si="16"/>
        <v>492201.15384615387</v>
      </c>
      <c r="Q21" s="16">
        <f t="shared" si="12"/>
        <v>1240580.2307692305</v>
      </c>
      <c r="R21" s="16">
        <f t="shared" si="13"/>
        <v>185637.07692307694</v>
      </c>
      <c r="S21" s="17">
        <f t="shared" si="14"/>
        <v>1355912.2307692312</v>
      </c>
      <c r="T21" s="13">
        <f t="shared" si="2"/>
        <v>3274330.692307693</v>
      </c>
    </row>
    <row r="22" spans="1:64" x14ac:dyDescent="0.25">
      <c r="A22" s="12">
        <v>2024</v>
      </c>
      <c r="B22" s="112">
        <v>472380</v>
      </c>
      <c r="C22" s="113">
        <v>1203244</v>
      </c>
      <c r="D22" s="113">
        <v>185388</v>
      </c>
      <c r="E22" s="114">
        <v>1302094</v>
      </c>
      <c r="F22" s="115">
        <f t="shared" si="1"/>
        <v>3163106</v>
      </c>
      <c r="G22" s="115"/>
      <c r="H22" s="12">
        <v>2024</v>
      </c>
      <c r="I22" s="15">
        <f t="shared" si="15"/>
        <v>5984.6153846153848</v>
      </c>
      <c r="J22" s="16">
        <f t="shared" si="9"/>
        <v>11670.76923076923</v>
      </c>
      <c r="K22" s="16">
        <f t="shared" si="10"/>
        <v>81.538461538461533</v>
      </c>
      <c r="L22" s="17">
        <f t="shared" si="11"/>
        <v>18104.615384615383</v>
      </c>
      <c r="M22" s="190"/>
      <c r="N22" s="141"/>
      <c r="O22" s="142"/>
      <c r="P22" s="15">
        <f t="shared" si="16"/>
        <v>498185.76923076925</v>
      </c>
      <c r="Q22" s="16">
        <f t="shared" si="12"/>
        <v>1252250.9999999998</v>
      </c>
      <c r="R22" s="16">
        <f t="shared" si="13"/>
        <v>185718.6153846154</v>
      </c>
      <c r="S22" s="17">
        <f t="shared" si="14"/>
        <v>1374016.8461538467</v>
      </c>
      <c r="T22" s="13">
        <f t="shared" si="2"/>
        <v>3310172.230769231</v>
      </c>
      <c r="U22" s="141"/>
      <c r="V22" s="141"/>
      <c r="W22" s="141"/>
    </row>
    <row r="23" spans="1:64" ht="15.75" thickBot="1" x14ac:dyDescent="0.3">
      <c r="A23" s="12">
        <v>2025</v>
      </c>
      <c r="B23" s="116">
        <v>476270</v>
      </c>
      <c r="C23" s="117">
        <v>1210830</v>
      </c>
      <c r="D23" s="117">
        <v>185442</v>
      </c>
      <c r="E23" s="118">
        <v>1313862</v>
      </c>
      <c r="F23" s="115">
        <f t="shared" si="1"/>
        <v>3186404</v>
      </c>
      <c r="G23" s="115"/>
      <c r="H23" s="12">
        <v>2025</v>
      </c>
      <c r="I23" s="18">
        <f t="shared" si="15"/>
        <v>5984.6153846153848</v>
      </c>
      <c r="J23" s="19">
        <f t="shared" si="9"/>
        <v>11670.76923076923</v>
      </c>
      <c r="K23" s="19">
        <f t="shared" si="10"/>
        <v>83.07692307692308</v>
      </c>
      <c r="L23" s="20">
        <f t="shared" si="11"/>
        <v>18104.615384615383</v>
      </c>
      <c r="M23" s="190"/>
      <c r="N23" s="141"/>
      <c r="O23" s="142"/>
      <c r="P23" s="18">
        <f>P22+I23</f>
        <v>504170.38461538462</v>
      </c>
      <c r="Q23" s="19">
        <f t="shared" si="12"/>
        <v>1263921.769230769</v>
      </c>
      <c r="R23" s="19">
        <f t="shared" si="13"/>
        <v>185801.69230769234</v>
      </c>
      <c r="S23" s="20">
        <f t="shared" si="14"/>
        <v>1392121.4615384622</v>
      </c>
      <c r="T23" s="13">
        <f t="shared" si="2"/>
        <v>3346015.307692308</v>
      </c>
      <c r="U23" s="13"/>
      <c r="V23" s="13"/>
      <c r="W23" s="13"/>
    </row>
    <row r="24" spans="1:64" x14ac:dyDescent="0.25">
      <c r="AJ24" s="4"/>
      <c r="AK24" s="4"/>
      <c r="AL24" s="4"/>
      <c r="AM24" s="4"/>
      <c r="AO24" s="4"/>
      <c r="AX24" s="13"/>
      <c r="AY24" s="13"/>
      <c r="AZ24" s="13"/>
    </row>
    <row r="25" spans="1:64" x14ac:dyDescent="0.25">
      <c r="AJ25" s="4"/>
      <c r="AK25" s="4"/>
      <c r="AL25" s="4"/>
      <c r="AM25" s="4"/>
      <c r="AO25" s="4"/>
      <c r="AX25" s="13"/>
      <c r="AY25" s="13"/>
      <c r="AZ25" s="13"/>
    </row>
    <row r="26" spans="1:64" s="125" customFormat="1" ht="18.75" x14ac:dyDescent="0.3">
      <c r="A26" s="124" t="s">
        <v>63</v>
      </c>
      <c r="AJ26" s="126"/>
      <c r="AK26" s="126"/>
      <c r="AL26" s="126"/>
      <c r="AM26" s="126"/>
      <c r="AO26" s="126"/>
      <c r="AX26" s="127"/>
      <c r="AY26" s="127"/>
      <c r="AZ26" s="127"/>
      <c r="BK26"/>
    </row>
    <row r="27" spans="1:64" ht="15.75" thickBot="1" x14ac:dyDescent="0.3">
      <c r="I27" s="197" t="s">
        <v>38</v>
      </c>
      <c r="J27" s="197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AJ27" s="14" t="s">
        <v>44</v>
      </c>
      <c r="AK27" s="51"/>
      <c r="AL27" s="4"/>
      <c r="AM27" s="4"/>
      <c r="AO27" s="4"/>
      <c r="AP27" s="4"/>
      <c r="AQ27" s="4"/>
      <c r="AS27" s="4"/>
      <c r="BA27" s="13"/>
      <c r="BB27" s="13"/>
      <c r="BC27" s="13"/>
      <c r="BD27" s="13"/>
    </row>
    <row r="28" spans="1:64" x14ac:dyDescent="0.25">
      <c r="I28" s="268" t="s">
        <v>13</v>
      </c>
      <c r="J28" s="269"/>
      <c r="K28" s="270"/>
      <c r="L28" s="271" t="s">
        <v>5</v>
      </c>
      <c r="M28" s="269"/>
      <c r="N28" s="270"/>
      <c r="O28" s="271" t="s">
        <v>6</v>
      </c>
      <c r="P28" s="269"/>
      <c r="Q28" s="270"/>
      <c r="R28" s="271" t="s">
        <v>7</v>
      </c>
      <c r="S28" s="269"/>
      <c r="T28" s="272"/>
      <c r="V28" s="11" t="s">
        <v>101</v>
      </c>
      <c r="W28" s="7"/>
      <c r="AI28" s="11" t="s">
        <v>58</v>
      </c>
      <c r="AJ28" s="6" t="s">
        <v>13</v>
      </c>
      <c r="AK28" s="237" t="s">
        <v>5</v>
      </c>
      <c r="AL28" s="237" t="s">
        <v>6</v>
      </c>
      <c r="AM28" s="237" t="s">
        <v>7</v>
      </c>
      <c r="AN28" s="7"/>
      <c r="AO28" s="4"/>
      <c r="AP28" s="4"/>
      <c r="AQ28" s="4"/>
      <c r="AS28" s="4"/>
      <c r="BA28" s="13"/>
      <c r="BB28" s="13"/>
      <c r="BC28" s="13"/>
      <c r="BD28" s="13"/>
    </row>
    <row r="29" spans="1:64" x14ac:dyDescent="0.25">
      <c r="I29" s="84" t="s">
        <v>11</v>
      </c>
      <c r="J29" s="85" t="s">
        <v>12</v>
      </c>
      <c r="K29" s="85" t="s">
        <v>3</v>
      </c>
      <c r="L29" s="85" t="s">
        <v>11</v>
      </c>
      <c r="M29" s="85" t="s">
        <v>12</v>
      </c>
      <c r="N29" s="85" t="s">
        <v>3</v>
      </c>
      <c r="O29" s="85" t="s">
        <v>11</v>
      </c>
      <c r="P29" s="85" t="s">
        <v>12</v>
      </c>
      <c r="Q29" s="85" t="s">
        <v>3</v>
      </c>
      <c r="R29" s="85" t="s">
        <v>11</v>
      </c>
      <c r="S29" s="85" t="s">
        <v>12</v>
      </c>
      <c r="T29" s="86" t="s">
        <v>3</v>
      </c>
      <c r="V29" s="128" t="s">
        <v>11</v>
      </c>
      <c r="W29" s="129">
        <f>(I31*B41*K34+L31*C41*N34+O31*D41*Q34+R31*E41*T34)/(I31*B41+L31*C41+O31*D41+R31*E41)</f>
        <v>0.16</v>
      </c>
      <c r="AI29" s="8">
        <v>2000</v>
      </c>
      <c r="AJ29" s="9">
        <v>1024</v>
      </c>
      <c r="AK29" s="238">
        <v>2353</v>
      </c>
      <c r="AL29" s="238">
        <v>1661</v>
      </c>
      <c r="AM29" s="238">
        <v>2723</v>
      </c>
      <c r="AN29" s="10">
        <v>7761</v>
      </c>
      <c r="AO29" s="177"/>
      <c r="AP29" s="177"/>
      <c r="AQ29" s="177"/>
      <c r="AS29" s="4"/>
      <c r="BA29" s="13"/>
      <c r="BB29" s="13"/>
      <c r="BC29" s="13"/>
      <c r="BD29" s="13"/>
    </row>
    <row r="30" spans="1:64" ht="15.75" thickBot="1" x14ac:dyDescent="0.3">
      <c r="I30" s="273" t="s">
        <v>25</v>
      </c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5"/>
      <c r="V30" s="106" t="s">
        <v>12</v>
      </c>
      <c r="W30" s="130">
        <f>1-W29</f>
        <v>0.84</v>
      </c>
      <c r="AI30" s="8">
        <v>2001</v>
      </c>
      <c r="AJ30" s="9">
        <v>992</v>
      </c>
      <c r="AK30" s="238">
        <v>2278</v>
      </c>
      <c r="AL30" s="238">
        <v>1562</v>
      </c>
      <c r="AM30" s="238">
        <v>2638</v>
      </c>
      <c r="AN30" s="10">
        <v>7470</v>
      </c>
      <c r="AO30" s="177"/>
      <c r="AP30" s="177"/>
      <c r="AQ30" s="177"/>
      <c r="AS30" s="4"/>
      <c r="BA30" s="13"/>
      <c r="BB30" s="13"/>
      <c r="BC30" s="13"/>
      <c r="BD30" s="13"/>
    </row>
    <row r="31" spans="1:64" x14ac:dyDescent="0.25">
      <c r="I31" s="90">
        <f>'Savings Model'!D20</f>
        <v>0.12078412761619113</v>
      </c>
      <c r="J31" s="91">
        <f>'Savings Model'!E20</f>
        <v>0.12789973841330898</v>
      </c>
      <c r="K31" s="91">
        <f>I31*K34+J31*(1-K34)</f>
        <v>0.1267612406857701</v>
      </c>
      <c r="L31" s="91">
        <f>'Savings Model'!D19</f>
        <v>0.42192242062537527</v>
      </c>
      <c r="M31" s="91">
        <f>'Savings Model'!E19</f>
        <v>0.1571376898360986</v>
      </c>
      <c r="N31" s="91">
        <f>L31*N34+M31*(1-N34)</f>
        <v>0.19950324676238287</v>
      </c>
      <c r="O31" s="91">
        <f>'Savings Model'!D21</f>
        <v>0.4</v>
      </c>
      <c r="P31" s="91">
        <f>'Savings Model'!E21</f>
        <v>0.4</v>
      </c>
      <c r="Q31" s="91">
        <f>O31*Q34+P31*(1-Q34)</f>
        <v>0.4</v>
      </c>
      <c r="R31" s="91">
        <f>'Savings Model'!D22</f>
        <v>0.34</v>
      </c>
      <c r="S31" s="91">
        <f>'Savings Model'!E22</f>
        <v>0.34</v>
      </c>
      <c r="T31" s="91">
        <f>R31*T34+S31*(1-T34)</f>
        <v>0.34</v>
      </c>
      <c r="AI31" s="8">
        <v>2002</v>
      </c>
      <c r="AJ31" s="9">
        <v>1028</v>
      </c>
      <c r="AK31" s="9">
        <v>2372</v>
      </c>
      <c r="AL31" s="238">
        <v>1597</v>
      </c>
      <c r="AM31" s="238">
        <v>2799</v>
      </c>
      <c r="AN31" s="10">
        <v>7796</v>
      </c>
      <c r="AO31" s="177"/>
      <c r="AP31" s="177"/>
      <c r="AQ31" s="177"/>
      <c r="AS31" s="4"/>
      <c r="BA31" s="13"/>
      <c r="BB31" s="13"/>
      <c r="BC31" s="13"/>
      <c r="BD31" s="13"/>
    </row>
    <row r="32" spans="1:64" x14ac:dyDescent="0.25">
      <c r="I32" s="273" t="s">
        <v>26</v>
      </c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5"/>
      <c r="AI32" s="8">
        <v>2003</v>
      </c>
      <c r="AJ32" s="238">
        <v>1092</v>
      </c>
      <c r="AK32" s="9">
        <v>2522</v>
      </c>
      <c r="AL32" s="238">
        <v>1597</v>
      </c>
      <c r="AM32" s="238">
        <v>3068</v>
      </c>
      <c r="AN32" s="10">
        <v>8279</v>
      </c>
      <c r="AO32" s="177"/>
      <c r="AP32" s="177"/>
      <c r="AQ32" s="177"/>
      <c r="AS32" s="4"/>
      <c r="AW32" s="14" t="s">
        <v>68</v>
      </c>
      <c r="BA32" s="13"/>
      <c r="BB32" s="13"/>
      <c r="BC32" s="13"/>
      <c r="BD32" s="13"/>
      <c r="BF32" s="14" t="s">
        <v>68</v>
      </c>
    </row>
    <row r="33" spans="1:89" ht="15.75" thickBot="1" x14ac:dyDescent="0.3">
      <c r="B33" s="14" t="s">
        <v>55</v>
      </c>
      <c r="I33" s="92">
        <f>'Savings Model'!G20</f>
        <v>0.23322825995930752</v>
      </c>
      <c r="J33" s="93">
        <f>'Savings Model'!H20</f>
        <v>0.30203167270762976</v>
      </c>
      <c r="K33" s="93">
        <f>I33*K34+J33*(1-K34)</f>
        <v>0.2910231266678982</v>
      </c>
      <c r="L33" s="93">
        <f>'Savings Model'!G19</f>
        <v>0.5785161458881356</v>
      </c>
      <c r="M33" s="93">
        <f>'Savings Model'!H19</f>
        <v>0.27586360995898668</v>
      </c>
      <c r="N33" s="93">
        <f>L33*N34+M33*(1-N34)</f>
        <v>0.32428801570765048</v>
      </c>
      <c r="O33" s="93">
        <f>'Savings Model'!G21</f>
        <v>0.4</v>
      </c>
      <c r="P33" s="93">
        <f>'Savings Model'!H21</f>
        <v>0.4</v>
      </c>
      <c r="Q33" s="93">
        <f>O33*Q34+P33*(1-Q34)</f>
        <v>0.4</v>
      </c>
      <c r="R33" s="93">
        <f>'Savings Model'!G22</f>
        <v>0.34</v>
      </c>
      <c r="S33" s="93">
        <f>'Savings Model'!H22</f>
        <v>0.34</v>
      </c>
      <c r="T33" s="93">
        <f>R33*T34+S33*(1-T34)</f>
        <v>0.34</v>
      </c>
      <c r="AI33" s="8">
        <v>2004</v>
      </c>
      <c r="AJ33" s="238">
        <v>1032</v>
      </c>
      <c r="AK33" s="9">
        <v>2404</v>
      </c>
      <c r="AL33" s="238">
        <v>1579</v>
      </c>
      <c r="AM33" s="238">
        <v>2928</v>
      </c>
      <c r="AN33" s="10">
        <v>7943</v>
      </c>
      <c r="AO33" s="177"/>
      <c r="AP33" s="177"/>
      <c r="AQ33" s="177"/>
    </row>
    <row r="34" spans="1:89" ht="28.5" customHeight="1" x14ac:dyDescent="0.25">
      <c r="B34" s="108" t="s">
        <v>61</v>
      </c>
      <c r="C34" s="6"/>
      <c r="D34" s="6"/>
      <c r="E34" s="7"/>
      <c r="I34" s="12" t="s">
        <v>102</v>
      </c>
      <c r="J34" s="12"/>
      <c r="K34" s="244">
        <v>0.16</v>
      </c>
      <c r="L34" s="12"/>
      <c r="M34" s="12"/>
      <c r="N34" s="244">
        <v>0.16</v>
      </c>
      <c r="O34" s="236"/>
      <c r="P34" s="236"/>
      <c r="Q34" s="244">
        <v>0.16</v>
      </c>
      <c r="R34" s="12"/>
      <c r="S34" s="12"/>
      <c r="T34" s="244">
        <v>0.16</v>
      </c>
      <c r="U34" t="s">
        <v>109</v>
      </c>
      <c r="V34" t="s">
        <v>110</v>
      </c>
      <c r="AI34" s="8">
        <v>2005</v>
      </c>
      <c r="AJ34" s="238">
        <v>1034</v>
      </c>
      <c r="AK34" s="9">
        <v>2465</v>
      </c>
      <c r="AL34" s="238">
        <v>1581</v>
      </c>
      <c r="AM34" s="238">
        <v>3043</v>
      </c>
      <c r="AN34" s="10">
        <v>8123</v>
      </c>
      <c r="AO34" s="177"/>
      <c r="AP34" s="177"/>
      <c r="AQ34" s="177"/>
      <c r="AR34" s="149" t="s">
        <v>53</v>
      </c>
      <c r="AS34" s="150"/>
      <c r="AT34" s="150"/>
      <c r="AU34" s="151"/>
      <c r="AV34" s="171"/>
      <c r="AW34" s="179" t="s">
        <v>76</v>
      </c>
      <c r="AX34" s="289" t="s">
        <v>106</v>
      </c>
      <c r="AY34" s="291" t="s">
        <v>57</v>
      </c>
      <c r="AZ34" s="163" t="s">
        <v>104</v>
      </c>
      <c r="BA34" s="3"/>
      <c r="BB34" s="152" t="s">
        <v>54</v>
      </c>
      <c r="BC34" s="153"/>
      <c r="BD34" s="153"/>
      <c r="BE34" s="154"/>
      <c r="BF34" s="154"/>
      <c r="BG34" s="195" t="s">
        <v>74</v>
      </c>
      <c r="BH34" s="293" t="s">
        <v>106</v>
      </c>
      <c r="BI34" s="295" t="s">
        <v>57</v>
      </c>
      <c r="BJ34" s="164" t="s">
        <v>105</v>
      </c>
    </row>
    <row r="35" spans="1:89" ht="15.75" thickBot="1" x14ac:dyDescent="0.3">
      <c r="B35" s="8" t="s">
        <v>13</v>
      </c>
      <c r="C35" s="9" t="s">
        <v>5</v>
      </c>
      <c r="D35" s="9" t="s">
        <v>6</v>
      </c>
      <c r="E35" s="10" t="s">
        <v>7</v>
      </c>
      <c r="F35" s="1" t="s">
        <v>3</v>
      </c>
      <c r="G35" s="1"/>
      <c r="H35" s="89" t="s">
        <v>108</v>
      </c>
      <c r="I35" s="1" t="s">
        <v>25</v>
      </c>
      <c r="K35" s="4">
        <f>K31*I54</f>
        <v>0.1267612406857701</v>
      </c>
      <c r="N35" s="4">
        <f>N31*L54</f>
        <v>0.19950324676238287</v>
      </c>
      <c r="O35" s="191"/>
      <c r="P35" s="182"/>
      <c r="Q35" s="4">
        <f>Q31*O54</f>
        <v>0.15000000000000002</v>
      </c>
      <c r="T35" s="190">
        <f>T31*R54</f>
        <v>5.2500000000000005E-2</v>
      </c>
      <c r="U35" s="4">
        <f>(K35*B54+N35*C54+Q35*D54+T35*E54)/F54</f>
        <v>0.12611478950744151</v>
      </c>
      <c r="V35" s="13">
        <f>U35*$T$23</f>
        <v>421982.01621829259</v>
      </c>
      <c r="AI35" s="8">
        <v>2006</v>
      </c>
      <c r="AJ35" s="238">
        <v>988</v>
      </c>
      <c r="AK35" s="9">
        <v>2318</v>
      </c>
      <c r="AL35" s="238">
        <v>1509</v>
      </c>
      <c r="AM35" s="238">
        <v>2813</v>
      </c>
      <c r="AN35" s="10">
        <v>7628</v>
      </c>
      <c r="AO35" s="177"/>
      <c r="AP35" s="177"/>
      <c r="AQ35" s="177"/>
      <c r="AR35" s="168" t="s">
        <v>13</v>
      </c>
      <c r="AS35" s="169" t="s">
        <v>5</v>
      </c>
      <c r="AT35" s="169" t="s">
        <v>6</v>
      </c>
      <c r="AU35" s="170" t="s">
        <v>7</v>
      </c>
      <c r="AV35" s="172" t="s">
        <v>3</v>
      </c>
      <c r="AW35" s="168" t="s">
        <v>75</v>
      </c>
      <c r="AX35" s="290"/>
      <c r="AY35" s="292"/>
      <c r="AZ35" s="155">
        <f>SUM(AZ44:AZ54)</f>
        <v>752.60173381001812</v>
      </c>
      <c r="BA35" s="3"/>
      <c r="BB35" s="165" t="s">
        <v>13</v>
      </c>
      <c r="BC35" s="166" t="s">
        <v>5</v>
      </c>
      <c r="BD35" s="166" t="s">
        <v>6</v>
      </c>
      <c r="BE35" s="167" t="s">
        <v>7</v>
      </c>
      <c r="BF35" s="167" t="s">
        <v>3</v>
      </c>
      <c r="BG35" s="165" t="s">
        <v>75</v>
      </c>
      <c r="BH35" s="294"/>
      <c r="BI35" s="296"/>
      <c r="BJ35" s="160">
        <f>SUM(BJ44:BJ54)</f>
        <v>1116.6457137437753</v>
      </c>
    </row>
    <row r="36" spans="1:89" ht="15" customHeight="1" thickBot="1" x14ac:dyDescent="0.3">
      <c r="A36" s="12">
        <v>2007</v>
      </c>
      <c r="B36" s="15">
        <f t="shared" ref="B36:E40" si="17">P5</f>
        <v>410758</v>
      </c>
      <c r="C36" s="16">
        <f t="shared" si="17"/>
        <v>896792</v>
      </c>
      <c r="D36" s="16">
        <f t="shared" si="17"/>
        <v>352178</v>
      </c>
      <c r="E36" s="17">
        <f t="shared" si="17"/>
        <v>1203076</v>
      </c>
      <c r="F36" s="13">
        <f>SUM(B36:E36)</f>
        <v>2862804</v>
      </c>
      <c r="G36" s="13"/>
      <c r="H36" s="13"/>
      <c r="I36" s="97" t="s">
        <v>26</v>
      </c>
      <c r="J36" s="97"/>
      <c r="K36" s="234">
        <f>I54*K33</f>
        <v>0.2910231266678982</v>
      </c>
      <c r="L36" s="97"/>
      <c r="M36" s="97"/>
      <c r="N36" s="234">
        <f>L54*N33</f>
        <v>0.32428801570765048</v>
      </c>
      <c r="O36" s="97"/>
      <c r="P36" s="97"/>
      <c r="Q36" s="234">
        <f>O54*Q33</f>
        <v>0.15000000000000002</v>
      </c>
      <c r="R36" s="97"/>
      <c r="T36" s="235">
        <f>R54*T33</f>
        <v>5.2500000000000005E-2</v>
      </c>
      <c r="U36" s="4">
        <f>(K36*B54+N36*C54+Q36*D54+T36*E54)/F54</f>
        <v>0.19829457471075684</v>
      </c>
      <c r="V36" s="13">
        <f>U36*$T$23</f>
        <v>663496.68241452845</v>
      </c>
      <c r="AI36" s="8">
        <v>2007</v>
      </c>
      <c r="AJ36" s="238">
        <v>1014</v>
      </c>
      <c r="AK36" s="9">
        <v>2436</v>
      </c>
      <c r="AL36" s="238">
        <v>1515</v>
      </c>
      <c r="AM36" s="238">
        <v>3042</v>
      </c>
      <c r="AN36" s="10">
        <v>8007</v>
      </c>
      <c r="AO36" s="177"/>
      <c r="AP36" s="177"/>
      <c r="AQ36" s="177"/>
      <c r="AR36" s="131">
        <f>P5</f>
        <v>410758</v>
      </c>
      <c r="AS36" s="132">
        <f t="shared" ref="AR36:AS39" si="18">Q5</f>
        <v>896792</v>
      </c>
      <c r="AT36" s="132">
        <f t="shared" ref="AT36:AU41" si="19">R5</f>
        <v>352178</v>
      </c>
      <c r="AU36" s="133">
        <f t="shared" si="19"/>
        <v>1203076</v>
      </c>
      <c r="AV36" s="173">
        <f>SUM(AR36:AU36)</f>
        <v>2862804</v>
      </c>
      <c r="AW36" s="131"/>
      <c r="AX36" s="131">
        <f>53314/1000</f>
        <v>53.314</v>
      </c>
      <c r="AY36" s="141">
        <f t="shared" ref="AY36:AY54" si="20">AX36/AN36</f>
        <v>6.6584238791057822E-3</v>
      </c>
      <c r="AZ36" s="156"/>
      <c r="BA36" s="3"/>
      <c r="BB36" s="131">
        <f>P5</f>
        <v>410758</v>
      </c>
      <c r="BC36" s="132">
        <f>Q5</f>
        <v>896792</v>
      </c>
      <c r="BD36" s="132">
        <f>R5</f>
        <v>352178</v>
      </c>
      <c r="BE36" s="133">
        <f>S5</f>
        <v>1203076</v>
      </c>
      <c r="BF36" s="133">
        <f>SUM(BB36:BE36)</f>
        <v>2862804</v>
      </c>
      <c r="BG36" s="131"/>
      <c r="BH36" s="15">
        <f>51922/1000</f>
        <v>51.921999999999997</v>
      </c>
      <c r="BI36" s="161">
        <f>BH36/AN35</f>
        <v>6.8067645516518083E-3</v>
      </c>
      <c r="BJ36" s="156"/>
      <c r="BL36" s="11" t="s">
        <v>73</v>
      </c>
      <c r="BM36" s="7"/>
    </row>
    <row r="37" spans="1:89" x14ac:dyDescent="0.25">
      <c r="A37" s="12">
        <v>2008</v>
      </c>
      <c r="B37" s="15">
        <f t="shared" si="17"/>
        <v>414932</v>
      </c>
      <c r="C37" s="16">
        <f t="shared" si="17"/>
        <v>900775</v>
      </c>
      <c r="D37" s="16">
        <f t="shared" si="17"/>
        <v>358798</v>
      </c>
      <c r="E37" s="17">
        <f t="shared" si="17"/>
        <v>1225376</v>
      </c>
      <c r="F37" s="13">
        <f t="shared" ref="F37:F54" si="21">SUM(B37:E37)</f>
        <v>2899881</v>
      </c>
      <c r="G37" s="13"/>
      <c r="H37" s="13"/>
      <c r="I37" s="11" t="s">
        <v>59</v>
      </c>
      <c r="J37" s="6"/>
      <c r="K37" s="7"/>
      <c r="L37" s="120"/>
      <c r="M37" s="6"/>
      <c r="N37" s="7"/>
      <c r="O37" s="120"/>
      <c r="P37" s="6"/>
      <c r="Q37" s="7"/>
      <c r="R37" s="120"/>
      <c r="S37" s="6"/>
      <c r="T37" s="7"/>
      <c r="V37" s="11" t="s">
        <v>65</v>
      </c>
      <c r="W37" s="6"/>
      <c r="X37" s="7"/>
      <c r="Y37" s="120"/>
      <c r="Z37" s="6"/>
      <c r="AA37" s="7"/>
      <c r="AB37" s="120"/>
      <c r="AC37" s="6"/>
      <c r="AD37" s="7"/>
      <c r="AE37" s="120"/>
      <c r="AF37" s="6"/>
      <c r="AG37" s="7"/>
      <c r="AI37" s="8">
        <v>2008</v>
      </c>
      <c r="AJ37" s="238">
        <v>1017</v>
      </c>
      <c r="AK37" s="9">
        <v>2363</v>
      </c>
      <c r="AL37" s="238">
        <v>1447</v>
      </c>
      <c r="AM37" s="238">
        <v>3066</v>
      </c>
      <c r="AN37" s="10">
        <v>7893</v>
      </c>
      <c r="AO37" s="177"/>
      <c r="AP37" s="177"/>
      <c r="AQ37" s="177"/>
      <c r="AR37" s="131">
        <f t="shared" si="18"/>
        <v>414932</v>
      </c>
      <c r="AS37" s="132">
        <f t="shared" si="18"/>
        <v>900775</v>
      </c>
      <c r="AT37" s="132">
        <f t="shared" si="19"/>
        <v>358798</v>
      </c>
      <c r="AU37" s="133">
        <f t="shared" si="19"/>
        <v>1225376</v>
      </c>
      <c r="AV37" s="173">
        <f t="shared" ref="AV37:AV53" si="22">SUM(AR37:AU37)</f>
        <v>2899881</v>
      </c>
      <c r="AW37" s="131"/>
      <c r="AX37" s="131">
        <f>46565/1000</f>
        <v>46.564999999999998</v>
      </c>
      <c r="AY37" s="141">
        <f t="shared" si="20"/>
        <v>5.8995312302039778E-3</v>
      </c>
      <c r="AZ37" s="156"/>
      <c r="BA37" s="3"/>
      <c r="BB37" s="131">
        <f>P6</f>
        <v>414932</v>
      </c>
      <c r="BC37" s="132">
        <f>Q6</f>
        <v>900775</v>
      </c>
      <c r="BD37" s="132">
        <f>R6</f>
        <v>358798</v>
      </c>
      <c r="BE37" s="133">
        <f>S6</f>
        <v>1225376</v>
      </c>
      <c r="BF37" s="133">
        <f t="shared" ref="BF37:BF54" si="23">SUM(BB37:BE37)</f>
        <v>2899881</v>
      </c>
      <c r="BG37" s="131"/>
      <c r="BH37" s="15">
        <f>53314/1000</f>
        <v>53.314</v>
      </c>
      <c r="BI37" s="161">
        <f>BH37/AN36</f>
        <v>6.6584238791057822E-3</v>
      </c>
      <c r="BJ37" s="156"/>
      <c r="BL37" s="8"/>
      <c r="BM37" s="10"/>
    </row>
    <row r="38" spans="1:89" x14ac:dyDescent="0.25">
      <c r="A38" s="12">
        <v>2009</v>
      </c>
      <c r="B38" s="15">
        <f t="shared" si="17"/>
        <v>404701</v>
      </c>
      <c r="C38" s="16">
        <f t="shared" si="17"/>
        <v>916271</v>
      </c>
      <c r="D38" s="16">
        <f t="shared" si="17"/>
        <v>336968</v>
      </c>
      <c r="E38" s="17">
        <f t="shared" si="17"/>
        <v>1230241</v>
      </c>
      <c r="F38" s="13">
        <f t="shared" si="21"/>
        <v>2888181</v>
      </c>
      <c r="G38" s="13"/>
      <c r="H38" s="13"/>
      <c r="I38" s="276" t="s">
        <v>13</v>
      </c>
      <c r="J38" s="277"/>
      <c r="K38" s="278"/>
      <c r="L38" s="279" t="s">
        <v>5</v>
      </c>
      <c r="M38" s="265"/>
      <c r="N38" s="280"/>
      <c r="O38" s="279" t="s">
        <v>6</v>
      </c>
      <c r="P38" s="265"/>
      <c r="Q38" s="280"/>
      <c r="R38" s="276" t="s">
        <v>7</v>
      </c>
      <c r="S38" s="277"/>
      <c r="T38" s="278"/>
      <c r="V38" s="276" t="s">
        <v>13</v>
      </c>
      <c r="W38" s="277"/>
      <c r="X38" s="278"/>
      <c r="Y38" s="279" t="s">
        <v>5</v>
      </c>
      <c r="Z38" s="265"/>
      <c r="AA38" s="280"/>
      <c r="AB38" s="279" t="s">
        <v>6</v>
      </c>
      <c r="AC38" s="265"/>
      <c r="AD38" s="280"/>
      <c r="AE38" s="276" t="s">
        <v>7</v>
      </c>
      <c r="AF38" s="277"/>
      <c r="AG38" s="278"/>
      <c r="AI38" s="8">
        <v>2009</v>
      </c>
      <c r="AJ38" s="238">
        <v>965</v>
      </c>
      <c r="AK38" s="9">
        <v>2234</v>
      </c>
      <c r="AL38" s="238">
        <v>1234</v>
      </c>
      <c r="AM38" s="238">
        <v>3066</v>
      </c>
      <c r="AN38" s="10">
        <v>7499</v>
      </c>
      <c r="AO38" s="177"/>
      <c r="AP38" s="177"/>
      <c r="AQ38" s="177"/>
      <c r="AR38" s="131">
        <f t="shared" si="18"/>
        <v>404701</v>
      </c>
      <c r="AS38" s="132">
        <f t="shared" si="18"/>
        <v>916271</v>
      </c>
      <c r="AT38" s="132">
        <f t="shared" si="19"/>
        <v>336968</v>
      </c>
      <c r="AU38" s="133">
        <f t="shared" si="19"/>
        <v>1230241</v>
      </c>
      <c r="AV38" s="173">
        <f t="shared" si="22"/>
        <v>2888181</v>
      </c>
      <c r="AW38" s="131"/>
      <c r="AX38" s="131">
        <f>40517/1000</f>
        <v>40.517000000000003</v>
      </c>
      <c r="AY38" s="141">
        <f t="shared" si="20"/>
        <v>5.4029870649419925E-3</v>
      </c>
      <c r="AZ38" s="156"/>
      <c r="BA38" s="3"/>
      <c r="BB38" s="131">
        <f>P7</f>
        <v>404701</v>
      </c>
      <c r="BC38" s="132">
        <f>Q7</f>
        <v>916271</v>
      </c>
      <c r="BD38" s="132">
        <f>R7</f>
        <v>336968</v>
      </c>
      <c r="BE38" s="133">
        <f>S7</f>
        <v>1230241</v>
      </c>
      <c r="BF38" s="133">
        <f t="shared" si="23"/>
        <v>2888181</v>
      </c>
      <c r="BG38" s="131"/>
      <c r="BH38" s="15">
        <f>46565/1000</f>
        <v>46.564999999999998</v>
      </c>
      <c r="BI38" s="161">
        <f>BH38/AN37</f>
        <v>5.8995312302039778E-3</v>
      </c>
      <c r="BJ38" s="156"/>
      <c r="BL38" s="8" t="s">
        <v>71</v>
      </c>
      <c r="BM38" s="10"/>
    </row>
    <row r="39" spans="1:89" ht="15" customHeight="1" x14ac:dyDescent="0.25">
      <c r="A39" s="12">
        <v>2010</v>
      </c>
      <c r="B39" s="15">
        <f t="shared" si="17"/>
        <v>400992</v>
      </c>
      <c r="C39" s="16">
        <f t="shared" si="17"/>
        <v>905314</v>
      </c>
      <c r="D39" s="16">
        <f t="shared" si="17"/>
        <v>311336</v>
      </c>
      <c r="E39" s="17">
        <f t="shared" si="17"/>
        <v>1220411</v>
      </c>
      <c r="F39" s="13">
        <f t="shared" si="21"/>
        <v>2838053</v>
      </c>
      <c r="G39" s="13"/>
      <c r="H39" s="13"/>
      <c r="I39" s="285" t="s">
        <v>51</v>
      </c>
      <c r="J39" s="266" t="s">
        <v>79</v>
      </c>
      <c r="K39" s="281" t="s">
        <v>56</v>
      </c>
      <c r="L39" s="283" t="s">
        <v>51</v>
      </c>
      <c r="M39" s="266" t="s">
        <v>79</v>
      </c>
      <c r="N39" s="281" t="s">
        <v>56</v>
      </c>
      <c r="O39" s="283" t="s">
        <v>51</v>
      </c>
      <c r="P39" s="266" t="s">
        <v>79</v>
      </c>
      <c r="Q39" s="281" t="s">
        <v>56</v>
      </c>
      <c r="R39" s="283" t="s">
        <v>51</v>
      </c>
      <c r="S39" s="266" t="s">
        <v>79</v>
      </c>
      <c r="T39" s="281" t="s">
        <v>56</v>
      </c>
      <c r="V39" s="285" t="s">
        <v>51</v>
      </c>
      <c r="W39" s="266" t="s">
        <v>52</v>
      </c>
      <c r="X39" s="281" t="s">
        <v>56</v>
      </c>
      <c r="Y39" s="285" t="s">
        <v>51</v>
      </c>
      <c r="Z39" s="266" t="s">
        <v>52</v>
      </c>
      <c r="AA39" s="281" t="s">
        <v>56</v>
      </c>
      <c r="AB39" s="285" t="s">
        <v>51</v>
      </c>
      <c r="AC39" s="266" t="s">
        <v>52</v>
      </c>
      <c r="AD39" s="281" t="s">
        <v>56</v>
      </c>
      <c r="AE39" s="285" t="s">
        <v>51</v>
      </c>
      <c r="AF39" s="266" t="s">
        <v>52</v>
      </c>
      <c r="AG39" s="281" t="s">
        <v>56</v>
      </c>
      <c r="AI39" s="8">
        <v>2010</v>
      </c>
      <c r="AJ39" s="238">
        <v>979</v>
      </c>
      <c r="AK39" s="9">
        <v>2122</v>
      </c>
      <c r="AL39" s="238">
        <v>1264</v>
      </c>
      <c r="AM39" s="238">
        <v>2859</v>
      </c>
      <c r="AN39" s="10">
        <v>7224</v>
      </c>
      <c r="AO39" s="177"/>
      <c r="AP39" s="177"/>
      <c r="AQ39" s="177"/>
      <c r="AR39" s="131">
        <f t="shared" si="18"/>
        <v>400992</v>
      </c>
      <c r="AS39" s="132">
        <f t="shared" si="18"/>
        <v>905314</v>
      </c>
      <c r="AT39" s="132">
        <f t="shared" si="19"/>
        <v>311336</v>
      </c>
      <c r="AU39" s="133">
        <f t="shared" si="19"/>
        <v>1220411</v>
      </c>
      <c r="AV39" s="173">
        <f t="shared" si="22"/>
        <v>2838053</v>
      </c>
      <c r="AW39" s="131"/>
      <c r="AX39" s="131">
        <f>38063/1000</f>
        <v>38.063000000000002</v>
      </c>
      <c r="AY39" s="141">
        <f t="shared" si="20"/>
        <v>5.2689645625692144E-3</v>
      </c>
      <c r="AZ39" s="156"/>
      <c r="BA39" s="3"/>
      <c r="BB39" s="131">
        <f>P8</f>
        <v>400992</v>
      </c>
      <c r="BC39" s="132">
        <f>Q8</f>
        <v>905314</v>
      </c>
      <c r="BD39" s="132">
        <f>R8</f>
        <v>311336</v>
      </c>
      <c r="BE39" s="133">
        <f>S8</f>
        <v>1220411</v>
      </c>
      <c r="BF39" s="133">
        <f t="shared" si="23"/>
        <v>2838053</v>
      </c>
      <c r="BG39" s="131"/>
      <c r="BH39" s="15">
        <f>40517/1000</f>
        <v>40.517000000000003</v>
      </c>
      <c r="BI39" s="161">
        <f>BH39/AN38</f>
        <v>5.4029870649419925E-3</v>
      </c>
      <c r="BJ39" s="156"/>
      <c r="BL39" s="8"/>
      <c r="BM39" s="10">
        <v>37.69</v>
      </c>
      <c r="CK39">
        <f>18000000/37.69/20</f>
        <v>23879.013000795971</v>
      </c>
    </row>
    <row r="40" spans="1:89" ht="29.1" customHeight="1" x14ac:dyDescent="0.25">
      <c r="A40" s="12">
        <v>2011</v>
      </c>
      <c r="B40" s="15">
        <f t="shared" si="17"/>
        <v>410716</v>
      </c>
      <c r="C40" s="16">
        <f t="shared" si="17"/>
        <v>902621</v>
      </c>
      <c r="D40" s="16">
        <f t="shared" si="17"/>
        <v>324351</v>
      </c>
      <c r="E40" s="17">
        <f t="shared" si="17"/>
        <v>1205503</v>
      </c>
      <c r="F40" s="13">
        <f t="shared" si="21"/>
        <v>2843191</v>
      </c>
      <c r="G40" s="13"/>
      <c r="H40" s="13"/>
      <c r="I40" s="286"/>
      <c r="J40" s="267"/>
      <c r="K40" s="287"/>
      <c r="L40" s="284"/>
      <c r="M40" s="267"/>
      <c r="N40" s="282"/>
      <c r="O40" s="284"/>
      <c r="P40" s="267"/>
      <c r="Q40" s="282"/>
      <c r="R40" s="284"/>
      <c r="S40" s="267"/>
      <c r="T40" s="282"/>
      <c r="V40" s="286"/>
      <c r="W40" s="267"/>
      <c r="X40" s="282"/>
      <c r="Y40" s="286"/>
      <c r="Z40" s="267"/>
      <c r="AA40" s="282"/>
      <c r="AB40" s="286"/>
      <c r="AC40" s="267"/>
      <c r="AD40" s="282"/>
      <c r="AE40" s="286"/>
      <c r="AF40" s="267"/>
      <c r="AG40" s="282"/>
      <c r="AI40" s="8">
        <v>2011</v>
      </c>
      <c r="AJ40" s="238">
        <v>1004</v>
      </c>
      <c r="AK40" s="238">
        <v>2295</v>
      </c>
      <c r="AL40" s="238">
        <v>1278</v>
      </c>
      <c r="AM40" s="238">
        <v>3041</v>
      </c>
      <c r="AN40" s="10">
        <v>7618</v>
      </c>
      <c r="AO40" s="177"/>
      <c r="AP40" s="177"/>
      <c r="AQ40" s="177"/>
      <c r="AR40" s="131">
        <f>P9</f>
        <v>410716</v>
      </c>
      <c r="AS40" s="132">
        <f>Q9</f>
        <v>902621</v>
      </c>
      <c r="AT40" s="132">
        <f t="shared" si="19"/>
        <v>324351</v>
      </c>
      <c r="AU40" s="133">
        <f t="shared" si="19"/>
        <v>1205503</v>
      </c>
      <c r="AV40" s="173">
        <f t="shared" si="22"/>
        <v>2843191</v>
      </c>
      <c r="AW40" s="131"/>
      <c r="AX40" s="131">
        <f>44806/1000</f>
        <v>44.805999999999997</v>
      </c>
      <c r="AY40" s="141">
        <f t="shared" si="20"/>
        <v>5.8815962194801782E-3</v>
      </c>
      <c r="AZ40" s="156"/>
      <c r="BA40" s="3"/>
      <c r="BB40" s="131">
        <f>P9</f>
        <v>410716</v>
      </c>
      <c r="BC40" s="132">
        <f>Q9</f>
        <v>902621</v>
      </c>
      <c r="BD40" s="132">
        <f>R9</f>
        <v>324351</v>
      </c>
      <c r="BE40" s="133">
        <f>S9</f>
        <v>1205503</v>
      </c>
      <c r="BF40" s="133">
        <f t="shared" si="23"/>
        <v>2843191</v>
      </c>
      <c r="BG40" s="131"/>
      <c r="BH40" s="15">
        <f>38063/1000</f>
        <v>38.063000000000002</v>
      </c>
      <c r="BI40" s="161">
        <f>BH40/AN39</f>
        <v>5.2689645625692144E-3</v>
      </c>
      <c r="BJ40" s="156"/>
      <c r="BL40" s="8" t="s">
        <v>70</v>
      </c>
      <c r="BM40" s="10"/>
      <c r="BO40" s="265" t="s">
        <v>39</v>
      </c>
      <c r="BP40" s="265"/>
      <c r="BQ40" s="265"/>
      <c r="BR40" s="265"/>
      <c r="BS40" s="265" t="s">
        <v>48</v>
      </c>
      <c r="BT40" s="265"/>
      <c r="BU40" s="265"/>
      <c r="BV40" s="265"/>
    </row>
    <row r="41" spans="1:89" ht="39" customHeight="1" x14ac:dyDescent="0.25">
      <c r="A41" s="12">
        <v>2012</v>
      </c>
      <c r="B41" s="15">
        <f t="shared" ref="B41" si="24">P10</f>
        <v>424455</v>
      </c>
      <c r="C41" s="16">
        <f t="shared" ref="C41" si="25">Q10</f>
        <v>1112231</v>
      </c>
      <c r="D41" s="16">
        <f t="shared" ref="D41" si="26">R10</f>
        <v>184774</v>
      </c>
      <c r="E41" s="17">
        <f t="shared" ref="E41" si="27">S10</f>
        <v>1168523</v>
      </c>
      <c r="F41" s="13">
        <f t="shared" si="21"/>
        <v>2889983</v>
      </c>
      <c r="G41" s="183"/>
      <c r="H41" s="24" t="s">
        <v>78</v>
      </c>
      <c r="I41" s="175"/>
      <c r="J41" s="176"/>
      <c r="K41" s="114"/>
      <c r="L41" s="175"/>
      <c r="M41" s="176"/>
      <c r="N41" s="94"/>
      <c r="O41" s="175"/>
      <c r="P41" s="176"/>
      <c r="Q41" s="94"/>
      <c r="R41" s="175"/>
      <c r="S41" s="176"/>
      <c r="T41" s="94"/>
      <c r="V41" s="181"/>
      <c r="W41" s="176"/>
      <c r="X41" s="114"/>
      <c r="Y41" s="181"/>
      <c r="Z41" s="176"/>
      <c r="AA41" s="94"/>
      <c r="AB41" s="181"/>
      <c r="AC41" s="176"/>
      <c r="AD41" s="94"/>
      <c r="AE41" s="181"/>
      <c r="AF41" s="176"/>
      <c r="AG41" s="94"/>
      <c r="AI41" s="23">
        <v>2012</v>
      </c>
      <c r="AJ41" s="238">
        <v>903</v>
      </c>
      <c r="AK41" s="9">
        <v>2040</v>
      </c>
      <c r="AL41" s="238">
        <v>1202</v>
      </c>
      <c r="AM41" s="239">
        <v>2699</v>
      </c>
      <c r="AN41" s="111">
        <v>6844</v>
      </c>
      <c r="AO41" s="193"/>
      <c r="AP41" s="193"/>
      <c r="AQ41" s="193"/>
      <c r="AR41" s="131">
        <f>P10</f>
        <v>424455</v>
      </c>
      <c r="AS41" s="132">
        <f>Q10</f>
        <v>1112231</v>
      </c>
      <c r="AT41" s="132">
        <f t="shared" si="19"/>
        <v>184774</v>
      </c>
      <c r="AU41" s="133">
        <f t="shared" si="19"/>
        <v>1168523</v>
      </c>
      <c r="AV41" s="173">
        <f t="shared" si="22"/>
        <v>2889983</v>
      </c>
      <c r="AW41" s="131"/>
      <c r="AX41" s="131">
        <f>35831/1000</f>
        <v>35.831000000000003</v>
      </c>
      <c r="AY41" s="141">
        <f t="shared" si="20"/>
        <v>5.2353886616014035E-3</v>
      </c>
      <c r="AZ41" s="156"/>
      <c r="BA41" s="3"/>
      <c r="BB41" s="131">
        <f>P10</f>
        <v>424455</v>
      </c>
      <c r="BC41" s="132">
        <f>Q10</f>
        <v>1112231</v>
      </c>
      <c r="BD41" s="132">
        <f>R10</f>
        <v>184774</v>
      </c>
      <c r="BE41" s="133">
        <f>S10</f>
        <v>1168523</v>
      </c>
      <c r="BF41" s="133">
        <f>SUM(BB41:BE41)</f>
        <v>2889983</v>
      </c>
      <c r="BG41" s="131"/>
      <c r="BH41" s="15">
        <f>44806/1000</f>
        <v>44.805999999999997</v>
      </c>
      <c r="BI41" s="161">
        <f>BH41/AN40</f>
        <v>5.8815962194801782E-3</v>
      </c>
      <c r="BJ41" s="156"/>
      <c r="BL41" s="8"/>
      <c r="BM41" s="145">
        <v>5.8799999999999998E-2</v>
      </c>
      <c r="BO41" s="331" t="s">
        <v>13</v>
      </c>
      <c r="BP41" s="331"/>
      <c r="BQ41" s="331" t="s">
        <v>5</v>
      </c>
      <c r="BR41" s="331"/>
      <c r="BS41" s="331" t="s">
        <v>13</v>
      </c>
      <c r="BT41" s="331"/>
      <c r="BU41" s="331" t="s">
        <v>5</v>
      </c>
      <c r="BV41" s="331"/>
    </row>
    <row r="42" spans="1:89" s="3" customFormat="1" ht="15" customHeight="1" x14ac:dyDescent="0.25">
      <c r="A42" s="12">
        <v>2013</v>
      </c>
      <c r="B42" s="131">
        <f>$P$11</f>
        <v>431011.92307692306</v>
      </c>
      <c r="C42" s="132">
        <f>$Q$11</f>
        <v>1123786.3846153845</v>
      </c>
      <c r="D42" s="132">
        <f>$R$11</f>
        <v>184800.15384615384</v>
      </c>
      <c r="E42" s="133">
        <f>$S$11</f>
        <v>1184076.8461538462</v>
      </c>
      <c r="F42" s="115">
        <f t="shared" si="21"/>
        <v>2923675.3076923075</v>
      </c>
      <c r="G42" s="192"/>
      <c r="H42" s="12">
        <v>2013</v>
      </c>
      <c r="I42" s="178">
        <v>0</v>
      </c>
      <c r="J42" s="87">
        <v>0</v>
      </c>
      <c r="K42" s="119">
        <f>I42*'Savings Model'!$F$20*AJ41</f>
        <v>0</v>
      </c>
      <c r="L42" s="178">
        <v>0</v>
      </c>
      <c r="M42" s="87">
        <v>0</v>
      </c>
      <c r="N42" s="94">
        <f>L42*'Savings Model'!$F$19*AK42</f>
        <v>0</v>
      </c>
      <c r="O42" s="178">
        <v>0</v>
      </c>
      <c r="P42" s="87">
        <v>0</v>
      </c>
      <c r="Q42" s="94">
        <f>O42*'Savings Model'!$F$21*AL42</f>
        <v>0</v>
      </c>
      <c r="R42" s="178">
        <v>0</v>
      </c>
      <c r="S42" s="87">
        <v>0</v>
      </c>
      <c r="T42" s="94">
        <f>R42*'Savings Model'!$F$22*AM42</f>
        <v>0</v>
      </c>
      <c r="U42" s="223"/>
      <c r="V42" s="180">
        <f>I42</f>
        <v>0</v>
      </c>
      <c r="W42" s="87">
        <f>J42</f>
        <v>0</v>
      </c>
      <c r="X42" s="194">
        <f>V42*'Savings Model'!$I$20*AJ42</f>
        <v>0</v>
      </c>
      <c r="Y42" s="180">
        <f>L42</f>
        <v>0</v>
      </c>
      <c r="Z42" s="87">
        <f>M42</f>
        <v>0</v>
      </c>
      <c r="AA42" s="94">
        <f>Y42*'Savings Model'!$I$19*AK42</f>
        <v>0</v>
      </c>
      <c r="AB42" s="180">
        <f>O42</f>
        <v>0</v>
      </c>
      <c r="AC42" s="87">
        <f>P42</f>
        <v>0</v>
      </c>
      <c r="AD42" s="94">
        <f>AB42*'Savings Model'!$I$21*AL42</f>
        <v>0</v>
      </c>
      <c r="AE42" s="180">
        <f>R42</f>
        <v>0</v>
      </c>
      <c r="AF42" s="87">
        <f>S42</f>
        <v>0</v>
      </c>
      <c r="AG42" s="94">
        <f>AE42*'Savings Model'!$I$22*AM42</f>
        <v>0</v>
      </c>
      <c r="AI42" s="8">
        <v>2013</v>
      </c>
      <c r="AJ42" s="239">
        <v>904</v>
      </c>
      <c r="AK42" s="239">
        <v>2063</v>
      </c>
      <c r="AL42" s="239">
        <v>1202</v>
      </c>
      <c r="AM42" s="238">
        <v>2730</v>
      </c>
      <c r="AN42" s="10">
        <v>6909</v>
      </c>
      <c r="AO42" s="177"/>
      <c r="AP42" s="177"/>
      <c r="AQ42" s="4"/>
      <c r="AR42" s="131">
        <f>P11-J42</f>
        <v>431011.92307692306</v>
      </c>
      <c r="AS42" s="132">
        <f t="shared" ref="AS42:AS53" si="28">Q11-M42</f>
        <v>1123786.3846153845</v>
      </c>
      <c r="AT42" s="132">
        <f t="shared" ref="AT42:AT53" si="29">R11-P42</f>
        <v>184800.15384615384</v>
      </c>
      <c r="AU42" s="133">
        <f t="shared" ref="AU42:AU53" si="30">S11-S42</f>
        <v>1184076.8461538462</v>
      </c>
      <c r="AV42" s="173">
        <f t="shared" ref="AV42" si="31">SUM(AR42:AU42)</f>
        <v>2923675.3076923075</v>
      </c>
      <c r="AW42" s="131">
        <f>SUM(J42,M42,P42,S42)-SUM(J41,M41,P41,S41)</f>
        <v>0</v>
      </c>
      <c r="AX42" s="131">
        <f>((K42+N42+Q42+T42)-(K41+N41+Q41+T41))</f>
        <v>0</v>
      </c>
      <c r="AY42" s="141">
        <f t="shared" si="20"/>
        <v>0</v>
      </c>
      <c r="AZ42" s="156"/>
      <c r="BB42" s="131">
        <f>P11-W42</f>
        <v>431011.92307692306</v>
      </c>
      <c r="BC42" s="132">
        <f>Q11-Z42</f>
        <v>1123786.3846153845</v>
      </c>
      <c r="BD42" s="132">
        <f>R11-AC42</f>
        <v>184800.15384615384</v>
      </c>
      <c r="BE42" s="133">
        <f>S11-AF42</f>
        <v>1184076.8461538462</v>
      </c>
      <c r="BF42" s="133">
        <f t="shared" ref="BF42" si="32">SUM(BB42:BE42)</f>
        <v>2923675.3076923075</v>
      </c>
      <c r="BG42" s="131">
        <f>SUM(W42,Z42,AC42,AF42)-SUM(W41,Z41,AC41,AF41)</f>
        <v>0</v>
      </c>
      <c r="BH42" s="15">
        <f>((AG42+X42+AA42+AD42)-(AG41+X41+AA41+AD41))</f>
        <v>0</v>
      </c>
      <c r="BI42" s="161">
        <f>BH42/AN41</f>
        <v>0</v>
      </c>
      <c r="BJ42" s="156"/>
      <c r="BK42"/>
      <c r="BL42" s="333" t="s">
        <v>69</v>
      </c>
      <c r="BM42" s="288"/>
      <c r="BN42"/>
      <c r="BO42" s="332" t="s">
        <v>120</v>
      </c>
      <c r="BP42" s="332" t="s">
        <v>113</v>
      </c>
      <c r="BQ42" s="332" t="s">
        <v>119</v>
      </c>
      <c r="BR42" s="332" t="s">
        <v>112</v>
      </c>
      <c r="BS42" s="332" t="s">
        <v>115</v>
      </c>
      <c r="BT42" s="332" t="s">
        <v>113</v>
      </c>
      <c r="BU42" s="332" t="s">
        <v>119</v>
      </c>
      <c r="BV42" s="332" t="s">
        <v>112</v>
      </c>
    </row>
    <row r="43" spans="1:89" x14ac:dyDescent="0.25">
      <c r="A43" s="12">
        <v>2014</v>
      </c>
      <c r="B43" s="15">
        <f t="shared" ref="B43:B54" si="33">$P$11</f>
        <v>431011.92307692306</v>
      </c>
      <c r="C43" s="16">
        <f t="shared" ref="C43:C54" si="34">$Q$11</f>
        <v>1123786.3846153845</v>
      </c>
      <c r="D43" s="16">
        <f t="shared" ref="D43:D54" si="35">$R$11</f>
        <v>184800.15384615384</v>
      </c>
      <c r="E43" s="17">
        <f t="shared" ref="E43:E54" si="36">$S$11</f>
        <v>1184076.8461538462</v>
      </c>
      <c r="F43" s="13">
        <f t="shared" si="21"/>
        <v>2923675.3076923075</v>
      </c>
      <c r="G43" s="190"/>
      <c r="H43" s="12">
        <v>2014</v>
      </c>
      <c r="I43" s="178">
        <f>I54/10*0.25</f>
        <v>2.5000000000000001E-2</v>
      </c>
      <c r="J43" s="87">
        <f>I43*$K$31*P12</f>
        <v>1383.4855882834136</v>
      </c>
      <c r="K43" s="119">
        <f>I43*'Savings Model'!$F$20*AJ42</f>
        <v>2.8443048593328917</v>
      </c>
      <c r="L43" s="178">
        <f>L54/10*0.25</f>
        <v>2.5000000000000001E-2</v>
      </c>
      <c r="M43" s="87">
        <f>L43*$N$31*Q12</f>
        <v>5659.8392028128847</v>
      </c>
      <c r="N43" s="94">
        <f>L43*'Savings Model'!$F$19*AK43</f>
        <v>11.317247663657534</v>
      </c>
      <c r="O43" s="178">
        <f>$O$54/11*0.25+O42</f>
        <v>8.5227272727272721E-3</v>
      </c>
      <c r="P43" s="87">
        <f>O43*$Q$31*R12</f>
        <v>630.08444055944051</v>
      </c>
      <c r="Q43" s="94">
        <f>O43*'Savings Model'!$F$21*AL43</f>
        <v>4.1011363636363631</v>
      </c>
      <c r="R43" s="178">
        <f>$R$54/11*0.25+R42</f>
        <v>3.5093582887700536E-3</v>
      </c>
      <c r="S43" s="87">
        <f>R43*$T$31*S12</f>
        <v>1432.3045410839163</v>
      </c>
      <c r="T43" s="94">
        <f>R43*'Savings Model'!$F$22*AM43</f>
        <v>3.2931818181818184</v>
      </c>
      <c r="U43" s="189"/>
      <c r="V43" s="180">
        <f t="shared" ref="V43:V54" si="37">I43</f>
        <v>2.5000000000000001E-2</v>
      </c>
      <c r="W43" s="87">
        <f>V43*$K$33*P12</f>
        <v>3176.2571857456851</v>
      </c>
      <c r="X43" s="119">
        <f>V43*'Savings Model'!$I$20*AJ43</f>
        <v>6.5270912933530782</v>
      </c>
      <c r="Y43" s="180">
        <f t="shared" ref="Y43:Y54" si="38">L43</f>
        <v>2.5000000000000001E-2</v>
      </c>
      <c r="Z43" s="87">
        <f>Y43*$N$33*Q12</f>
        <v>9199.9406229745418</v>
      </c>
      <c r="AA43" s="94">
        <f>Y43*'Savings Model'!$I$19*AK43</f>
        <v>18.286893868262936</v>
      </c>
      <c r="AB43" s="180">
        <f t="shared" ref="AB43:AB54" si="39">O43</f>
        <v>8.5227272727272721E-3</v>
      </c>
      <c r="AC43" s="87">
        <f>AB43*$Q$33*R12</f>
        <v>630.08444055944051</v>
      </c>
      <c r="AD43" s="94">
        <f>AB43*'Savings Model'!$I$21*AL43</f>
        <v>4.1011363636363631</v>
      </c>
      <c r="AE43" s="180">
        <f t="shared" ref="AE43:AE54" si="40">R43</f>
        <v>3.5093582887700536E-3</v>
      </c>
      <c r="AF43" s="87">
        <f>AE43*$T$33*S12</f>
        <v>1432.3045410839163</v>
      </c>
      <c r="AG43" s="94">
        <f>AE43*'Savings Model'!$I$22*AM43</f>
        <v>3.2931818181818184</v>
      </c>
      <c r="AI43" s="8">
        <v>2014</v>
      </c>
      <c r="AJ43" s="239">
        <v>925</v>
      </c>
      <c r="AK43" s="238">
        <v>2087</v>
      </c>
      <c r="AL43" s="239">
        <v>1203</v>
      </c>
      <c r="AM43" s="238">
        <v>2760</v>
      </c>
      <c r="AN43" s="10">
        <v>6975</v>
      </c>
      <c r="AO43" s="177"/>
      <c r="AP43" s="177"/>
      <c r="AQ43" s="4"/>
      <c r="AR43" s="131">
        <f t="shared" ref="AR43:AR53" si="41">P12-J43</f>
        <v>435180.74518094736</v>
      </c>
      <c r="AS43" s="132">
        <f t="shared" si="28"/>
        <v>1129126.5454125716</v>
      </c>
      <c r="AT43" s="132">
        <f t="shared" si="29"/>
        <v>184194.68479020978</v>
      </c>
      <c r="AU43" s="133">
        <f t="shared" si="30"/>
        <v>1198975.3108435315</v>
      </c>
      <c r="AV43" s="173">
        <f t="shared" si="22"/>
        <v>2947477.2862272603</v>
      </c>
      <c r="AW43" s="131">
        <f t="shared" ref="AW43:AW54" si="42">SUM(J43,M43,P43,S43)-SUM(J42,M42,P42,S42)</f>
        <v>9105.7137727396548</v>
      </c>
      <c r="AX43" s="131">
        <f>((K43+N43+Q43+T43)-(K42+N42+Q42+T42))</f>
        <v>21.555870704808608</v>
      </c>
      <c r="AY43" s="141">
        <f t="shared" si="20"/>
        <v>3.0904474128757861E-3</v>
      </c>
      <c r="AZ43" s="156"/>
      <c r="BA43" s="3"/>
      <c r="BB43" s="131">
        <f>P12-W43</f>
        <v>433387.97358348506</v>
      </c>
      <c r="BC43" s="132">
        <f>Q12-Z43</f>
        <v>1125586.4439924099</v>
      </c>
      <c r="BD43" s="132">
        <f>R12-AC43</f>
        <v>184194.68479020978</v>
      </c>
      <c r="BE43" s="133">
        <f>S12-AF43</f>
        <v>1198975.3108435315</v>
      </c>
      <c r="BF43" s="133">
        <f t="shared" si="23"/>
        <v>2942144.4132096362</v>
      </c>
      <c r="BG43" s="131">
        <f>SUM(W43,Z43,AC43,AF43)-SUM(W42,Z42,AC42,AF42)</f>
        <v>14438.586790363583</v>
      </c>
      <c r="BH43" s="15">
        <f>((AG43+X43+AA43+AD43)-(AG42+X42+AA42+AD42))</f>
        <v>32.208303343434196</v>
      </c>
      <c r="BI43" s="161">
        <f>BH43/AN42</f>
        <v>4.6617894548319867E-3</v>
      </c>
      <c r="BJ43" s="156"/>
      <c r="BL43" s="8"/>
      <c r="BM43" s="10" t="s">
        <v>72</v>
      </c>
      <c r="BN43" s="3"/>
      <c r="BO43" s="332"/>
      <c r="BP43" s="332"/>
      <c r="BQ43" s="332"/>
      <c r="BR43" s="332"/>
      <c r="BS43" s="332"/>
      <c r="BT43" s="332"/>
      <c r="BU43" s="332"/>
      <c r="BV43" s="332"/>
    </row>
    <row r="44" spans="1:89" x14ac:dyDescent="0.25">
      <c r="A44" s="12">
        <v>2015</v>
      </c>
      <c r="B44" s="15">
        <f t="shared" si="33"/>
        <v>431011.92307692306</v>
      </c>
      <c r="C44" s="16">
        <f t="shared" si="34"/>
        <v>1123786.3846153845</v>
      </c>
      <c r="D44" s="16">
        <f t="shared" si="35"/>
        <v>184800.15384615384</v>
      </c>
      <c r="E44" s="17">
        <f t="shared" si="36"/>
        <v>1184076.8461538462</v>
      </c>
      <c r="F44" s="13">
        <f t="shared" si="21"/>
        <v>2923675.3076923075</v>
      </c>
      <c r="G44" s="4"/>
      <c r="H44" s="12">
        <v>2015</v>
      </c>
      <c r="I44" s="178">
        <f>$I$54/10*0.75+I43</f>
        <v>0.1</v>
      </c>
      <c r="J44" s="87">
        <f t="shared" ref="J44:J54" si="43">I44*$K$31*P13</f>
        <v>5614.4064883751143</v>
      </c>
      <c r="K44" s="119">
        <f>I44*'Savings Model'!$F$20*AJ43</f>
        <v>11.641513251694358</v>
      </c>
      <c r="L44" s="178">
        <f>$L$54/11*0.75+L43</f>
        <v>9.3181818181818171E-2</v>
      </c>
      <c r="M44" s="87">
        <f t="shared" ref="M44:M53" si="44">L44*$N$31*Q13</f>
        <v>21307.605359084129</v>
      </c>
      <c r="N44" s="94">
        <f>L44*'Savings Model'!$F$19*AK44</f>
        <v>42.445224717555142</v>
      </c>
      <c r="O44" s="178">
        <f>$O$54/11*0.75+O43</f>
        <v>3.4090909090909088E-2</v>
      </c>
      <c r="P44" s="87">
        <f t="shared" ref="P44:P54" si="45">O44*$Q$31*R13</f>
        <v>2522.4146853146849</v>
      </c>
      <c r="Q44" s="94">
        <f>O44*'Savings Model'!$F$21*AL44</f>
        <v>16.404545454545453</v>
      </c>
      <c r="R44" s="178">
        <f>$R$54/11*0.75+R43</f>
        <v>1.4037433155080214E-2</v>
      </c>
      <c r="S44" s="87">
        <f t="shared" ref="S44:S54" si="46">R44*$T$31*S13</f>
        <v>5804.0031293706306</v>
      </c>
      <c r="T44" s="94">
        <f>R44*'Savings Model'!$F$22*AM44</f>
        <v>13.24909090909091</v>
      </c>
      <c r="V44" s="180">
        <f t="shared" si="37"/>
        <v>0.1</v>
      </c>
      <c r="W44" s="87">
        <f t="shared" ref="W44:W54" si="47">V44*$K$33*P13</f>
        <v>12889.761269233777</v>
      </c>
      <c r="X44" s="119">
        <f>V44*'Savings Model'!$I$20*AJ44</f>
        <v>26.277716731293904</v>
      </c>
      <c r="Y44" s="180">
        <f t="shared" si="38"/>
        <v>9.3181818181818171E-2</v>
      </c>
      <c r="Z44" s="87">
        <f t="shared" ref="Z44:Z54" si="48">Y44*$N$33*Q13</f>
        <v>34635.030624884857</v>
      </c>
      <c r="AA44" s="94">
        <f>Y44*'Savings Model'!$I$19*AK44</f>
        <v>68.584813436313041</v>
      </c>
      <c r="AB44" s="180">
        <f t="shared" si="39"/>
        <v>3.4090909090909088E-2</v>
      </c>
      <c r="AC44" s="87">
        <f t="shared" ref="AC44:AC54" si="49">AB44*$Q$33*R13</f>
        <v>2522.4146853146849</v>
      </c>
      <c r="AD44" s="94">
        <f>AB44*'Savings Model'!$I$21*AL44</f>
        <v>16.404545454545453</v>
      </c>
      <c r="AE44" s="180">
        <f t="shared" si="40"/>
        <v>1.4037433155080214E-2</v>
      </c>
      <c r="AF44" s="87">
        <f>AE44*$T$33*S13</f>
        <v>5804.0031293706306</v>
      </c>
      <c r="AG44" s="94">
        <f>AE44*'Savings Model'!$I$22*AM44</f>
        <v>13.24909090909091</v>
      </c>
      <c r="AI44" s="8">
        <v>2015</v>
      </c>
      <c r="AJ44" s="239">
        <v>931</v>
      </c>
      <c r="AK44" s="238">
        <v>2100</v>
      </c>
      <c r="AL44" s="238">
        <v>1203</v>
      </c>
      <c r="AM44" s="238">
        <v>2776</v>
      </c>
      <c r="AN44" s="10">
        <v>7010</v>
      </c>
      <c r="AO44" s="177"/>
      <c r="AP44" s="177"/>
      <c r="AQ44" s="12">
        <v>2015</v>
      </c>
      <c r="AR44" s="131">
        <f t="shared" si="41"/>
        <v>437297.51658854797</v>
      </c>
      <c r="AS44" s="132">
        <f t="shared" si="28"/>
        <v>1124874.1638716848</v>
      </c>
      <c r="AT44" s="132">
        <f t="shared" si="29"/>
        <v>182454.66223776221</v>
      </c>
      <c r="AU44" s="133">
        <f t="shared" si="30"/>
        <v>1210272.8430244755</v>
      </c>
      <c r="AV44" s="173">
        <f t="shared" si="22"/>
        <v>2954899.1857224703</v>
      </c>
      <c r="AW44" s="131">
        <f t="shared" si="42"/>
        <v>26142.715889404906</v>
      </c>
      <c r="AX44" s="131">
        <f t="shared" ref="AX44:AX54" si="50">((K44+N44+Q44+T44)-(K43+N43+Q43+T43))</f>
        <v>62.184503628077252</v>
      </c>
      <c r="AY44" s="141">
        <f t="shared" si="20"/>
        <v>8.8708279070010346E-3</v>
      </c>
      <c r="AZ44" s="157">
        <f>SUM($AX$44:AX44)*$BM$39*BM44/((1+$BM$41)^(A44-$A$44))/1000</f>
        <v>10.898362829101375</v>
      </c>
      <c r="BA44" s="3"/>
      <c r="BB44" s="131">
        <f>P13-W44</f>
        <v>430022.16180768929</v>
      </c>
      <c r="BC44" s="132">
        <f>Q13-Z44</f>
        <v>1111546.7386058841</v>
      </c>
      <c r="BD44" s="132">
        <f>R13-AC44</f>
        <v>182454.66223776221</v>
      </c>
      <c r="BE44" s="133">
        <f>S13-AF44</f>
        <v>1210272.8430244755</v>
      </c>
      <c r="BF44" s="133">
        <f t="shared" si="23"/>
        <v>2934296.4056758112</v>
      </c>
      <c r="BG44" s="131">
        <f>SUM(W44,Z44,AC44,AF44)-SUM(W43,Z43,AC43,AF43)</f>
        <v>41412.622918440364</v>
      </c>
      <c r="BH44" s="15">
        <f>((AG44+X44+AA44+AD44)-(AG43+X43+AA43+AD43))</f>
        <v>92.307863187809119</v>
      </c>
      <c r="BI44" s="161">
        <f>BH44/AN43</f>
        <v>1.323410224914826E-2</v>
      </c>
      <c r="BJ44" s="157">
        <f>SUM($BH44:BH$44)*$BM$39*BM44/((1+$BM$41)^(A44-$A$44))/1000</f>
        <v>16.177737640500645</v>
      </c>
      <c r="BK44">
        <v>2015</v>
      </c>
      <c r="BL44" s="8"/>
      <c r="BM44" s="10">
        <v>4.6500000000000004</v>
      </c>
      <c r="BN44">
        <v>2015</v>
      </c>
      <c r="BO44" s="263">
        <f>K44</f>
        <v>11.641513251694358</v>
      </c>
      <c r="BP44" s="264">
        <f>$BO44*$BM$39*BM44/((1+$BM$41)^(BN44-$BN$44))/1000</f>
        <v>2.0402741502220758</v>
      </c>
      <c r="BQ44" s="263">
        <f>N44</f>
        <v>42.445224717555142</v>
      </c>
      <c r="BR44" s="264">
        <f>BQ44*$BM$39*BM44/((1+$BM$41)^(BN44-$BN$44))/1000</f>
        <v>7.4388864161616377</v>
      </c>
      <c r="BS44" s="263">
        <f>X44</f>
        <v>26.277716731293904</v>
      </c>
      <c r="BT44" s="264">
        <f>BS44*$BM$39*BM44/((1+$BM$41)^(BN44-$BN$44))/1000</f>
        <v>4.6053932177514723</v>
      </c>
      <c r="BU44" s="263">
        <f>AA44</f>
        <v>68.584813436313041</v>
      </c>
      <c r="BV44" s="264">
        <f>BU44*$BM$39*BM44/((1+$BM$41)^(BN44-$BN$44))/1000</f>
        <v>12.020071525628069</v>
      </c>
    </row>
    <row r="45" spans="1:89" x14ac:dyDescent="0.25">
      <c r="A45" s="12">
        <v>2016</v>
      </c>
      <c r="B45" s="15">
        <f t="shared" si="33"/>
        <v>431011.92307692306</v>
      </c>
      <c r="C45" s="16">
        <f t="shared" si="34"/>
        <v>1123786.3846153845</v>
      </c>
      <c r="D45" s="16">
        <f t="shared" si="35"/>
        <v>184800.15384615384</v>
      </c>
      <c r="E45" s="17">
        <f t="shared" si="36"/>
        <v>1184076.8461538462</v>
      </c>
      <c r="F45" s="13">
        <f t="shared" si="21"/>
        <v>2923675.3076923075</v>
      </c>
      <c r="G45" s="4"/>
      <c r="H45" s="12">
        <v>2016</v>
      </c>
      <c r="I45" s="178">
        <f>$I$54/11+I44</f>
        <v>0.19090909090909092</v>
      </c>
      <c r="J45" s="87">
        <f t="shared" si="43"/>
        <v>10875.599871117271</v>
      </c>
      <c r="K45" s="119">
        <f>I45*'Savings Model'!$F$20*AJ44</f>
        <v>22.368867379250748</v>
      </c>
      <c r="L45" s="178">
        <f>$L$54/11+L44</f>
        <v>0.18409090909090908</v>
      </c>
      <c r="M45" s="87">
        <f t="shared" si="44"/>
        <v>42543.296668713854</v>
      </c>
      <c r="N45" s="94">
        <f>L45*'Savings Model'!$F$19*AK45</f>
        <v>84.933338338135002</v>
      </c>
      <c r="O45" s="178">
        <f>$O$54/11+O44</f>
        <v>6.8181818181818177E-2</v>
      </c>
      <c r="P45" s="87">
        <f t="shared" si="45"/>
        <v>5049.1090909090899</v>
      </c>
      <c r="Q45" s="94">
        <f>O45*'Savings Model'!$F$21*AL45</f>
        <v>32.809090909090905</v>
      </c>
      <c r="R45" s="178">
        <f>$R$54/11+R44</f>
        <v>2.8074866310160429E-2</v>
      </c>
      <c r="S45" s="87">
        <f t="shared" si="46"/>
        <v>11764.904160839162</v>
      </c>
      <c r="T45" s="94">
        <f>R45*'Savings Model'!$F$22*AM45</f>
        <v>26.803636363636365</v>
      </c>
      <c r="U45" s="189"/>
      <c r="V45" s="180">
        <f t="shared" si="37"/>
        <v>0.19090909090909092</v>
      </c>
      <c r="W45" s="87">
        <f t="shared" si="47"/>
        <v>24968.602877021534</v>
      </c>
      <c r="X45" s="119">
        <f>V45*'Savings Model'!$I$20*AJ45</f>
        <v>50.759280575964851</v>
      </c>
      <c r="Y45" s="180">
        <f t="shared" si="38"/>
        <v>0.18409090909090908</v>
      </c>
      <c r="Z45" s="87">
        <f t="shared" si="48"/>
        <v>69153.166588767795</v>
      </c>
      <c r="AA45" s="94">
        <f>Y45*'Savings Model'!$I$19*AK45</f>
        <v>137.23892860048858</v>
      </c>
      <c r="AB45" s="180">
        <f t="shared" si="39"/>
        <v>6.8181818181818177E-2</v>
      </c>
      <c r="AC45" s="87">
        <f t="shared" si="49"/>
        <v>5049.1090909090899</v>
      </c>
      <c r="AD45" s="94">
        <f>AB45*'Savings Model'!$I$21*AL45</f>
        <v>32.809090909090905</v>
      </c>
      <c r="AE45" s="180">
        <f t="shared" si="40"/>
        <v>2.8074866310160429E-2</v>
      </c>
      <c r="AF45" s="87">
        <f t="shared" ref="AF45:AF54" si="51">AE45*$T$33*S14</f>
        <v>11764.904160839162</v>
      </c>
      <c r="AG45" s="94">
        <f>AE45*'Savings Model'!$I$22*AM45</f>
        <v>26.803636363636365</v>
      </c>
      <c r="AI45" s="8">
        <v>2016</v>
      </c>
      <c r="AJ45" s="239">
        <v>942</v>
      </c>
      <c r="AK45" s="238">
        <v>2127</v>
      </c>
      <c r="AL45" s="238">
        <v>1203</v>
      </c>
      <c r="AM45" s="238">
        <v>2808</v>
      </c>
      <c r="AN45" s="10">
        <v>7080</v>
      </c>
      <c r="AO45" s="177"/>
      <c r="AP45" s="177"/>
      <c r="AQ45" s="12">
        <v>2016</v>
      </c>
      <c r="AR45" s="131">
        <f t="shared" si="41"/>
        <v>438531.70782119042</v>
      </c>
      <c r="AS45" s="132">
        <f t="shared" si="28"/>
        <v>1115830.7802543628</v>
      </c>
      <c r="AT45" s="132">
        <f t="shared" si="29"/>
        <v>180084.89090909087</v>
      </c>
      <c r="AU45" s="133">
        <f t="shared" si="30"/>
        <v>1220748.86506993</v>
      </c>
      <c r="AV45" s="173">
        <f t="shared" si="22"/>
        <v>2955196.2440545741</v>
      </c>
      <c r="AW45" s="131">
        <f t="shared" si="42"/>
        <v>34984.480129434822</v>
      </c>
      <c r="AX45" s="131">
        <f t="shared" si="50"/>
        <v>83.174558657227152</v>
      </c>
      <c r="AY45" s="141">
        <f t="shared" si="20"/>
        <v>1.1747819019382367E-2</v>
      </c>
      <c r="AZ45" s="157">
        <f>SUM($AX$44:AX45)*$BM$39*BM45/((1+$BM$41)^(A45-$A$44))/1000</f>
        <v>24.319361891202941</v>
      </c>
      <c r="BA45" s="3"/>
      <c r="BB45" s="131">
        <f>P14-W45</f>
        <v>424438.70481528615</v>
      </c>
      <c r="BC45" s="132">
        <f>Q14-Z45</f>
        <v>1089220.9103343089</v>
      </c>
      <c r="BD45" s="132">
        <f>R14-AC45</f>
        <v>180084.89090909087</v>
      </c>
      <c r="BE45" s="133">
        <f>S14-AF45</f>
        <v>1220748.86506993</v>
      </c>
      <c r="BF45" s="133">
        <f t="shared" si="23"/>
        <v>2914493.3711286159</v>
      </c>
      <c r="BG45" s="131">
        <f>SUM(W45,Z45,AC45,AF45)-SUM(W44,Z44,AC44,AF44)</f>
        <v>55084.573008733627</v>
      </c>
      <c r="BH45" s="15">
        <f>((AG45+X45+AA45+AD45)-(AG44+X44+AA44+AD44))</f>
        <v>123.0947699179374</v>
      </c>
      <c r="BI45" s="161">
        <f>BH45/AN44</f>
        <v>1.7559881586011041E-2</v>
      </c>
      <c r="BJ45" s="157">
        <f>SUM($BH$44:BH45)*$BM$39*BM45/((1+$BM$41)^(A45-$A$44))/1000</f>
        <v>36.038032334955851</v>
      </c>
      <c r="BK45">
        <v>2016</v>
      </c>
      <c r="BL45" s="8"/>
      <c r="BM45" s="10">
        <v>4.7</v>
      </c>
      <c r="BN45">
        <v>2016</v>
      </c>
      <c r="BO45" s="263">
        <f>K45</f>
        <v>22.368867379250748</v>
      </c>
      <c r="BP45" s="264">
        <f>$BO45*$BM$39*BM45/((1+$BM$41)^(BN45-$BN$44))/1000</f>
        <v>3.7424332018914011</v>
      </c>
      <c r="BQ45" s="263">
        <f>N45</f>
        <v>84.933338338135002</v>
      </c>
      <c r="BR45" s="264">
        <f>BQ45*$BM$39*BM45/((1+$BM$41)^(BN45-$BN$44))/1000</f>
        <v>14.209809551598271</v>
      </c>
      <c r="BS45" s="263">
        <f>X45</f>
        <v>50.759280575964851</v>
      </c>
      <c r="BT45" s="264">
        <f>BS45*$BM$39*BM45/((1+$BM$41)^(BN45-$BN$44))/1000</f>
        <v>8.4923037769816219</v>
      </c>
      <c r="BU45" s="263">
        <f>AA45</f>
        <v>137.23892860048858</v>
      </c>
      <c r="BV45" s="264">
        <f>BU45*$BM$39*BM45/((1+$BM$41)^(BN45-$BN$44))/1000</f>
        <v>22.960819351224352</v>
      </c>
    </row>
    <row r="46" spans="1:89" x14ac:dyDescent="0.25">
      <c r="A46" s="12">
        <v>2017</v>
      </c>
      <c r="B46" s="15">
        <f t="shared" si="33"/>
        <v>431011.92307692306</v>
      </c>
      <c r="C46" s="16">
        <f t="shared" si="34"/>
        <v>1123786.3846153845</v>
      </c>
      <c r="D46" s="16">
        <f t="shared" si="35"/>
        <v>184800.15384615384</v>
      </c>
      <c r="E46" s="17">
        <f t="shared" si="36"/>
        <v>1184076.8461538462</v>
      </c>
      <c r="F46" s="13">
        <f t="shared" si="21"/>
        <v>2923675.3076923075</v>
      </c>
      <c r="G46" s="4"/>
      <c r="H46" s="12">
        <v>2017</v>
      </c>
      <c r="I46" s="178">
        <f t="shared" ref="I46:I53" si="52">$I$54/11+I45</f>
        <v>0.28181818181818186</v>
      </c>
      <c r="J46" s="87">
        <f t="shared" si="43"/>
        <v>16285.671228497016</v>
      </c>
      <c r="K46" s="119">
        <f>I46*'Savings Model'!$F$20*AJ45</f>
        <v>33.410857000096179</v>
      </c>
      <c r="L46" s="178">
        <f t="shared" ref="L46:L53" si="53">$L$54/11+L45</f>
        <v>0.27500000000000002</v>
      </c>
      <c r="M46" s="87">
        <f t="shared" si="44"/>
        <v>64234.832667845432</v>
      </c>
      <c r="N46" s="94">
        <f>L46*'Savings Model'!$F$19*AK46</f>
        <v>128.4266298123629</v>
      </c>
      <c r="O46" s="178">
        <f t="shared" ref="O46:O53" si="54">$O$54/11+O45</f>
        <v>0.10227272727272727</v>
      </c>
      <c r="P46" s="87">
        <f t="shared" si="45"/>
        <v>7576.4328671328658</v>
      </c>
      <c r="Q46" s="94">
        <f>O46*'Savings Model'!$F$21*AL46</f>
        <v>49.213636363636361</v>
      </c>
      <c r="R46" s="178">
        <f t="shared" ref="R46:R53" si="55">$R$54/11+R45</f>
        <v>4.2112299465240643E-2</v>
      </c>
      <c r="S46" s="87">
        <f t="shared" si="46"/>
        <v>17888.386311188817</v>
      </c>
      <c r="T46" s="94">
        <f>R46*'Savings Model'!$F$22*AM46</f>
        <v>40.677954545454554</v>
      </c>
      <c r="U46" s="189"/>
      <c r="V46" s="180">
        <f t="shared" si="37"/>
        <v>0.28181818181818186</v>
      </c>
      <c r="W46" s="87">
        <f t="shared" si="47"/>
        <v>37389.244024137086</v>
      </c>
      <c r="X46" s="119">
        <f>V46*'Savings Model'!$I$20*AJ46</f>
        <v>75.725805700023997</v>
      </c>
      <c r="Y46" s="180">
        <f t="shared" si="38"/>
        <v>0.27500000000000002</v>
      </c>
      <c r="Z46" s="87">
        <f t="shared" si="48"/>
        <v>104412.26778619149</v>
      </c>
      <c r="AA46" s="94">
        <f>Y46*'Savings Model'!$I$19*AK46</f>
        <v>207.5172532257169</v>
      </c>
      <c r="AB46" s="180">
        <f t="shared" si="39"/>
        <v>0.10227272727272727</v>
      </c>
      <c r="AC46" s="87">
        <f t="shared" si="49"/>
        <v>7576.4328671328658</v>
      </c>
      <c r="AD46" s="94">
        <f>AB46*'Savings Model'!$I$21*AL46</f>
        <v>49.213636363636361</v>
      </c>
      <c r="AE46" s="180">
        <f t="shared" si="40"/>
        <v>4.2112299465240643E-2</v>
      </c>
      <c r="AF46" s="87">
        <f t="shared" si="51"/>
        <v>17888.386311188817</v>
      </c>
      <c r="AG46" s="94">
        <f>AE46*'Savings Model'!$I$22*AM46</f>
        <v>40.677954545454554</v>
      </c>
      <c r="AI46" s="8">
        <v>2017</v>
      </c>
      <c r="AJ46" s="239">
        <v>952</v>
      </c>
      <c r="AK46" s="238">
        <v>2153</v>
      </c>
      <c r="AL46" s="238">
        <v>1203</v>
      </c>
      <c r="AM46" s="238">
        <v>2841</v>
      </c>
      <c r="AN46" s="10">
        <v>7149</v>
      </c>
      <c r="AO46" s="177"/>
      <c r="AP46" s="177"/>
      <c r="AQ46" s="12">
        <v>2017</v>
      </c>
      <c r="AR46" s="131">
        <f t="shared" si="41"/>
        <v>439593.94415611838</v>
      </c>
      <c r="AS46" s="132">
        <f t="shared" si="28"/>
        <v>1106579.2442552312</v>
      </c>
      <c r="AT46" s="132">
        <f t="shared" si="29"/>
        <v>177625.25944055943</v>
      </c>
      <c r="AU46" s="133">
        <f t="shared" si="30"/>
        <v>1231459.2290734267</v>
      </c>
      <c r="AV46" s="173">
        <f t="shared" si="22"/>
        <v>2955257.676925336</v>
      </c>
      <c r="AW46" s="131">
        <f t="shared" si="42"/>
        <v>35752.413283084752</v>
      </c>
      <c r="AX46" s="131">
        <f t="shared" si="50"/>
        <v>84.814144731436983</v>
      </c>
      <c r="AY46" s="141">
        <f t="shared" si="20"/>
        <v>1.1863777413825287E-2</v>
      </c>
      <c r="AZ46" s="157">
        <f>SUM($AX$44:AX46)*$BM$39*BM46/((1+$BM$41)^(A46-$A$44))/1000</f>
        <v>37.376632613032335</v>
      </c>
      <c r="BA46" s="3"/>
      <c r="BB46" s="131">
        <f>P15-W46</f>
        <v>418490.37136047828</v>
      </c>
      <c r="BC46" s="132">
        <f>Q15-Z46</f>
        <v>1066401.8091368852</v>
      </c>
      <c r="BD46" s="132">
        <f>R15-AC46</f>
        <v>177625.25944055943</v>
      </c>
      <c r="BE46" s="133">
        <f>S15-AF46</f>
        <v>1231459.2290734267</v>
      </c>
      <c r="BF46" s="133">
        <f t="shared" si="23"/>
        <v>2893976.6690113498</v>
      </c>
      <c r="BG46" s="131">
        <f>SUM(W46,Z46,AC46,AF46)-SUM(W45,Z45,AC45,AF45)</f>
        <v>56330.548271112668</v>
      </c>
      <c r="BH46" s="15">
        <f>((AG46+X46+AA46+AD46)-(AG45+X45+AA45+AD45))</f>
        <v>125.52371338565109</v>
      </c>
      <c r="BI46" s="161">
        <f>BH46/AN45</f>
        <v>1.7729338048820775E-2</v>
      </c>
      <c r="BJ46" s="157">
        <f>SUM($BH$44:BH46)*$BM$39*BM46/((1+$BM$41)^(A46-$A$44))/1000</f>
        <v>55.36126018344747</v>
      </c>
      <c r="BK46">
        <v>2017</v>
      </c>
      <c r="BL46" s="8"/>
      <c r="BM46" s="10">
        <v>4.83</v>
      </c>
      <c r="BN46">
        <v>2017</v>
      </c>
      <c r="BO46" s="263">
        <f>K46</f>
        <v>33.410857000096179</v>
      </c>
      <c r="BP46" s="264">
        <f>$BO46*$BM$39*BM46/((1+$BM$41)^(BN46-$BN$44))/1000</f>
        <v>5.4254156839737036</v>
      </c>
      <c r="BQ46" s="263">
        <f>N46</f>
        <v>128.4266298123629</v>
      </c>
      <c r="BR46" s="264">
        <f>BQ46*$BM$39*BM46/((1+$BM$41)^(BN46-$BN$44))/1000</f>
        <v>20.854533950502159</v>
      </c>
      <c r="BS46" s="263">
        <f>X46</f>
        <v>75.725805700023997</v>
      </c>
      <c r="BT46" s="264">
        <f>BS46*$BM$39*BM46/((1+$BM$41)^(BN46-$BN$44))/1000</f>
        <v>12.296720611664426</v>
      </c>
      <c r="BU46" s="263">
        <f>AA46</f>
        <v>207.5172532257169</v>
      </c>
      <c r="BV46" s="264">
        <f>BU46*$BM$39*BM46/((1+$BM$41)^(BN46-$BN$44))/1000</f>
        <v>33.697649849050741</v>
      </c>
    </row>
    <row r="47" spans="1:89" x14ac:dyDescent="0.25">
      <c r="A47" s="12">
        <v>2018</v>
      </c>
      <c r="B47" s="15">
        <f t="shared" si="33"/>
        <v>431011.92307692306</v>
      </c>
      <c r="C47" s="16">
        <f t="shared" si="34"/>
        <v>1123786.3846153845</v>
      </c>
      <c r="D47" s="16">
        <f t="shared" si="35"/>
        <v>184800.15384615384</v>
      </c>
      <c r="E47" s="17">
        <f t="shared" si="36"/>
        <v>1184076.8461538462</v>
      </c>
      <c r="F47" s="13">
        <f t="shared" si="21"/>
        <v>2923675.3076923075</v>
      </c>
      <c r="G47" s="4"/>
      <c r="H47" s="12">
        <v>2018</v>
      </c>
      <c r="I47" s="178">
        <f t="shared" si="52"/>
        <v>0.3727272727272728</v>
      </c>
      <c r="J47" s="87">
        <f t="shared" si="43"/>
        <v>21830.738874995892</v>
      </c>
      <c r="K47" s="119">
        <f>I47*'Savings Model'!$F$20*AJ46</f>
        <v>44.657645723846116</v>
      </c>
      <c r="L47" s="178">
        <f t="shared" si="53"/>
        <v>0.36590909090909096</v>
      </c>
      <c r="M47" s="87">
        <f t="shared" si="44"/>
        <v>86317.524079934257</v>
      </c>
      <c r="N47" s="94">
        <f>L47*'Savings Model'!$F$19*AK47</f>
        <v>172.86594203261853</v>
      </c>
      <c r="O47" s="178">
        <f t="shared" si="54"/>
        <v>0.13636363636363635</v>
      </c>
      <c r="P47" s="87">
        <f t="shared" si="45"/>
        <v>10105.434965034963</v>
      </c>
      <c r="Q47" s="94">
        <f>O47*'Savings Model'!$F$21*AL47</f>
        <v>65.672727272727272</v>
      </c>
      <c r="R47" s="178">
        <f t="shared" si="55"/>
        <v>5.6149732620320858E-2</v>
      </c>
      <c r="S47" s="87">
        <f t="shared" si="46"/>
        <v>24182.746783216786</v>
      </c>
      <c r="T47" s="94">
        <f>R47*'Savings Model'!$F$22*AM47</f>
        <v>54.88636363636364</v>
      </c>
      <c r="U47" s="189"/>
      <c r="V47" s="180">
        <f t="shared" si="37"/>
        <v>0.3727272727272728</v>
      </c>
      <c r="W47" s="87">
        <f t="shared" si="47"/>
        <v>50119.814625520143</v>
      </c>
      <c r="X47" s="119">
        <f>V47*'Savings Model'!$I$20*AJ47</f>
        <v>101.31072060362048</v>
      </c>
      <c r="Y47" s="180">
        <f t="shared" si="38"/>
        <v>0.36590909090909096</v>
      </c>
      <c r="Z47" s="87">
        <f t="shared" si="48"/>
        <v>140307.18326112561</v>
      </c>
      <c r="AA47" s="94">
        <f>Y47*'Savings Model'!$I$19*AK47</f>
        <v>279.32419872184278</v>
      </c>
      <c r="AB47" s="180">
        <f t="shared" si="39"/>
        <v>0.13636363636363635</v>
      </c>
      <c r="AC47" s="87">
        <f t="shared" si="49"/>
        <v>10105.434965034963</v>
      </c>
      <c r="AD47" s="94">
        <f>AB47*'Savings Model'!$I$21*AL47</f>
        <v>65.672727272727272</v>
      </c>
      <c r="AE47" s="180">
        <f t="shared" si="40"/>
        <v>5.6149732620320858E-2</v>
      </c>
      <c r="AF47" s="87">
        <f t="shared" si="51"/>
        <v>24182.746783216786</v>
      </c>
      <c r="AG47" s="94">
        <f>AE47*'Savings Model'!$I$22*AM47</f>
        <v>54.88636363636364</v>
      </c>
      <c r="AI47" s="8">
        <v>2018</v>
      </c>
      <c r="AJ47" s="239">
        <v>963</v>
      </c>
      <c r="AK47" s="238">
        <v>2178</v>
      </c>
      <c r="AL47" s="238">
        <v>1204</v>
      </c>
      <c r="AM47" s="238">
        <v>2875</v>
      </c>
      <c r="AN47" s="10">
        <v>7220</v>
      </c>
      <c r="AO47" s="177"/>
      <c r="AP47" s="177"/>
      <c r="AQ47" s="12">
        <v>2018</v>
      </c>
      <c r="AR47" s="131">
        <f t="shared" si="41"/>
        <v>440221.18420192716</v>
      </c>
      <c r="AS47" s="132">
        <f t="shared" si="28"/>
        <v>1096113.4759200655</v>
      </c>
      <c r="AT47" s="132">
        <f t="shared" si="29"/>
        <v>175160.87272727268</v>
      </c>
      <c r="AU47" s="133">
        <f t="shared" si="30"/>
        <v>1242532.560909091</v>
      </c>
      <c r="AV47" s="173">
        <f t="shared" si="22"/>
        <v>2954028.0937583563</v>
      </c>
      <c r="AW47" s="131">
        <f t="shared" si="42"/>
        <v>36451.121628517751</v>
      </c>
      <c r="AX47" s="131">
        <f t="shared" si="50"/>
        <v>86.353600944005535</v>
      </c>
      <c r="AY47" s="141">
        <f t="shared" si="20"/>
        <v>1.1960332540720988E-2</v>
      </c>
      <c r="AZ47" s="157">
        <f>SUM($AX$44:AX47)*$BM$39*BM47/((1+$BM$41)^(A47-$A$44))/1000</f>
        <v>50.253329623773716</v>
      </c>
      <c r="BA47" s="3"/>
      <c r="BB47" s="131">
        <f>P16-W47</f>
        <v>411932.10845140292</v>
      </c>
      <c r="BC47" s="132">
        <f>Q16-Z47</f>
        <v>1042123.8167388742</v>
      </c>
      <c r="BD47" s="132">
        <f>R16-AC47</f>
        <v>175160.87272727268</v>
      </c>
      <c r="BE47" s="133">
        <f>S16-AF47</f>
        <v>1242532.560909091</v>
      </c>
      <c r="BF47" s="133">
        <f t="shared" si="23"/>
        <v>2871749.358826641</v>
      </c>
      <c r="BG47" s="131">
        <f>SUM(W47,Z47,AC47,AF47)-SUM(W46,Z46,AC46,AF46)</f>
        <v>57448.848646247265</v>
      </c>
      <c r="BH47" s="15">
        <f>((AG47+X47+AA47+AD47)-(AG46+X46+AA46+AD46))</f>
        <v>128.05936039972238</v>
      </c>
      <c r="BI47" s="161">
        <f>BH47/AN46</f>
        <v>1.791290535735381E-2</v>
      </c>
      <c r="BJ47" s="157">
        <f>SUM($BH$44:BH47)*$BM$39*BM47/((1+$BM$41)^(A47-$A$44))/1000</f>
        <v>74.458443090737205</v>
      </c>
      <c r="BK47">
        <v>2018</v>
      </c>
      <c r="BL47" s="8"/>
      <c r="BM47" s="10">
        <v>5</v>
      </c>
      <c r="BN47">
        <v>2018</v>
      </c>
      <c r="BO47" s="263">
        <f>K47</f>
        <v>44.657645723846116</v>
      </c>
      <c r="BP47" s="264">
        <f>$BO47*$BM$39*BM47/((1+$BM$41)^(BN47-$BN$44))/1000</f>
        <v>7.0900642041683071</v>
      </c>
      <c r="BQ47" s="263">
        <f>N47</f>
        <v>172.86594203261853</v>
      </c>
      <c r="BR47" s="264">
        <f>BQ47*$BM$39*BM47/((1+$BM$41)^(BN47-$BN$44))/1000</f>
        <v>27.445034503259649</v>
      </c>
      <c r="BS47" s="263">
        <f>X47</f>
        <v>101.31072060362048</v>
      </c>
      <c r="BT47" s="264">
        <f>BS47*$BM$39*BM47/((1+$BM$41)^(BN47-$BN$44))/1000</f>
        <v>16.084580859726589</v>
      </c>
      <c r="BU47" s="263">
        <f>AA47</f>
        <v>279.32419872184278</v>
      </c>
      <c r="BV47" s="264">
        <f>BU47*$BM$39*BM47/((1+$BM$41)^(BN47-$BN$44))/1000</f>
        <v>44.346863132066808</v>
      </c>
    </row>
    <row r="48" spans="1:89" x14ac:dyDescent="0.25">
      <c r="A48" s="12">
        <v>2019</v>
      </c>
      <c r="B48" s="15">
        <f t="shared" si="33"/>
        <v>431011.92307692306</v>
      </c>
      <c r="C48" s="16">
        <f t="shared" si="34"/>
        <v>1123786.3846153845</v>
      </c>
      <c r="D48" s="16">
        <f t="shared" si="35"/>
        <v>184800.15384615384</v>
      </c>
      <c r="E48" s="17">
        <f t="shared" si="36"/>
        <v>1184076.8461538462</v>
      </c>
      <c r="F48" s="13">
        <f t="shared" si="21"/>
        <v>2923675.3076923075</v>
      </c>
      <c r="G48" s="4"/>
      <c r="H48" s="12">
        <v>2019</v>
      </c>
      <c r="I48" s="178">
        <f t="shared" si="52"/>
        <v>0.46363636363636374</v>
      </c>
      <c r="J48" s="87">
        <f t="shared" si="43"/>
        <v>27513.541917143408</v>
      </c>
      <c r="K48" s="119">
        <f>I48*'Savings Model'!$F$20*AJ47</f>
        <v>56.191610843288956</v>
      </c>
      <c r="L48" s="178">
        <f t="shared" si="53"/>
        <v>0.4568181818181819</v>
      </c>
      <c r="M48" s="87">
        <f t="shared" si="44"/>
        <v>108821.45962192384</v>
      </c>
      <c r="N48" s="94">
        <f>L48*'Savings Model'!$F$19*AK48</f>
        <v>218.2912060465456</v>
      </c>
      <c r="O48" s="178">
        <f t="shared" si="54"/>
        <v>0.17045454545454544</v>
      </c>
      <c r="P48" s="87">
        <f t="shared" si="45"/>
        <v>12636.094405594404</v>
      </c>
      <c r="Q48" s="94">
        <f>O48*'Savings Model'!$F$21*AL48</f>
        <v>82.090909090909079</v>
      </c>
      <c r="R48" s="178">
        <f t="shared" si="55"/>
        <v>7.0187165775401072E-2</v>
      </c>
      <c r="S48" s="87">
        <f t="shared" si="46"/>
        <v>30645.202709790214</v>
      </c>
      <c r="T48" s="94">
        <f>R48*'Savings Model'!$F$22*AM48</f>
        <v>69.419318181818184</v>
      </c>
      <c r="U48" s="189"/>
      <c r="V48" s="180">
        <f t="shared" si="37"/>
        <v>0.46363636363636374</v>
      </c>
      <c r="W48" s="87">
        <f t="shared" si="47"/>
        <v>63166.603222858859</v>
      </c>
      <c r="X48" s="119">
        <f>V48*'Savings Model'!$I$20*AJ48</f>
        <v>127.46014070015561</v>
      </c>
      <c r="Y48" s="180">
        <f t="shared" si="38"/>
        <v>0.4568181818181819</v>
      </c>
      <c r="Z48" s="87">
        <f t="shared" si="48"/>
        <v>176886.82154248463</v>
      </c>
      <c r="AA48" s="94">
        <f>Y48*'Savings Model'!$I$19*AK48</f>
        <v>352.72428738722107</v>
      </c>
      <c r="AB48" s="180">
        <f t="shared" si="39"/>
        <v>0.17045454545454544</v>
      </c>
      <c r="AC48" s="87">
        <f t="shared" si="49"/>
        <v>12636.094405594404</v>
      </c>
      <c r="AD48" s="94">
        <f>AB48*'Savings Model'!$I$21*AL48</f>
        <v>82.090909090909079</v>
      </c>
      <c r="AE48" s="180">
        <f t="shared" si="40"/>
        <v>7.0187165775401072E-2</v>
      </c>
      <c r="AF48" s="87">
        <f t="shared" si="51"/>
        <v>30645.202709790214</v>
      </c>
      <c r="AG48" s="94">
        <f>AE48*'Savings Model'!$I$22*AM48</f>
        <v>69.419318181818184</v>
      </c>
      <c r="AI48" s="8">
        <v>2019</v>
      </c>
      <c r="AJ48" s="239">
        <v>974</v>
      </c>
      <c r="AK48" s="238">
        <v>2203</v>
      </c>
      <c r="AL48" s="238">
        <v>1204</v>
      </c>
      <c r="AM48" s="238">
        <v>2909</v>
      </c>
      <c r="AN48" s="10">
        <v>7290</v>
      </c>
      <c r="AO48" s="177"/>
      <c r="AP48" s="177"/>
      <c r="AQ48" s="12">
        <v>2019</v>
      </c>
      <c r="AR48" s="131">
        <f t="shared" si="41"/>
        <v>440633.7657751643</v>
      </c>
      <c r="AS48" s="132">
        <f t="shared" si="28"/>
        <v>1085224.9249934605</v>
      </c>
      <c r="AT48" s="132">
        <f t="shared" si="29"/>
        <v>172693.2902097902</v>
      </c>
      <c r="AU48" s="133">
        <f t="shared" si="30"/>
        <v>1253534.7203671329</v>
      </c>
      <c r="AV48" s="173">
        <f t="shared" si="22"/>
        <v>2952086.701345548</v>
      </c>
      <c r="AW48" s="131">
        <f t="shared" si="42"/>
        <v>37179.853951269964</v>
      </c>
      <c r="AX48" s="131">
        <f t="shared" si="50"/>
        <v>87.910365497006296</v>
      </c>
      <c r="AY48" s="141">
        <f t="shared" si="20"/>
        <v>1.2059035047600315E-2</v>
      </c>
      <c r="AZ48" s="157">
        <f>SUM($AX$44:AX48)*$BM$39*BM48/((1+$BM$41)^(A48-$A$44))/1000</f>
        <v>63.070288428858639</v>
      </c>
      <c r="BA48" s="3"/>
      <c r="BB48" s="131">
        <f>P17-W48</f>
        <v>404980.70446944883</v>
      </c>
      <c r="BC48" s="132">
        <f>Q17-Z48</f>
        <v>1017159.5630728996</v>
      </c>
      <c r="BD48" s="132">
        <f>R17-AC48</f>
        <v>172693.2902097902</v>
      </c>
      <c r="BE48" s="133">
        <f>S17-AF48</f>
        <v>1253534.7203671329</v>
      </c>
      <c r="BF48" s="133">
        <f t="shared" si="23"/>
        <v>2848368.2781192716</v>
      </c>
      <c r="BG48" s="131">
        <f>SUM(W48,Z48,AC48,AF48)-SUM(W47,Z47,AC47,AF47)</f>
        <v>58619.542245830584</v>
      </c>
      <c r="BH48" s="15">
        <f>((AG48+X48+AA48+AD48)-(AG47+X47+AA47+AD47))</f>
        <v>130.5006451255498</v>
      </c>
      <c r="BI48" s="161">
        <f>BH48/AN47</f>
        <v>1.8074881596336537E-2</v>
      </c>
      <c r="BJ48" s="157">
        <f>SUM($BH$44:BH48)*$BM$39*BM48/((1+$BM$41)^(A48-$A$44))/1000</f>
        <v>93.487393375834657</v>
      </c>
      <c r="BK48">
        <v>2019</v>
      </c>
      <c r="BL48" s="8"/>
      <c r="BM48" s="10">
        <v>5.2</v>
      </c>
      <c r="BN48">
        <v>2019</v>
      </c>
      <c r="BO48" s="263">
        <f>K48</f>
        <v>56.191610843288956</v>
      </c>
      <c r="BP48" s="264">
        <f>$BO48*$BM$39*BM48/((1+$BM$41)^(BN48-$BN$44))/1000</f>
        <v>8.7628470767626325</v>
      </c>
      <c r="BQ48" s="263">
        <f>N48</f>
        <v>218.2912060465456</v>
      </c>
      <c r="BR48" s="264">
        <f>BQ48*$BM$39*BM48/((1+$BM$41)^(BN48-$BN$44))/1000</f>
        <v>34.041602084030956</v>
      </c>
      <c r="BS48" s="263">
        <f>X48</f>
        <v>127.46014070015561</v>
      </c>
      <c r="BT48" s="264">
        <f>BS48*$BM$39*BM48/((1+$BM$41)^(BN48-$BN$44))/1000</f>
        <v>19.876876718359949</v>
      </c>
      <c r="BU48" s="263">
        <f>AA48</f>
        <v>352.72428738722107</v>
      </c>
      <c r="BV48" s="264">
        <f>BU48*$BM$39*BM48/((1+$BM$41)^(BN48-$BN$44))/1000</f>
        <v>55.005879778999791</v>
      </c>
    </row>
    <row r="49" spans="1:74" x14ac:dyDescent="0.25">
      <c r="A49" s="12">
        <v>2020</v>
      </c>
      <c r="B49" s="15">
        <f t="shared" si="33"/>
        <v>431011.92307692306</v>
      </c>
      <c r="C49" s="16">
        <f t="shared" si="34"/>
        <v>1123786.3846153845</v>
      </c>
      <c r="D49" s="16">
        <f t="shared" si="35"/>
        <v>184800.15384615384</v>
      </c>
      <c r="E49" s="17">
        <f t="shared" si="36"/>
        <v>1184076.8461538462</v>
      </c>
      <c r="F49" s="13">
        <f t="shared" si="21"/>
        <v>2923675.3076923075</v>
      </c>
      <c r="G49" s="4"/>
      <c r="H49" s="12">
        <v>2020</v>
      </c>
      <c r="I49" s="178">
        <f t="shared" si="52"/>
        <v>0.55454545454545467</v>
      </c>
      <c r="J49" s="87">
        <f t="shared" si="43"/>
        <v>33335.638720401977</v>
      </c>
      <c r="K49" s="119">
        <f>I49*'Savings Model'!$F$20*AJ48</f>
        <v>67.977284357363018</v>
      </c>
      <c r="L49" s="178">
        <f t="shared" si="53"/>
        <v>0.54772727272727284</v>
      </c>
      <c r="M49" s="87">
        <f t="shared" si="44"/>
        <v>131740.67163550633</v>
      </c>
      <c r="N49" s="94">
        <f>L49*'Savings Model'!$F$19*AK49</f>
        <v>264.82122904528154</v>
      </c>
      <c r="O49" s="178">
        <f t="shared" si="54"/>
        <v>0.20454545454545453</v>
      </c>
      <c r="P49" s="87">
        <f t="shared" si="45"/>
        <v>15168.34825174825</v>
      </c>
      <c r="Q49" s="94">
        <f>O49*'Savings Model'!$F$21*AL49</f>
        <v>98.509090909090915</v>
      </c>
      <c r="R49" s="178">
        <f t="shared" si="55"/>
        <v>8.4224598930481287E-2</v>
      </c>
      <c r="S49" s="87">
        <f t="shared" si="46"/>
        <v>37279.741153846167</v>
      </c>
      <c r="T49" s="94">
        <f>R49*'Savings Model'!$F$22*AM49</f>
        <v>84.2768181818182</v>
      </c>
      <c r="U49" s="189"/>
      <c r="V49" s="180">
        <f t="shared" si="37"/>
        <v>0.55454545454545467</v>
      </c>
      <c r="W49" s="87">
        <f t="shared" si="47"/>
        <v>76533.187568997149</v>
      </c>
      <c r="X49" s="119">
        <f>V49*'Savings Model'!$I$20*AJ49</f>
        <v>154.01754409522368</v>
      </c>
      <c r="Y49" s="180">
        <f t="shared" si="38"/>
        <v>0.54772727272727284</v>
      </c>
      <c r="Z49" s="87">
        <f t="shared" si="48"/>
        <v>214141.48233665182</v>
      </c>
      <c r="AA49" s="94">
        <f>Y49*'Savings Model'!$I$19*AK49</f>
        <v>427.90949297374658</v>
      </c>
      <c r="AB49" s="180">
        <f t="shared" si="39"/>
        <v>0.20454545454545453</v>
      </c>
      <c r="AC49" s="87">
        <f t="shared" si="49"/>
        <v>15168.34825174825</v>
      </c>
      <c r="AD49" s="94">
        <f>AB49*'Savings Model'!$I$21*AL49</f>
        <v>98.509090909090915</v>
      </c>
      <c r="AE49" s="180">
        <f t="shared" si="40"/>
        <v>8.4224598930481287E-2</v>
      </c>
      <c r="AF49" s="87">
        <f t="shared" si="51"/>
        <v>37279.741153846167</v>
      </c>
      <c r="AG49" s="94">
        <f>AE49*'Savings Model'!$I$22*AM49</f>
        <v>84.2768181818182</v>
      </c>
      <c r="AI49" s="8">
        <v>2020</v>
      </c>
      <c r="AJ49" s="239">
        <v>984</v>
      </c>
      <c r="AK49" s="238">
        <v>2229</v>
      </c>
      <c r="AL49" s="238">
        <v>1204</v>
      </c>
      <c r="AM49" s="238">
        <v>2943</v>
      </c>
      <c r="AN49" s="10">
        <v>7360</v>
      </c>
      <c r="AO49" s="177"/>
      <c r="AP49" s="177"/>
      <c r="AQ49" s="12">
        <v>2020</v>
      </c>
      <c r="AR49" s="131">
        <f t="shared" si="41"/>
        <v>440890.13051036728</v>
      </c>
      <c r="AS49" s="132">
        <f t="shared" si="28"/>
        <v>1073865.7129798778</v>
      </c>
      <c r="AT49" s="132">
        <f t="shared" si="29"/>
        <v>170222.57482517482</v>
      </c>
      <c r="AU49" s="133">
        <f t="shared" si="30"/>
        <v>1264552.4896153847</v>
      </c>
      <c r="AV49" s="173">
        <f t="shared" si="22"/>
        <v>2949530.9079308044</v>
      </c>
      <c r="AW49" s="131">
        <f t="shared" si="42"/>
        <v>37908.101107050868</v>
      </c>
      <c r="AX49" s="131">
        <f t="shared" si="50"/>
        <v>89.591378330991859</v>
      </c>
      <c r="AY49" s="141">
        <f t="shared" si="20"/>
        <v>1.2172741621058676E-2</v>
      </c>
      <c r="AZ49" s="157">
        <f>SUM($AX$44:AX49)*$BM$39*BM49/((1+$BM$41)^(A49-$A$44))/1000</f>
        <v>73.882646908564567</v>
      </c>
      <c r="BA49" s="3"/>
      <c r="BB49" s="131">
        <f>P18-W49</f>
        <v>397692.5816617721</v>
      </c>
      <c r="BC49" s="132">
        <f>Q18-Z49</f>
        <v>991464.90227873251</v>
      </c>
      <c r="BD49" s="132">
        <f>R18-AC49</f>
        <v>170222.57482517482</v>
      </c>
      <c r="BE49" s="133">
        <f>S18-AF49</f>
        <v>1264552.4896153847</v>
      </c>
      <c r="BF49" s="133">
        <f t="shared" si="23"/>
        <v>2823932.5483810641</v>
      </c>
      <c r="BG49" s="131">
        <f>SUM(W49,Z49,AC49,AF49)-SUM(W48,Z48,AC48,AF48)</f>
        <v>59788.03743051528</v>
      </c>
      <c r="BH49" s="15">
        <f>((AG49+X49+AA49+AD49)-(AG48+X48+AA48+AD48))</f>
        <v>133.0182907997754</v>
      </c>
      <c r="BI49" s="161">
        <f>BH49/AN48</f>
        <v>1.824667912205424E-2</v>
      </c>
      <c r="BJ49" s="157">
        <f>SUM($BH$44:BH49)*$BM$39*BM49/((1+$BM$41)^(A49-$A$44))/1000</f>
        <v>109.5470731157943</v>
      </c>
      <c r="BK49">
        <v>2020</v>
      </c>
      <c r="BL49" s="8"/>
      <c r="BM49" s="10">
        <v>5.28</v>
      </c>
      <c r="BN49">
        <v>2020</v>
      </c>
      <c r="BO49" s="263">
        <f>K49</f>
        <v>67.977284357363018</v>
      </c>
      <c r="BP49" s="264">
        <f>$BO49*$BM$39*BM49/((1+$BM$41)^(BN49-$BN$44))/1000</f>
        <v>10.166096027838043</v>
      </c>
      <c r="BQ49" s="263">
        <f>N49</f>
        <v>264.82122904528154</v>
      </c>
      <c r="BR49" s="264">
        <f>BQ49*$BM$39*BM49/((1+$BM$41)^(BN49-$BN$44))/1000</f>
        <v>39.604377699633964</v>
      </c>
      <c r="BS49" s="263">
        <f>X49</f>
        <v>154.01754409522368</v>
      </c>
      <c r="BT49" s="264">
        <f>BS49*$BM$39*BM49/((1+$BM$41)^(BN49-$BN$44))/1000</f>
        <v>23.033534776301014</v>
      </c>
      <c r="BU49" s="263">
        <f>AA49</f>
        <v>427.90949297374658</v>
      </c>
      <c r="BV49" s="264">
        <f>BU49*$BM$39*BM49/((1+$BM$41)^(BN49-$BN$44))/1000</f>
        <v>63.994451056993469</v>
      </c>
    </row>
    <row r="50" spans="1:74" x14ac:dyDescent="0.25">
      <c r="A50" s="12">
        <v>2021</v>
      </c>
      <c r="B50" s="15">
        <f t="shared" si="33"/>
        <v>431011.92307692306</v>
      </c>
      <c r="C50" s="16">
        <f t="shared" si="34"/>
        <v>1123786.3846153845</v>
      </c>
      <c r="D50" s="16">
        <f t="shared" si="35"/>
        <v>184800.15384615384</v>
      </c>
      <c r="E50" s="17">
        <f t="shared" si="36"/>
        <v>1184076.8461538462</v>
      </c>
      <c r="F50" s="13">
        <f t="shared" si="21"/>
        <v>2923675.3076923075</v>
      </c>
      <c r="G50" s="4"/>
      <c r="H50" s="12">
        <v>2021</v>
      </c>
      <c r="I50" s="178">
        <f t="shared" si="52"/>
        <v>0.64545454545454561</v>
      </c>
      <c r="J50" s="87">
        <f t="shared" si="43"/>
        <v>39292.038614945996</v>
      </c>
      <c r="K50" s="119">
        <f>I50*'Savings Model'!$F$20*AJ49</f>
        <v>79.933433102346413</v>
      </c>
      <c r="L50" s="178">
        <f t="shared" si="53"/>
        <v>0.63863636363636378</v>
      </c>
      <c r="M50" s="87">
        <f t="shared" si="44"/>
        <v>155088.21991014289</v>
      </c>
      <c r="N50" s="94">
        <f>L50*'Savings Model'!$F$19*AK50</f>
        <v>312.23811568242485</v>
      </c>
      <c r="O50" s="178">
        <f t="shared" si="54"/>
        <v>0.23863636363636362</v>
      </c>
      <c r="P50" s="87">
        <f t="shared" si="45"/>
        <v>17704.336363636365</v>
      </c>
      <c r="Q50" s="94">
        <f>O50*'Savings Model'!$F$21*AL50</f>
        <v>114.92727272727274</v>
      </c>
      <c r="R50" s="178">
        <f t="shared" si="55"/>
        <v>9.8262032085561501E-2</v>
      </c>
      <c r="S50" s="87">
        <f t="shared" si="46"/>
        <v>44090.128898601419</v>
      </c>
      <c r="T50" s="94">
        <f>R50*'Savings Model'!$F$22*AM50</f>
        <v>99.492272727272749</v>
      </c>
      <c r="U50" s="189"/>
      <c r="V50" s="180">
        <f t="shared" si="37"/>
        <v>0.64545454545454561</v>
      </c>
      <c r="W50" s="87">
        <f t="shared" si="47"/>
        <v>90208.109900276701</v>
      </c>
      <c r="X50" s="119">
        <f>V50*'Savings Model'!$I$20*AJ50</f>
        <v>181.27031525068435</v>
      </c>
      <c r="Y50" s="180">
        <f t="shared" si="38"/>
        <v>0.63863636363636378</v>
      </c>
      <c r="Z50" s="87">
        <f t="shared" si="48"/>
        <v>252092.39403604006</v>
      </c>
      <c r="AA50" s="94">
        <f>Y50*'Savings Model'!$I$19*AK50</f>
        <v>504.52773084101455</v>
      </c>
      <c r="AB50" s="180">
        <f t="shared" si="39"/>
        <v>0.23863636363636362</v>
      </c>
      <c r="AC50" s="87">
        <f t="shared" si="49"/>
        <v>17704.336363636365</v>
      </c>
      <c r="AD50" s="94">
        <f>AB50*'Savings Model'!$I$21*AL50</f>
        <v>114.92727272727274</v>
      </c>
      <c r="AE50" s="180">
        <f t="shared" si="40"/>
        <v>9.8262032085561501E-2</v>
      </c>
      <c r="AF50" s="87">
        <f t="shared" si="51"/>
        <v>44090.128898601419</v>
      </c>
      <c r="AG50" s="94">
        <f>AE50*'Savings Model'!$I$22*AM50</f>
        <v>99.492272727272749</v>
      </c>
      <c r="AI50" s="8">
        <v>2021</v>
      </c>
      <c r="AJ50" s="239">
        <v>995</v>
      </c>
      <c r="AK50" s="238">
        <v>2254</v>
      </c>
      <c r="AL50" s="238">
        <v>1204</v>
      </c>
      <c r="AM50" s="238">
        <v>2978</v>
      </c>
      <c r="AN50" s="10">
        <v>7431</v>
      </c>
      <c r="AO50" s="177"/>
      <c r="AP50" s="177"/>
      <c r="AQ50" s="12">
        <v>2021</v>
      </c>
      <c r="AR50" s="131">
        <f t="shared" si="41"/>
        <v>440941.42292351555</v>
      </c>
      <c r="AS50" s="132">
        <f t="shared" si="28"/>
        <v>1062148.9339360106</v>
      </c>
      <c r="AT50" s="132">
        <f t="shared" si="29"/>
        <v>167769.66363636364</v>
      </c>
      <c r="AU50" s="133">
        <f t="shared" si="30"/>
        <v>1275614.4095629372</v>
      </c>
      <c r="AV50" s="173">
        <f t="shared" si="22"/>
        <v>2946474.4300588267</v>
      </c>
      <c r="AW50" s="131">
        <f t="shared" si="42"/>
        <v>38650.324025823968</v>
      </c>
      <c r="AX50" s="131">
        <f t="shared" si="50"/>
        <v>91.006671745763128</v>
      </c>
      <c r="AY50" s="141">
        <f t="shared" si="20"/>
        <v>1.2246894327245744E-2</v>
      </c>
      <c r="AZ50" s="157">
        <f>SUM($AX$44:AX50)*$BM$39*BM50/((1+$BM$41)^(A50-$A$44))/1000</f>
        <v>83.259958224148306</v>
      </c>
      <c r="BA50" s="3"/>
      <c r="BB50" s="131">
        <f>P19-W50</f>
        <v>390025.35163818486</v>
      </c>
      <c r="BC50" s="132">
        <f>Q19-Z50</f>
        <v>965144.75981011346</v>
      </c>
      <c r="BD50" s="132">
        <f>R19-AC50</f>
        <v>167769.66363636364</v>
      </c>
      <c r="BE50" s="133">
        <f>S19-AF50</f>
        <v>1275614.4095629372</v>
      </c>
      <c r="BF50" s="133">
        <f t="shared" si="23"/>
        <v>2798554.1846475992</v>
      </c>
      <c r="BG50" s="131">
        <f>SUM(W50,Z50,AC50,AF50)-SUM(W49,Z49,AC49,AF49)</f>
        <v>60972.209887311154</v>
      </c>
      <c r="BH50" s="15">
        <f>((AG50+X50+AA50+AD50)-(AG49+X49+AA49+AD49))</f>
        <v>135.50464538636504</v>
      </c>
      <c r="BI50" s="161">
        <f>BH50/AN49</f>
        <v>1.8410957253582206E-2</v>
      </c>
      <c r="BJ50" s="157">
        <f>SUM($BH$44:BH50)*$BM$39*BM50/((1+$BM$41)^(A50-$A$44))/1000</f>
        <v>123.53173649496649</v>
      </c>
      <c r="BK50">
        <v>2021</v>
      </c>
      <c r="BL50" s="8"/>
      <c r="BM50" s="10">
        <v>5.32</v>
      </c>
      <c r="BN50">
        <v>2021</v>
      </c>
      <c r="BO50" s="263">
        <f>K50</f>
        <v>79.933433102346413</v>
      </c>
      <c r="BP50" s="264">
        <f>$BO50*$BM$39*BM50/((1+$BM$41)^(BN50-$BN$44))/1000</f>
        <v>11.375818126994462</v>
      </c>
      <c r="BQ50" s="263">
        <f>N50</f>
        <v>312.23811568242485</v>
      </c>
      <c r="BR50" s="264">
        <f>BQ50*$BM$39*BM50/((1+$BM$41)^(BN50-$BN$44))/1000</f>
        <v>44.436525224317627</v>
      </c>
      <c r="BS50" s="263">
        <f>X50</f>
        <v>181.27031525068435</v>
      </c>
      <c r="BT50" s="264">
        <f>BS50*$BM$39*BM50/((1+$BM$41)^(BN50-$BN$44))/1000</f>
        <v>25.797692630997521</v>
      </c>
      <c r="BU50" s="263">
        <f>AA50</f>
        <v>504.52773084101455</v>
      </c>
      <c r="BV50" s="264">
        <f>BU50*$BM$39*BM50/((1+$BM$41)^(BN50-$BN$44))/1000</f>
        <v>71.802442148629765</v>
      </c>
    </row>
    <row r="51" spans="1:74" x14ac:dyDescent="0.25">
      <c r="A51" s="12">
        <v>2022</v>
      </c>
      <c r="B51" s="15">
        <f t="shared" si="33"/>
        <v>431011.92307692306</v>
      </c>
      <c r="C51" s="16">
        <f t="shared" si="34"/>
        <v>1123786.3846153845</v>
      </c>
      <c r="D51" s="16">
        <f t="shared" si="35"/>
        <v>184800.15384615384</v>
      </c>
      <c r="E51" s="17">
        <f t="shared" si="36"/>
        <v>1184076.8461538462</v>
      </c>
      <c r="F51" s="13">
        <f t="shared" si="21"/>
        <v>2923675.3076923075</v>
      </c>
      <c r="G51" s="4"/>
      <c r="H51" s="12">
        <v>2022</v>
      </c>
      <c r="I51" s="178">
        <f t="shared" si="52"/>
        <v>0.73636363636363655</v>
      </c>
      <c r="J51" s="87">
        <f t="shared" si="43"/>
        <v>45384.603129484844</v>
      </c>
      <c r="K51" s="119">
        <f>I51*'Savings Model'!$F$20*AJ50</f>
        <v>92.211082115017888</v>
      </c>
      <c r="L51" s="178">
        <f t="shared" si="53"/>
        <v>0.72954545454545472</v>
      </c>
      <c r="M51" s="87">
        <f t="shared" si="44"/>
        <v>178863.47663841356</v>
      </c>
      <c r="N51" s="94">
        <f>L51*'Savings Model'!$F$19*AK51</f>
        <v>360.79919937612391</v>
      </c>
      <c r="O51" s="178">
        <f t="shared" si="54"/>
        <v>0.27272727272727271</v>
      </c>
      <c r="P51" s="87">
        <f t="shared" si="45"/>
        <v>20242.422377622377</v>
      </c>
      <c r="Q51" s="94">
        <f>O51*'Savings Model'!$F$21*AL51</f>
        <v>131.34545454545454</v>
      </c>
      <c r="R51" s="178">
        <f t="shared" si="55"/>
        <v>0.11229946524064172</v>
      </c>
      <c r="S51" s="87">
        <f t="shared" si="46"/>
        <v>51079.985874125894</v>
      </c>
      <c r="T51" s="94">
        <f>R51*'Savings Model'!$F$22*AM51</f>
        <v>115.04181818181819</v>
      </c>
      <c r="U51" s="189"/>
      <c r="V51" s="180">
        <f t="shared" si="37"/>
        <v>0.73636363636363655</v>
      </c>
      <c r="W51" s="87">
        <f t="shared" si="47"/>
        <v>104195.64398289334</v>
      </c>
      <c r="X51" s="119">
        <f>V51*'Savings Model'!$I$20*AJ51</f>
        <v>208.87975105077442</v>
      </c>
      <c r="Y51" s="180">
        <f t="shared" si="38"/>
        <v>0.72954545454545472</v>
      </c>
      <c r="Z51" s="87">
        <f t="shared" si="48"/>
        <v>290738.53615388664</v>
      </c>
      <c r="AA51" s="94">
        <f>Y51*'Savings Model'!$I$19*AK51</f>
        <v>582.99481135619999</v>
      </c>
      <c r="AB51" s="180">
        <f t="shared" si="39"/>
        <v>0.27272727272727271</v>
      </c>
      <c r="AC51" s="87">
        <f t="shared" si="49"/>
        <v>20242.422377622377</v>
      </c>
      <c r="AD51" s="94">
        <f>AB51*'Savings Model'!$I$21*AL51</f>
        <v>131.34545454545454</v>
      </c>
      <c r="AE51" s="180">
        <f t="shared" si="40"/>
        <v>0.11229946524064172</v>
      </c>
      <c r="AF51" s="87">
        <f t="shared" si="51"/>
        <v>51079.985874125894</v>
      </c>
      <c r="AG51" s="94">
        <f>AE51*'Savings Model'!$I$22*AM51</f>
        <v>115.04181818181819</v>
      </c>
      <c r="AI51" s="8">
        <v>2022</v>
      </c>
      <c r="AJ51" s="239">
        <v>1005</v>
      </c>
      <c r="AK51" s="238">
        <v>2280</v>
      </c>
      <c r="AL51" s="238">
        <v>1204</v>
      </c>
      <c r="AM51" s="238">
        <v>3013</v>
      </c>
      <c r="AN51" s="10">
        <v>7502</v>
      </c>
      <c r="AO51" s="177"/>
      <c r="AP51" s="177"/>
      <c r="AQ51" s="12">
        <v>2022</v>
      </c>
      <c r="AR51" s="131">
        <f t="shared" si="41"/>
        <v>440831.93533205363</v>
      </c>
      <c r="AS51" s="132">
        <f t="shared" si="28"/>
        <v>1050044.4464385093</v>
      </c>
      <c r="AT51" s="132">
        <f t="shared" si="29"/>
        <v>165313.1160839161</v>
      </c>
      <c r="AU51" s="133">
        <f t="shared" si="30"/>
        <v>1286729.1679720283</v>
      </c>
      <c r="AV51" s="173">
        <f t="shared" si="22"/>
        <v>2942918.6658265069</v>
      </c>
      <c r="AW51" s="131">
        <f t="shared" si="42"/>
        <v>39395.764232319983</v>
      </c>
      <c r="AX51" s="131">
        <f t="shared" si="50"/>
        <v>92.806459979097667</v>
      </c>
      <c r="AY51" s="141">
        <f t="shared" si="20"/>
        <v>1.237089575834413E-2</v>
      </c>
      <c r="AZ51" s="157">
        <f>SUM($AX$44:AX51)*$BM$39*BM51/((1+$BM$41)^(A51-$A$44))/1000</f>
        <v>92.480600463404429</v>
      </c>
      <c r="BA51" s="3"/>
      <c r="BB51" s="131">
        <f>P20-W51</f>
        <v>382020.89447864518</v>
      </c>
      <c r="BC51" s="132">
        <f>Q20-Z51</f>
        <v>938169.38692303607</v>
      </c>
      <c r="BD51" s="132">
        <f>R20-AC51</f>
        <v>165313.1160839161</v>
      </c>
      <c r="BE51" s="133">
        <f>S20-AF51</f>
        <v>1286729.1679720283</v>
      </c>
      <c r="BF51" s="133">
        <f t="shared" si="23"/>
        <v>2772232.5654576253</v>
      </c>
      <c r="BG51" s="131">
        <f>SUM(W51,Z51,AC51,AF51)-SUM(W50,Z50,AC50,AF50)</f>
        <v>62161.619189973746</v>
      </c>
      <c r="BH51" s="15">
        <f>((AG51+X51+AA51+AD51)-(AG50+X50+AA50+AD50))</f>
        <v>138.0442435880027</v>
      </c>
      <c r="BI51" s="161">
        <f>BH51/AN50</f>
        <v>1.8576805758041003E-2</v>
      </c>
      <c r="BJ51" s="157">
        <f>SUM($BH$44:BH51)*$BM$39*BM51/((1+$BM$41)^(A51-$A$44))/1000</f>
        <v>137.25983069684673</v>
      </c>
      <c r="BK51">
        <v>2022</v>
      </c>
      <c r="BL51" s="8"/>
      <c r="BM51" s="10">
        <v>5.4</v>
      </c>
      <c r="BN51">
        <v>2022</v>
      </c>
      <c r="BO51" s="263">
        <f>K51</f>
        <v>92.211082115017888</v>
      </c>
      <c r="BP51" s="264">
        <f>$BO51*$BM$39*BM51/((1+$BM$41)^(BN51-$BN$44))/1000</f>
        <v>12.580719732627616</v>
      </c>
      <c r="BQ51" s="263">
        <f>N51</f>
        <v>360.79919937612391</v>
      </c>
      <c r="BR51" s="264">
        <f>BQ51*$BM$39*BM51/((1+$BM$41)^(BN51-$BN$44))/1000</f>
        <v>49.225250403695121</v>
      </c>
      <c r="BS51" s="263">
        <f>X51</f>
        <v>208.87975105077442</v>
      </c>
      <c r="BT51" s="264">
        <f>BS51*$BM$39*BM51/((1+$BM$41)^(BN51-$BN$44))/1000</f>
        <v>28.498283997068921</v>
      </c>
      <c r="BU51" s="263">
        <f>AA51</f>
        <v>582.99481135619999</v>
      </c>
      <c r="BV51" s="264">
        <f>BU51*$BM$39*BM51/((1+$BM$41)^(BN51-$BN$44))/1000</f>
        <v>79.540269553500167</v>
      </c>
    </row>
    <row r="52" spans="1:74" x14ac:dyDescent="0.25">
      <c r="A52" s="12">
        <v>2023</v>
      </c>
      <c r="B52" s="15">
        <f t="shared" si="33"/>
        <v>431011.92307692306</v>
      </c>
      <c r="C52" s="16">
        <f t="shared" si="34"/>
        <v>1123786.3846153845</v>
      </c>
      <c r="D52" s="16">
        <f t="shared" si="35"/>
        <v>184800.15384615384</v>
      </c>
      <c r="E52" s="17">
        <f t="shared" si="36"/>
        <v>1184076.8461538462</v>
      </c>
      <c r="F52" s="13">
        <f t="shared" si="21"/>
        <v>2923675.3076923075</v>
      </c>
      <c r="G52" s="4"/>
      <c r="H52" s="12">
        <v>2023</v>
      </c>
      <c r="I52" s="178">
        <f t="shared" si="52"/>
        <v>0.82727272727272749</v>
      </c>
      <c r="J52" s="87">
        <f t="shared" si="43"/>
        <v>51615.223931764129</v>
      </c>
      <c r="K52" s="119">
        <f>I52*'Savings Model'!$F$20*AJ51</f>
        <v>104.63632377726857</v>
      </c>
      <c r="L52" s="178">
        <f t="shared" si="53"/>
        <v>0.82045454545454566</v>
      </c>
      <c r="M52" s="87">
        <f t="shared" si="44"/>
        <v>203062.32270608016</v>
      </c>
      <c r="N52" s="94">
        <f>L52*'Savings Model'!$F$19*AK52</f>
        <v>410.3856729352413</v>
      </c>
      <c r="O52" s="178">
        <f t="shared" si="54"/>
        <v>0.30681818181818177</v>
      </c>
      <c r="P52" s="87">
        <f t="shared" si="45"/>
        <v>22782.732167832168</v>
      </c>
      <c r="Q52" s="94">
        <f>O52*'Savings Model'!$F$21*AL52</f>
        <v>147.88636363636363</v>
      </c>
      <c r="R52" s="178">
        <f t="shared" si="55"/>
        <v>0.12633689839572193</v>
      </c>
      <c r="S52" s="87">
        <f t="shared" si="46"/>
        <v>58242.593548951074</v>
      </c>
      <c r="T52" s="94">
        <f>R52*'Savings Model'!$F$22*AM52</f>
        <v>130.96840909090912</v>
      </c>
      <c r="U52" s="189"/>
      <c r="V52" s="180">
        <f t="shared" si="37"/>
        <v>0.82727272727272749</v>
      </c>
      <c r="W52" s="87">
        <f t="shared" si="47"/>
        <v>118500.13277735272</v>
      </c>
      <c r="X52" s="119">
        <f>V52*'Savings Model'!$I$20*AJ52</f>
        <v>237.00237338989962</v>
      </c>
      <c r="Y52" s="180">
        <f t="shared" si="38"/>
        <v>0.82045454545454566</v>
      </c>
      <c r="Z52" s="87">
        <f t="shared" si="48"/>
        <v>330073.21316315403</v>
      </c>
      <c r="AA52" s="94">
        <f>Y52*'Savings Model'!$I$19*AK52</f>
        <v>663.11876076740759</v>
      </c>
      <c r="AB52" s="180">
        <f t="shared" si="39"/>
        <v>0.30681818181818177</v>
      </c>
      <c r="AC52" s="87">
        <f t="shared" si="49"/>
        <v>22782.732167832168</v>
      </c>
      <c r="AD52" s="94">
        <f>AB52*'Savings Model'!$I$21*AL52</f>
        <v>147.88636363636363</v>
      </c>
      <c r="AE52" s="180">
        <f t="shared" si="40"/>
        <v>0.12633689839572193</v>
      </c>
      <c r="AF52" s="87">
        <f t="shared" si="51"/>
        <v>58242.593548951074</v>
      </c>
      <c r="AG52" s="94">
        <f>AE52*'Savings Model'!$I$22*AM52</f>
        <v>130.96840909090912</v>
      </c>
      <c r="AI52" s="8">
        <v>2023</v>
      </c>
      <c r="AJ52" s="239">
        <v>1015</v>
      </c>
      <c r="AK52" s="238">
        <v>2306</v>
      </c>
      <c r="AL52" s="238">
        <v>1205</v>
      </c>
      <c r="AM52" s="238">
        <v>3049</v>
      </c>
      <c r="AN52" s="10">
        <v>7575</v>
      </c>
      <c r="AO52" s="177"/>
      <c r="AP52" s="177"/>
      <c r="AQ52" s="12">
        <v>2023</v>
      </c>
      <c r="AR52" s="131">
        <f t="shared" si="41"/>
        <v>440585.92991438974</v>
      </c>
      <c r="AS52" s="132">
        <f t="shared" si="28"/>
        <v>1037517.9080631504</v>
      </c>
      <c r="AT52" s="132">
        <f t="shared" si="29"/>
        <v>162854.34475524476</v>
      </c>
      <c r="AU52" s="133">
        <f t="shared" si="30"/>
        <v>1297669.6372202802</v>
      </c>
      <c r="AV52" s="173">
        <f t="shared" si="22"/>
        <v>2938627.8199530654</v>
      </c>
      <c r="AW52" s="131">
        <f t="shared" si="42"/>
        <v>40132.384334980859</v>
      </c>
      <c r="AX52" s="131">
        <f t="shared" si="50"/>
        <v>94.479215221368236</v>
      </c>
      <c r="AY52" s="141">
        <f t="shared" si="20"/>
        <v>1.2472503659586565E-2</v>
      </c>
      <c r="AZ52" s="157">
        <f>SUM($AX$44:AX52)*$BM$39*BM52/((1+$BM$41)^(A52-$A$44))/1000</f>
        <v>99.51905033527126</v>
      </c>
      <c r="BA52" s="3"/>
      <c r="BB52" s="131">
        <f>P21-W52</f>
        <v>373701.02106880117</v>
      </c>
      <c r="BC52" s="132">
        <f>Q21-Z52</f>
        <v>910507.01760607655</v>
      </c>
      <c r="BD52" s="132">
        <f>R21-AC52</f>
        <v>162854.34475524476</v>
      </c>
      <c r="BE52" s="133">
        <f>S21-AF52</f>
        <v>1297669.6372202802</v>
      </c>
      <c r="BF52" s="133">
        <f t="shared" si="23"/>
        <v>2744732.0206504026</v>
      </c>
      <c r="BG52" s="131">
        <f>SUM(W52,Z52,AC52,AF52)-SUM(W51,Z51,AC51,AF51)</f>
        <v>63342.083268761693</v>
      </c>
      <c r="BH52" s="15">
        <f>((AG52+X52+AA52+AD52)-(AG51+X51+AA51+AD51))</f>
        <v>140.71407175033301</v>
      </c>
      <c r="BI52" s="161">
        <f>BH52/AN51</f>
        <v>1.8756874400204345E-2</v>
      </c>
      <c r="BJ52" s="157">
        <f>SUM($BH$44:BH52)*$BM$39*BM52/((1+$BM$41)^(A52-$A$44))/1000</f>
        <v>147.76917605959068</v>
      </c>
      <c r="BK52">
        <v>2023</v>
      </c>
      <c r="BL52" s="8"/>
      <c r="BM52" s="10">
        <v>5.4</v>
      </c>
      <c r="BN52">
        <v>2023</v>
      </c>
      <c r="BO52" s="263">
        <f>K52</f>
        <v>104.63632377726857</v>
      </c>
      <c r="BP52" s="264">
        <f>$BO52*$BM$39*BM52/((1+$BM$41)^(BN52-$BN$44))/1000</f>
        <v>13.483135818212673</v>
      </c>
      <c r="BQ52" s="263">
        <f>N52</f>
        <v>410.3856729352413</v>
      </c>
      <c r="BR52" s="264">
        <f>BQ52*$BM$39*BM52/((1+$BM$41)^(BN52-$BN$44))/1000</f>
        <v>52.8811178211187</v>
      </c>
      <c r="BS52" s="263">
        <f>X52</f>
        <v>237.00237338989962</v>
      </c>
      <c r="BT52" s="264">
        <f>BS52*$BM$39*BM52/((1+$BM$41)^(BN52-$BN$44))/1000</f>
        <v>30.539444375519764</v>
      </c>
      <c r="BU52" s="263">
        <f>AA52</f>
        <v>663.11876076740759</v>
      </c>
      <c r="BV52" s="264">
        <f>BU52*$BM$39*BM52/((1+$BM$41)^(BN52-$BN$44))/1000</f>
        <v>85.44757682870906</v>
      </c>
    </row>
    <row r="53" spans="1:74" x14ac:dyDescent="0.25">
      <c r="A53" s="12">
        <v>2024</v>
      </c>
      <c r="B53" s="15">
        <f t="shared" si="33"/>
        <v>431011.92307692306</v>
      </c>
      <c r="C53" s="16">
        <f t="shared" si="34"/>
        <v>1123786.3846153845</v>
      </c>
      <c r="D53" s="16">
        <f t="shared" si="35"/>
        <v>184800.15384615384</v>
      </c>
      <c r="E53" s="17">
        <f t="shared" si="36"/>
        <v>1184076.8461538462</v>
      </c>
      <c r="F53" s="13">
        <f t="shared" si="21"/>
        <v>2923675.3076923075</v>
      </c>
      <c r="G53" s="4"/>
      <c r="H53" s="12">
        <v>2024</v>
      </c>
      <c r="I53" s="178">
        <f t="shared" si="52"/>
        <v>0.91818181818181843</v>
      </c>
      <c r="J53" s="87">
        <f t="shared" si="43"/>
        <v>57983.775146985412</v>
      </c>
      <c r="K53" s="119">
        <f>I53*'Savings Model'!$F$20*AJ52</f>
        <v>117.29039125282037</v>
      </c>
      <c r="L53" s="178">
        <f t="shared" si="53"/>
        <v>0.9113636363636366</v>
      </c>
      <c r="M53" s="87">
        <f t="shared" si="44"/>
        <v>227684.28237463121</v>
      </c>
      <c r="N53" s="94">
        <f>L53*'Savings Model'!$F$19*AK53</f>
        <v>460.79985302514581</v>
      </c>
      <c r="O53" s="178">
        <f t="shared" si="54"/>
        <v>0.34090909090909083</v>
      </c>
      <c r="P53" s="87">
        <f t="shared" si="45"/>
        <v>25325.265734265729</v>
      </c>
      <c r="Q53" s="94">
        <f>O53*'Savings Model'!$F$21*AL53</f>
        <v>164.31818181818178</v>
      </c>
      <c r="R53" s="178">
        <f t="shared" si="55"/>
        <v>0.14037433155080214</v>
      </c>
      <c r="S53" s="87">
        <f t="shared" si="46"/>
        <v>65578.076748251784</v>
      </c>
      <c r="T53" s="94">
        <f>R53*'Savings Model'!$F$22*AM53</f>
        <v>147.19090909090909</v>
      </c>
      <c r="U53" s="189"/>
      <c r="V53" s="180">
        <f t="shared" si="37"/>
        <v>0.91818181818181843</v>
      </c>
      <c r="W53" s="87">
        <f t="shared" si="47"/>
        <v>133121.28729565491</v>
      </c>
      <c r="X53" s="119">
        <f>V53*'Savings Model'!$I$20*AJ53</f>
        <v>265.89734147027269</v>
      </c>
      <c r="Y53" s="180">
        <f t="shared" si="38"/>
        <v>0.9113636363636366</v>
      </c>
      <c r="Z53" s="87">
        <f t="shared" si="48"/>
        <v>370095.65176165081</v>
      </c>
      <c r="AA53" s="94">
        <f>Y53*'Savings Model'!$I$19*AK53</f>
        <v>744.58015386920272</v>
      </c>
      <c r="AB53" s="180">
        <f t="shared" si="39"/>
        <v>0.34090909090909083</v>
      </c>
      <c r="AC53" s="87">
        <f t="shared" si="49"/>
        <v>25325.265734265729</v>
      </c>
      <c r="AD53" s="94">
        <f>AB53*'Savings Model'!$I$21*AL53</f>
        <v>164.31818181818178</v>
      </c>
      <c r="AE53" s="180">
        <f t="shared" si="40"/>
        <v>0.14037433155080214</v>
      </c>
      <c r="AF53" s="87">
        <f t="shared" si="51"/>
        <v>65578.076748251784</v>
      </c>
      <c r="AG53" s="94">
        <f>AE53*'Savings Model'!$I$22*AM53</f>
        <v>147.19090909090909</v>
      </c>
      <c r="AI53" s="8">
        <v>2024</v>
      </c>
      <c r="AJ53" s="239">
        <v>1026</v>
      </c>
      <c r="AK53" s="238">
        <v>2331</v>
      </c>
      <c r="AL53" s="238">
        <v>1205</v>
      </c>
      <c r="AM53" s="238">
        <v>3084</v>
      </c>
      <c r="AN53" s="10">
        <v>7646</v>
      </c>
      <c r="AO53" s="177"/>
      <c r="AP53" s="177"/>
      <c r="AQ53" s="12">
        <v>2024</v>
      </c>
      <c r="AR53" s="131">
        <f t="shared" si="41"/>
        <v>440201.99408378382</v>
      </c>
      <c r="AS53" s="132">
        <f t="shared" si="28"/>
        <v>1024566.7176253686</v>
      </c>
      <c r="AT53" s="132">
        <f t="shared" si="29"/>
        <v>160393.34965034967</v>
      </c>
      <c r="AU53" s="133">
        <f t="shared" si="30"/>
        <v>1308438.769405595</v>
      </c>
      <c r="AV53" s="173">
        <f t="shared" si="22"/>
        <v>2933600.8307650974</v>
      </c>
      <c r="AW53" s="131">
        <f t="shared" si="42"/>
        <v>40868.527649506635</v>
      </c>
      <c r="AX53" s="131">
        <f t="shared" si="50"/>
        <v>95.722565747274302</v>
      </c>
      <c r="AY53" s="141">
        <f t="shared" si="20"/>
        <v>1.2519299731529467E-2</v>
      </c>
      <c r="AZ53" s="157">
        <f>SUM($AX$44:AX53)*$BM$39*BM53/((1+$BM$41)^(A53-$A$44))/1000</f>
        <v>106.42437665019244</v>
      </c>
      <c r="BA53" s="3"/>
      <c r="BB53" s="131">
        <f>P22-W53</f>
        <v>365064.48193511437</v>
      </c>
      <c r="BC53" s="132">
        <f>Q22-Z53</f>
        <v>882155.34823834896</v>
      </c>
      <c r="BD53" s="132">
        <f>R22-AC53</f>
        <v>160393.34965034967</v>
      </c>
      <c r="BE53" s="133">
        <f>S22-AF53</f>
        <v>1308438.769405595</v>
      </c>
      <c r="BF53" s="133">
        <f t="shared" si="23"/>
        <v>2716051.9492294081</v>
      </c>
      <c r="BG53" s="131">
        <f>SUM(W53,Z53,AC53,AF53)-SUM(W52,Z52,AC52,AF52)</f>
        <v>64521.609882533201</v>
      </c>
      <c r="BH53" s="15">
        <f>((AG53+X53+AA53+AD53)-(AG52+X52+AA52+AD52))</f>
        <v>143.01067936398613</v>
      </c>
      <c r="BI53" s="161">
        <f>BH53/AN52</f>
        <v>1.8879297605806748E-2</v>
      </c>
      <c r="BJ53" s="157">
        <f>SUM($BH$44:BH53)*$BM$39*BM53/((1+$BM$41)^(A53-$A$44))/1000</f>
        <v>158.13015752270695</v>
      </c>
      <c r="BK53">
        <v>2024</v>
      </c>
      <c r="BL53" s="8"/>
      <c r="BM53" s="10">
        <v>5.44</v>
      </c>
      <c r="BN53">
        <v>2024</v>
      </c>
      <c r="BO53" s="263">
        <f>K53</f>
        <v>117.29039125282037</v>
      </c>
      <c r="BP53" s="264">
        <f>$BO53*$BM$39*BM53/((1+$BM$41)^(BN53-$BN$44))/1000</f>
        <v>14.380105705402567</v>
      </c>
      <c r="BQ53" s="263">
        <f>N53</f>
        <v>460.79985302514581</v>
      </c>
      <c r="BR53" s="264">
        <f>BQ53*$BM$39*BM53/((1+$BM$41)^(BN53-$BN$44))/1000</f>
        <v>56.495255278434634</v>
      </c>
      <c r="BS53" s="263">
        <f>X53</f>
        <v>265.89734147027269</v>
      </c>
      <c r="BT53" s="264">
        <f>BS53*$BM$39*BM53/((1+$BM$41)^(BN53-$BN$44))/1000</f>
        <v>32.599702637926875</v>
      </c>
      <c r="BU53" s="263">
        <f>AA53</f>
        <v>744.58015386920272</v>
      </c>
      <c r="BV53" s="264">
        <f>BU53*$BM$39*BM53/((1+$BM$41)^(BN53-$BN$44))/1000</f>
        <v>91.28745504569693</v>
      </c>
    </row>
    <row r="54" spans="1:74" ht="15.75" thickBot="1" x14ac:dyDescent="0.3">
      <c r="A54" s="12">
        <v>2025</v>
      </c>
      <c r="B54" s="18">
        <f t="shared" si="33"/>
        <v>431011.92307692306</v>
      </c>
      <c r="C54" s="19">
        <f t="shared" si="34"/>
        <v>1123786.3846153845</v>
      </c>
      <c r="D54" s="19">
        <f t="shared" si="35"/>
        <v>184800.15384615384</v>
      </c>
      <c r="E54" s="20">
        <f t="shared" si="36"/>
        <v>1184076.8461538462</v>
      </c>
      <c r="F54" s="13">
        <f t="shared" si="21"/>
        <v>2923675.3076923075</v>
      </c>
      <c r="G54" s="4"/>
      <c r="H54" s="12">
        <v>2025</v>
      </c>
      <c r="I54" s="245">
        <v>1</v>
      </c>
      <c r="J54" s="139">
        <f t="shared" si="43"/>
        <v>63909.263470868056</v>
      </c>
      <c r="K54" s="242">
        <f>I54*'Savings Model'!$F$20*AJ53</f>
        <v>129.12640644582066</v>
      </c>
      <c r="L54" s="245">
        <v>1</v>
      </c>
      <c r="M54" s="139">
        <f>L54*$N$31*Q23</f>
        <v>252156.49661519364</v>
      </c>
      <c r="N54" s="121">
        <f>L54*'Savings Model'!$F$19*AK54</f>
        <v>508.43562096048407</v>
      </c>
      <c r="O54" s="215">
        <f>15/40</f>
        <v>0.375</v>
      </c>
      <c r="P54" s="139">
        <f t="shared" si="45"/>
        <v>27870.253846153857</v>
      </c>
      <c r="Q54" s="140">
        <f>O54*'Savings Model'!$F$21*AL54</f>
        <v>180.75000000000003</v>
      </c>
      <c r="R54" s="215">
        <f>5.25/34</f>
        <v>0.15441176470588236</v>
      </c>
      <c r="S54" s="139">
        <f t="shared" si="46"/>
        <v>73086.376730769276</v>
      </c>
      <c r="T54" s="140">
        <f>R54*'Savings Model'!$F$22*AM54</f>
        <v>162.85500000000002</v>
      </c>
      <c r="U54" s="189"/>
      <c r="V54" s="220">
        <f t="shared" si="37"/>
        <v>1</v>
      </c>
      <c r="W54" s="221">
        <f t="shared" si="47"/>
        <v>146725.24170412603</v>
      </c>
      <c r="X54" s="118">
        <f>V54*'Savings Model'!$I$20*AJ54</f>
        <v>291.00242695987129</v>
      </c>
      <c r="Y54" s="220">
        <f t="shared" si="38"/>
        <v>1</v>
      </c>
      <c r="Z54" s="221">
        <f t="shared" si="48"/>
        <v>409874.68255354901</v>
      </c>
      <c r="AA54" s="121">
        <f>Y54*'Savings Model'!$I$19*AK54</f>
        <v>821.55206952004448</v>
      </c>
      <c r="AB54" s="220">
        <f t="shared" si="39"/>
        <v>0.375</v>
      </c>
      <c r="AC54" s="221">
        <f t="shared" si="49"/>
        <v>27870.253846153857</v>
      </c>
      <c r="AD54" s="121">
        <f>AB54*'Savings Model'!$I$21*AL54</f>
        <v>180.75000000000003</v>
      </c>
      <c r="AE54" s="220">
        <f t="shared" si="40"/>
        <v>0.15441176470588236</v>
      </c>
      <c r="AF54" s="88">
        <f t="shared" si="51"/>
        <v>73086.376730769276</v>
      </c>
      <c r="AG54" s="121">
        <f>AE54*'Savings Model'!$I$22*AM54</f>
        <v>162.85500000000002</v>
      </c>
      <c r="AI54" s="106">
        <v>2025</v>
      </c>
      <c r="AJ54" s="240">
        <v>1031</v>
      </c>
      <c r="AK54" s="241">
        <v>2344</v>
      </c>
      <c r="AL54" s="241">
        <v>1205</v>
      </c>
      <c r="AM54" s="241">
        <v>3102</v>
      </c>
      <c r="AN54" s="107">
        <v>7682</v>
      </c>
      <c r="AO54" s="177"/>
      <c r="AP54" s="177"/>
      <c r="AQ54" s="12">
        <v>2025</v>
      </c>
      <c r="AR54" s="146">
        <f>P23-J54</f>
        <v>440261.12114451657</v>
      </c>
      <c r="AS54" s="147">
        <f>Q23-M54</f>
        <v>1011765.2726155753</v>
      </c>
      <c r="AT54" s="147">
        <f>R23-P54</f>
        <v>157931.43846153849</v>
      </c>
      <c r="AU54" s="148">
        <f>S23-S54</f>
        <v>1319035.084807693</v>
      </c>
      <c r="AV54" s="174">
        <f>SUM(AR54:AU54)</f>
        <v>2928992.9170293231</v>
      </c>
      <c r="AW54" s="146">
        <f t="shared" si="42"/>
        <v>40450.990658850642</v>
      </c>
      <c r="AX54" s="146">
        <f t="shared" si="50"/>
        <v>91.56769221924776</v>
      </c>
      <c r="AY54" s="158">
        <f t="shared" si="20"/>
        <v>1.1919772483630273E-2</v>
      </c>
      <c r="AZ54" s="159">
        <f>SUM($AX$44:$AX$54)*$BM$39*$BM$54/((1+$BM$41)^(H54-$A$44))/1000</f>
        <v>111.11712584246816</v>
      </c>
      <c r="BA54" s="3"/>
      <c r="BB54" s="146">
        <f>P23-W54</f>
        <v>357445.14291125862</v>
      </c>
      <c r="BC54" s="147">
        <f>Q23-Z54</f>
        <v>854047.08667721995</v>
      </c>
      <c r="BD54" s="147">
        <f>R23-AC54</f>
        <v>157931.43846153849</v>
      </c>
      <c r="BE54" s="148">
        <f>S23-AF54</f>
        <v>1319035.084807693</v>
      </c>
      <c r="BF54" s="148">
        <f t="shared" si="23"/>
        <v>2688458.7528577102</v>
      </c>
      <c r="BG54" s="146">
        <f>SUM(W54,Z54,AC54,AF54)-SUM(W53,Z53,AC53,AF53)</f>
        <v>63436.273294775048</v>
      </c>
      <c r="BH54" s="18">
        <f>((AG54+X54+AA54+AD54)-(AG53+X53+AA53+AD53))</f>
        <v>134.17291023134953</v>
      </c>
      <c r="BI54" s="162">
        <f>BH54/AN53</f>
        <v>1.7548118000438078E-2</v>
      </c>
      <c r="BJ54" s="159">
        <f>SUM($BH$44:BH54)*$BM$39*BM54/((1+$BM$41)^(A54-$A$44))/1000</f>
        <v>164.88487322839435</v>
      </c>
      <c r="BK54">
        <v>2025</v>
      </c>
      <c r="BL54" s="8"/>
      <c r="BM54" s="10">
        <f>BM53</f>
        <v>5.44</v>
      </c>
      <c r="BN54">
        <v>2025</v>
      </c>
      <c r="BO54" s="263">
        <f>K54</f>
        <v>129.12640644582066</v>
      </c>
      <c r="BP54" s="264">
        <f>$BO54*$BM$39*BM54/((1+$BM$41)^(BN54-$BN$44))/1000</f>
        <v>14.952051207851047</v>
      </c>
      <c r="BQ54" s="263">
        <f>N54</f>
        <v>508.43562096048407</v>
      </c>
      <c r="BR54" s="264">
        <f>BQ54*$BM$39*BM54/((1+$BM$41)^(BN54-$BN$44))/1000</f>
        <v>58.87374743667511</v>
      </c>
      <c r="BS54" s="263">
        <f>X54</f>
        <v>291.00242695987129</v>
      </c>
      <c r="BT54" s="264">
        <f>BS54*$BM$39*BM54/((1+$BM$41)^(BN54-$BN$44))/1000</f>
        <v>33.696308208953162</v>
      </c>
      <c r="BU54" s="263">
        <f>AA54</f>
        <v>821.55206952004448</v>
      </c>
      <c r="BV54" s="264">
        <f>BU54*$BM$39*BM54/((1+$BM$41)^(BN54-$BN$44))/1000</f>
        <v>95.130724624740722</v>
      </c>
    </row>
    <row r="55" spans="1:74" x14ac:dyDescent="0.25">
      <c r="H55" t="s">
        <v>111</v>
      </c>
      <c r="J55" s="142">
        <f>J54/13</f>
        <v>4916.0971900667737</v>
      </c>
      <c r="K55" s="262">
        <f>SUM(K42:K54)</f>
        <v>762.28972010814607</v>
      </c>
      <c r="M55" s="142">
        <f>M54/13</f>
        <v>19396.653585784126</v>
      </c>
      <c r="N55" s="262">
        <f>SUM(N42:N54)</f>
        <v>2975.7592796355761</v>
      </c>
      <c r="P55" s="142">
        <f>P54/13</f>
        <v>2143.8656804733737</v>
      </c>
      <c r="Q55" s="262">
        <f>SUM(Q42:Q54)</f>
        <v>1088.028409090909</v>
      </c>
      <c r="S55" s="142">
        <f>S54/13</f>
        <v>5622.0289792899439</v>
      </c>
      <c r="T55" s="262">
        <f>SUM(T42:T54)</f>
        <v>948.15477272727298</v>
      </c>
      <c r="W55" s="142">
        <f>W54/13</f>
        <v>11286.557054163541</v>
      </c>
      <c r="X55" s="243">
        <f>SUM(X42:X54)</f>
        <v>1726.1305078211381</v>
      </c>
      <c r="Z55" s="142">
        <f>Z54/13</f>
        <v>31528.821734888385</v>
      </c>
      <c r="AA55" s="243">
        <f>SUM(AA42:AA54)</f>
        <v>4808.3593945674611</v>
      </c>
      <c r="AC55" s="142">
        <f>AC54/13</f>
        <v>2143.8656804733737</v>
      </c>
      <c r="AD55" s="243">
        <f>SUM(AD42:AD54)</f>
        <v>1088.028409090909</v>
      </c>
      <c r="AF55" s="142">
        <f>AF54/13</f>
        <v>5622.0289792899439</v>
      </c>
      <c r="AG55" s="243">
        <f>SUM(AG42:AG54)</f>
        <v>948.15477272727298</v>
      </c>
      <c r="BC55" s="3"/>
      <c r="BD55" s="3"/>
      <c r="BE55" s="3"/>
      <c r="BF55" s="3"/>
      <c r="BG55" s="3"/>
      <c r="BH55" s="3"/>
      <c r="BI55" s="3"/>
      <c r="BK55">
        <v>2026</v>
      </c>
      <c r="BL55" s="336" t="s">
        <v>121</v>
      </c>
      <c r="BM55" s="334">
        <f>0.0867*BN55-170.04</f>
        <v>5.614200000000011</v>
      </c>
      <c r="BN55">
        <v>2026</v>
      </c>
      <c r="BO55" s="263">
        <f>$BO$54</f>
        <v>129.12640644582066</v>
      </c>
      <c r="BP55" s="264">
        <f>$BO55*$BM$39*BM55/((1+$BM$41)^(BN55-$BN$44))/1000</f>
        <v>14.573901276125151</v>
      </c>
      <c r="BQ55" s="330">
        <f>$BQ$54</f>
        <v>508.43562096048407</v>
      </c>
      <c r="BR55" s="264">
        <f>BQ55*$BM$39*BM55/((1+$BM$41)^(BN55-$BN$44))/1000</f>
        <v>57.38478092203821</v>
      </c>
      <c r="BS55" s="263">
        <f>BS54</f>
        <v>291.00242695987129</v>
      </c>
      <c r="BT55" s="264">
        <f>BS55*$BM$39*BM55/((1+$BM$41)^(BN55-$BN$44))/1000</f>
        <v>32.844100276309128</v>
      </c>
      <c r="BU55" s="330">
        <f>$BU$54</f>
        <v>821.55206952004448</v>
      </c>
      <c r="BV55" s="264">
        <f>$BV$54</f>
        <v>95.130724624740722</v>
      </c>
    </row>
    <row r="56" spans="1:74" x14ac:dyDescent="0.25">
      <c r="H56" s="12" t="s">
        <v>88</v>
      </c>
      <c r="R56" s="189"/>
      <c r="U56" s="14"/>
      <c r="W56" s="142"/>
      <c r="X56" s="142"/>
      <c r="Z56" s="142"/>
      <c r="AA56" s="142"/>
      <c r="AC56" s="142"/>
      <c r="AF56" s="142"/>
      <c r="BC56" s="3"/>
      <c r="BD56" s="3"/>
      <c r="BE56" s="3"/>
      <c r="BF56" s="3"/>
      <c r="BG56" s="3"/>
      <c r="BH56" s="115"/>
      <c r="BI56" s="3"/>
      <c r="BK56">
        <v>2027</v>
      </c>
      <c r="BL56" s="336"/>
      <c r="BM56" s="334">
        <f>0.0867*BN56-170.04</f>
        <v>5.7009000000000185</v>
      </c>
      <c r="BN56">
        <v>2027</v>
      </c>
      <c r="BO56" s="263">
        <f>$BO$54</f>
        <v>129.12640644582066</v>
      </c>
      <c r="BP56" s="264">
        <f>$BO56*$BM$39*BM56/((1+$BM$41)^(BN56-$BN$44))/1000</f>
        <v>13.977111634249942</v>
      </c>
      <c r="BQ56" s="330">
        <f>$BQ$54</f>
        <v>508.43562096048407</v>
      </c>
      <c r="BR56" s="264">
        <f>BQ56*$BM$39*BM56/((1+$BM$41)^(BN56-$BN$44))/1000</f>
        <v>55.034919878883422</v>
      </c>
      <c r="BS56" s="263">
        <f t="shared" ref="BS56:BS59" si="56">BS55</f>
        <v>291.00242695987129</v>
      </c>
      <c r="BT56" s="264">
        <f>BS56*$BM$39*BM56/((1+$BM$41)^(BN56-$BN$44))/1000</f>
        <v>31.499160546703429</v>
      </c>
      <c r="BU56" s="330">
        <f>$BU$54</f>
        <v>821.55206952004448</v>
      </c>
      <c r="BV56" s="264">
        <f>$BV$54</f>
        <v>95.130724624740722</v>
      </c>
    </row>
    <row r="57" spans="1:74" x14ac:dyDescent="0.25">
      <c r="A57" s="12"/>
      <c r="J57" s="184">
        <f>SUM(J55:S55)</f>
        <v>36904.722844448843</v>
      </c>
      <c r="K57" s="142"/>
      <c r="M57" s="4">
        <f>(K55+N55)/SUM(K55,N55,Q55,T55)</f>
        <v>0.64736728316536041</v>
      </c>
      <c r="N57" s="142"/>
      <c r="W57" s="184">
        <f>SUM(W55:AF55)</f>
        <v>58203.791760294749</v>
      </c>
      <c r="X57" s="13"/>
      <c r="Z57" s="4">
        <f>(X55+AA55)/SUM(X55,AA55,AD55,AG55)</f>
        <v>0.76242435549545506</v>
      </c>
      <c r="AA57" s="4"/>
      <c r="BC57" s="3"/>
      <c r="BD57" s="3"/>
      <c r="BE57" s="3"/>
      <c r="BF57" s="3"/>
      <c r="BG57" s="3"/>
      <c r="BH57" s="3"/>
      <c r="BI57" s="3"/>
      <c r="BK57">
        <v>2028</v>
      </c>
      <c r="BL57" s="336"/>
      <c r="BM57" s="334">
        <f>0.0867*BN57-170.04</f>
        <v>5.7875999999999976</v>
      </c>
      <c r="BN57">
        <v>2028</v>
      </c>
      <c r="BO57" s="263">
        <f>$BO$54</f>
        <v>129.12640644582066</v>
      </c>
      <c r="BP57" s="264">
        <f>$BO57*$BM$39*BM57/((1+$BM$41)^(BN57-$BN$44))/1000</f>
        <v>13.401659704932205</v>
      </c>
      <c r="BQ57" s="330">
        <f>$BQ$54</f>
        <v>508.43562096048407</v>
      </c>
      <c r="BR57" s="264">
        <f>BQ57*$BM$39*BM57/((1+$BM$41)^(BN57-$BN$44))/1000</f>
        <v>52.769076144291965</v>
      </c>
      <c r="BS57" s="263">
        <f t="shared" si="56"/>
        <v>291.00242695987129</v>
      </c>
      <c r="BT57" s="264">
        <f>BS57*$BM$39*BM57/((1+$BM$41)^(BN57-$BN$44))/1000</f>
        <v>30.202308007866115</v>
      </c>
      <c r="BU57" s="330">
        <f>$BU$54</f>
        <v>821.55206952004448</v>
      </c>
      <c r="BV57" s="264">
        <f>$BV$54</f>
        <v>95.130724624740722</v>
      </c>
    </row>
    <row r="58" spans="1:74" ht="15" customHeight="1" x14ac:dyDescent="0.25">
      <c r="H58" s="89"/>
      <c r="K58" s="144"/>
      <c r="N58" s="142"/>
      <c r="O58" s="13"/>
      <c r="AA58" s="142"/>
      <c r="BC58" s="3"/>
      <c r="BD58" s="3"/>
      <c r="BE58" s="3"/>
      <c r="BF58" s="3"/>
      <c r="BG58" s="3"/>
      <c r="BH58" s="3"/>
      <c r="BI58" s="3"/>
      <c r="BK58">
        <v>2029</v>
      </c>
      <c r="BL58" s="336"/>
      <c r="BM58" s="334">
        <f>0.0867*BN58-170.04</f>
        <v>5.8743000000000052</v>
      </c>
      <c r="BN58">
        <v>2029</v>
      </c>
      <c r="BO58" s="263">
        <f>$BO$54</f>
        <v>129.12640644582066</v>
      </c>
      <c r="BP58" s="264">
        <f>$BO58*$BM$39*BM58/((1+$BM$41)^(BN58-$BN$44))/1000</f>
        <v>12.847016078778768</v>
      </c>
      <c r="BQ58" s="330">
        <f>$BQ$54</f>
        <v>508.43562096048407</v>
      </c>
      <c r="BR58" s="264">
        <f>BQ58*$BM$39*BM58/((1+$BM$41)^(BN58-$BN$44))/1000</f>
        <v>50.58516516715639</v>
      </c>
      <c r="BS58" s="263">
        <f t="shared" si="56"/>
        <v>291.00242695987129</v>
      </c>
      <c r="BT58" s="264">
        <f>BS58*$BM$39*BM58/((1+$BM$41)^(BN58-$BN$44))/1000</f>
        <v>28.952349569843634</v>
      </c>
      <c r="BU58" s="330">
        <f>$BU$54</f>
        <v>821.55206952004448</v>
      </c>
      <c r="BV58" s="264">
        <f>$BV$54</f>
        <v>95.130724624740722</v>
      </c>
    </row>
    <row r="59" spans="1:74" ht="15" customHeight="1" thickBot="1" x14ac:dyDescent="0.3">
      <c r="B59" s="12" t="s">
        <v>13</v>
      </c>
      <c r="C59" s="12" t="s">
        <v>5</v>
      </c>
      <c r="D59" s="12" t="s">
        <v>6</v>
      </c>
      <c r="E59" s="12" t="s">
        <v>7</v>
      </c>
      <c r="F59" s="12" t="s">
        <v>3</v>
      </c>
      <c r="H59" s="89"/>
      <c r="K59" s="144"/>
      <c r="O59" s="13"/>
      <c r="BK59">
        <v>2030</v>
      </c>
      <c r="BL59" s="337"/>
      <c r="BM59" s="335">
        <f>0.0867*BN59-170.04</f>
        <v>5.9610000000000127</v>
      </c>
      <c r="BN59">
        <v>2030</v>
      </c>
      <c r="BO59" s="263">
        <f>$BO$54</f>
        <v>129.12640644582066</v>
      </c>
      <c r="BP59" s="264">
        <f>$BO59*$BM$39*BM59/((1+$BM$41)^(BN59-$BN$44))/1000</f>
        <v>12.312644340052474</v>
      </c>
      <c r="BQ59" s="330">
        <f>$BQ$54</f>
        <v>508.43562096048407</v>
      </c>
      <c r="BR59" s="264">
        <f>BQ59*$BM$39*BM59/((1+$BM$41)^(BN59-$BN$44))/1000</f>
        <v>48.481074808868335</v>
      </c>
      <c r="BS59" s="263">
        <f t="shared" si="56"/>
        <v>291.00242695987129</v>
      </c>
      <c r="BT59" s="264">
        <f>BS59*$BM$39*BM59/((1+$BM$41)^(BN59-$BN$44))/1000</f>
        <v>27.748076353014323</v>
      </c>
      <c r="BU59" s="330">
        <f>$BU$54</f>
        <v>821.55206952004448</v>
      </c>
      <c r="BV59" s="264">
        <f>$BV$54</f>
        <v>95.130724624740722</v>
      </c>
    </row>
    <row r="60" spans="1:74" x14ac:dyDescent="0.25">
      <c r="A60" s="198" t="s">
        <v>80</v>
      </c>
      <c r="B60" s="199">
        <f>(P23-P10)/P10</f>
        <v>0.18780644500685498</v>
      </c>
      <c r="C60" s="199">
        <f t="shared" ref="C60:F60" si="57">(Q23-Q10)/Q10</f>
        <v>0.13638423064162841</v>
      </c>
      <c r="D60" s="199">
        <f t="shared" si="57"/>
        <v>5.5618880778266488E-3</v>
      </c>
      <c r="E60" s="199">
        <f t="shared" si="57"/>
        <v>0.19135135683119819</v>
      </c>
      <c r="F60" s="199">
        <f t="shared" si="57"/>
        <v>0.15779757448134055</v>
      </c>
      <c r="H60" s="14"/>
      <c r="K60" s="2"/>
      <c r="BM60" s="329"/>
    </row>
    <row r="61" spans="1:74" x14ac:dyDescent="0.25">
      <c r="A61" s="198" t="s">
        <v>81</v>
      </c>
      <c r="B61" s="199">
        <f>(B23-B10)/B10</f>
        <v>0.12207418925445572</v>
      </c>
      <c r="C61" s="199">
        <f t="shared" ref="C61:F61" si="58">(C23-C10)/C10</f>
        <v>8.8649749917058596E-2</v>
      </c>
      <c r="D61" s="199">
        <f t="shared" si="58"/>
        <v>3.6152272505872037E-3</v>
      </c>
      <c r="E61" s="199">
        <f t="shared" si="58"/>
        <v>0.12437838194027845</v>
      </c>
      <c r="F61" s="199">
        <f t="shared" si="58"/>
        <v>0.10256842341287128</v>
      </c>
      <c r="I61" s="14"/>
      <c r="BM61" s="329"/>
    </row>
    <row r="62" spans="1:74" x14ac:dyDescent="0.25">
      <c r="A62" s="198" t="s">
        <v>82</v>
      </c>
      <c r="B62" s="199">
        <f>(AR54-AR41)/AR41</f>
        <v>3.7238626343232072E-2</v>
      </c>
      <c r="C62" s="199">
        <f t="shared" ref="C62:F62" si="59">(AS54-AS41)/AS41</f>
        <v>-9.0328112940949001E-2</v>
      </c>
      <c r="D62" s="199">
        <f t="shared" si="59"/>
        <v>-0.14527239513384735</v>
      </c>
      <c r="E62" s="199">
        <f t="shared" si="59"/>
        <v>0.12880541059756037</v>
      </c>
      <c r="F62" s="199">
        <f t="shared" si="59"/>
        <v>1.3498320588502789E-2</v>
      </c>
      <c r="H62" s="12"/>
      <c r="O62" s="13"/>
      <c r="BM62" s="329"/>
      <c r="BS62" s="142"/>
    </row>
    <row r="63" spans="1:74" x14ac:dyDescent="0.25">
      <c r="A63" s="198" t="s">
        <v>83</v>
      </c>
      <c r="B63" s="199">
        <f>(BB54-BB41)/BB41</f>
        <v>-0.15787270049532079</v>
      </c>
      <c r="C63" s="199">
        <f t="shared" ref="C63:E63" si="60">(BC54-BC41)/BC41</f>
        <v>-0.23213155659461032</v>
      </c>
      <c r="D63" s="199">
        <f t="shared" si="60"/>
        <v>-0.14527239513384735</v>
      </c>
      <c r="E63" s="199">
        <f t="shared" si="60"/>
        <v>0.12880541059756037</v>
      </c>
      <c r="F63" s="199">
        <f>(BF54-BF41)/BF41</f>
        <v>-6.9731983593775387E-2</v>
      </c>
      <c r="H63" s="12"/>
      <c r="O63" s="13"/>
      <c r="AG63" s="4"/>
      <c r="AH63" s="4"/>
      <c r="BM63" s="329"/>
    </row>
    <row r="64" spans="1:74" x14ac:dyDescent="0.25">
      <c r="A64" s="201" t="s">
        <v>84</v>
      </c>
      <c r="B64" s="199"/>
      <c r="C64" s="199"/>
      <c r="D64" s="199"/>
      <c r="E64" s="199"/>
      <c r="F64" s="200"/>
      <c r="AG64" s="4"/>
      <c r="AH64" s="4"/>
      <c r="BM64" s="329"/>
    </row>
    <row r="65" spans="1:69" x14ac:dyDescent="0.25">
      <c r="A65" s="198" t="s">
        <v>85</v>
      </c>
      <c r="B65" s="199">
        <f>(AR54-P23)/P23</f>
        <v>-0.1267612406857701</v>
      </c>
      <c r="C65" s="199">
        <f>(AS54-Q23)/Q23</f>
        <v>-0.19950324676238287</v>
      </c>
      <c r="D65" s="199">
        <f>(AT54-R23)/R23</f>
        <v>-0.15</v>
      </c>
      <c r="E65" s="199">
        <f>(AU54-S23)/S23</f>
        <v>-5.2499999999999936E-2</v>
      </c>
      <c r="F65" s="199">
        <f>(AV54-T23)/T23</f>
        <v>-0.12463254119139056</v>
      </c>
      <c r="AG65" s="4"/>
      <c r="AH65" s="4"/>
      <c r="BM65" s="329"/>
    </row>
    <row r="66" spans="1:69" x14ac:dyDescent="0.25">
      <c r="A66" s="198" t="s">
        <v>86</v>
      </c>
      <c r="B66" s="199">
        <f>(BB54-P23)/P23</f>
        <v>-0.29102312666789815</v>
      </c>
      <c r="C66" s="199">
        <f>(BC54-Q23)/Q23</f>
        <v>-0.32428801570765053</v>
      </c>
      <c r="D66" s="199">
        <f>(BD54-R23)/R23</f>
        <v>-0.15</v>
      </c>
      <c r="E66" s="199">
        <f>(BE54-S23)/S23</f>
        <v>-5.2499999999999936E-2</v>
      </c>
      <c r="F66" s="199">
        <f>(BF54-T23)/T23</f>
        <v>-0.19651929066878768</v>
      </c>
      <c r="AG66" s="4"/>
      <c r="AH66" s="4"/>
      <c r="BM66" s="329"/>
    </row>
    <row r="67" spans="1:69" x14ac:dyDescent="0.25">
      <c r="AG67" s="4"/>
      <c r="AH67" s="4"/>
      <c r="BM67" s="329"/>
    </row>
    <row r="68" spans="1:69" x14ac:dyDescent="0.25">
      <c r="AG68" s="4"/>
      <c r="AH68" s="4"/>
    </row>
    <row r="69" spans="1:69" x14ac:dyDescent="0.25">
      <c r="AG69" s="4"/>
      <c r="AH69" s="4"/>
    </row>
    <row r="70" spans="1:69" x14ac:dyDescent="0.25">
      <c r="AG70" s="4"/>
      <c r="AH70" s="4"/>
      <c r="BO70" s="13"/>
      <c r="BP70" s="328"/>
    </row>
    <row r="71" spans="1:69" x14ac:dyDescent="0.25">
      <c r="AG71" s="4"/>
      <c r="AH71" s="4"/>
      <c r="BO71" s="327"/>
      <c r="BP71" s="327"/>
    </row>
    <row r="72" spans="1:69" x14ac:dyDescent="0.25">
      <c r="AG72" s="4"/>
      <c r="AH72" s="4"/>
      <c r="BO72" t="s">
        <v>39</v>
      </c>
      <c r="BP72" t="s">
        <v>48</v>
      </c>
    </row>
    <row r="73" spans="1:69" x14ac:dyDescent="0.25">
      <c r="AG73" s="4"/>
      <c r="AH73" s="4"/>
      <c r="BO73" s="13">
        <f>SUM(BO54,BQ54)</f>
        <v>637.56202740630476</v>
      </c>
      <c r="BP73" s="13">
        <f>SUM(BS54,BU54)</f>
        <v>1112.5544964799158</v>
      </c>
      <c r="BQ73" t="s">
        <v>116</v>
      </c>
    </row>
    <row r="74" spans="1:69" x14ac:dyDescent="0.25">
      <c r="AG74" s="4"/>
      <c r="AH74" s="4"/>
    </row>
    <row r="75" spans="1:69" x14ac:dyDescent="0.25">
      <c r="AG75" s="4"/>
      <c r="AH75" s="4"/>
      <c r="BO75" s="326">
        <f>-BO73*0.5/0.5*0.75</f>
        <v>-478.17152055472854</v>
      </c>
      <c r="BP75" s="326">
        <f>-BP73*1.15*0.52/0.5</f>
        <v>-1330.6151777899793</v>
      </c>
      <c r="BQ75" t="s">
        <v>117</v>
      </c>
    </row>
    <row r="76" spans="1:69" x14ac:dyDescent="0.25">
      <c r="J76" s="202"/>
      <c r="AG76" s="4"/>
      <c r="AH76" s="4"/>
      <c r="BO76" s="326">
        <f>SUM(BP44:BP59,BR44:BR59)</f>
        <v>840.87245126074924</v>
      </c>
      <c r="BP76" s="326">
        <f>SUM(BT44:BT59,BV44:BV59)</f>
        <v>1517.654662583931</v>
      </c>
      <c r="BQ76" t="s">
        <v>118</v>
      </c>
    </row>
    <row r="77" spans="1:69" x14ac:dyDescent="0.25">
      <c r="J77" s="12"/>
      <c r="K77" s="13"/>
      <c r="AG77" s="4"/>
      <c r="AH77" s="4"/>
      <c r="BO77" s="326">
        <f>SUM(BO75:BO76)</f>
        <v>362.7009307060207</v>
      </c>
      <c r="BP77" s="326">
        <f>SUM(BP75:BP76)</f>
        <v>187.03948479395171</v>
      </c>
      <c r="BQ77" t="s">
        <v>114</v>
      </c>
    </row>
    <row r="78" spans="1:69" x14ac:dyDescent="0.25">
      <c r="J78" s="12"/>
      <c r="K78" s="13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69" x14ac:dyDescent="0.25">
      <c r="J79" s="12"/>
      <c r="K79" s="13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69" x14ac:dyDescent="0.25">
      <c r="J80" s="12"/>
      <c r="K80" s="13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BC80" s="189"/>
      <c r="BE80" s="189"/>
      <c r="BG80" s="189"/>
      <c r="BI80" s="189"/>
    </row>
    <row r="81" spans="10:68" x14ac:dyDescent="0.25">
      <c r="J81" s="12"/>
      <c r="K81" s="13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BC81" s="189"/>
      <c r="BE81" s="189"/>
      <c r="BG81" s="189"/>
      <c r="BI81" s="189"/>
    </row>
    <row r="82" spans="10:68" x14ac:dyDescent="0.25">
      <c r="J82" s="12"/>
      <c r="K82" s="13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Z82" s="189"/>
      <c r="BA82" s="189"/>
      <c r="BC82" s="189"/>
      <c r="BE82" s="189"/>
      <c r="BO82" s="327"/>
      <c r="BP82" s="327"/>
    </row>
    <row r="83" spans="10:68" x14ac:dyDescent="0.25">
      <c r="J83" s="12"/>
      <c r="K83" s="13"/>
      <c r="AZ83" s="189"/>
      <c r="BA83" s="189"/>
      <c r="BC83" s="189"/>
      <c r="BE83" s="189"/>
    </row>
    <row r="84" spans="10:68" x14ac:dyDescent="0.25">
      <c r="J84" s="12"/>
      <c r="K84" s="13"/>
      <c r="AZ84" s="189"/>
      <c r="BA84" s="189"/>
      <c r="BC84" s="189"/>
      <c r="BE84" s="189"/>
    </row>
    <row r="85" spans="10:68" x14ac:dyDescent="0.25">
      <c r="J85" s="12"/>
      <c r="K85" s="13"/>
      <c r="AZ85" s="189"/>
      <c r="BA85" s="189"/>
      <c r="BC85" s="189"/>
      <c r="BE85" s="189"/>
    </row>
    <row r="86" spans="10:68" x14ac:dyDescent="0.25">
      <c r="J86" s="12"/>
      <c r="K86" s="13"/>
      <c r="AZ86" s="189"/>
      <c r="BA86" s="189"/>
      <c r="BC86" s="189"/>
      <c r="BE86" s="189"/>
    </row>
    <row r="87" spans="10:68" x14ac:dyDescent="0.25">
      <c r="J87" s="12"/>
      <c r="K87" s="13"/>
      <c r="AZ87" s="189"/>
      <c r="BA87" s="189"/>
      <c r="BC87" s="189"/>
      <c r="BE87" s="189"/>
    </row>
    <row r="88" spans="10:68" x14ac:dyDescent="0.25">
      <c r="J88" s="12"/>
      <c r="K88" s="13"/>
      <c r="AZ88" s="189"/>
      <c r="BA88" s="189"/>
      <c r="BC88" s="189"/>
      <c r="BE88" s="189"/>
    </row>
    <row r="89" spans="10:68" x14ac:dyDescent="0.25">
      <c r="J89" s="12"/>
      <c r="K89" s="13"/>
      <c r="AZ89" s="189"/>
      <c r="BA89" s="189"/>
      <c r="BC89" s="189"/>
      <c r="BE89" s="189"/>
    </row>
    <row r="90" spans="10:68" x14ac:dyDescent="0.25">
      <c r="J90" s="12"/>
      <c r="K90" s="13"/>
      <c r="L90" s="4"/>
      <c r="AZ90" s="189"/>
      <c r="BA90" s="189"/>
      <c r="BC90" s="189"/>
      <c r="BE90" s="189"/>
    </row>
    <row r="91" spans="10:68" x14ac:dyDescent="0.25">
      <c r="AZ91" s="189"/>
      <c r="BA91" s="189"/>
      <c r="BC91" s="189"/>
      <c r="BE91" s="189"/>
    </row>
  </sheetData>
  <mergeCells count="58">
    <mergeCell ref="BL55:BL59"/>
    <mergeCell ref="BU41:BV41"/>
    <mergeCell ref="BS40:BV40"/>
    <mergeCell ref="BO40:BR40"/>
    <mergeCell ref="BP42:BP43"/>
    <mergeCell ref="BQ42:BQ43"/>
    <mergeCell ref="BR42:BR43"/>
    <mergeCell ref="BS42:BS43"/>
    <mergeCell ref="BT42:BT43"/>
    <mergeCell ref="BU42:BU43"/>
    <mergeCell ref="BV42:BV43"/>
    <mergeCell ref="BO42:BO43"/>
    <mergeCell ref="BO41:BP41"/>
    <mergeCell ref="BQ41:BR41"/>
    <mergeCell ref="BS41:BT41"/>
    <mergeCell ref="BL42:BM42"/>
    <mergeCell ref="AX34:AX35"/>
    <mergeCell ref="AY34:AY35"/>
    <mergeCell ref="BH34:BH35"/>
    <mergeCell ref="BI34:BI35"/>
    <mergeCell ref="T39:T40"/>
    <mergeCell ref="AG39:AG40"/>
    <mergeCell ref="V38:X38"/>
    <mergeCell ref="Y38:AA38"/>
    <mergeCell ref="AB38:AD38"/>
    <mergeCell ref="AE38:AG38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P39:P40"/>
    <mergeCell ref="Q39:Q40"/>
    <mergeCell ref="R39:R40"/>
    <mergeCell ref="I39:I40"/>
    <mergeCell ref="J39:J40"/>
    <mergeCell ref="K39:K40"/>
    <mergeCell ref="L39:L40"/>
    <mergeCell ref="M39:M40"/>
    <mergeCell ref="AF39:AF40"/>
    <mergeCell ref="I28:K28"/>
    <mergeCell ref="L28:N28"/>
    <mergeCell ref="O28:Q28"/>
    <mergeCell ref="R28:T28"/>
    <mergeCell ref="I32:T32"/>
    <mergeCell ref="I30:T30"/>
    <mergeCell ref="S39:S40"/>
    <mergeCell ref="I38:K38"/>
    <mergeCell ref="L38:N38"/>
    <mergeCell ref="O38:Q38"/>
    <mergeCell ref="R38:T38"/>
    <mergeCell ref="N39:N40"/>
    <mergeCell ref="O39:O4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9"/>
  <sheetViews>
    <sheetView topLeftCell="A16" zoomScale="80" zoomScaleNormal="80" zoomScalePageLayoutView="80" workbookViewId="0">
      <pane xSplit="1" topLeftCell="B1" activePane="topRight" state="frozen"/>
      <selection pane="topRight" activeCell="F20" sqref="F20"/>
    </sheetView>
  </sheetViews>
  <sheetFormatPr defaultColWidth="8.85546875" defaultRowHeight="15" x14ac:dyDescent="0.25"/>
  <cols>
    <col min="1" max="1" width="68.7109375" customWidth="1"/>
    <col min="2" max="2" width="17.42578125" customWidth="1"/>
    <col min="3" max="3" width="10.85546875" customWidth="1"/>
    <col min="4" max="9" width="9.28515625" style="4" bestFit="1" customWidth="1"/>
    <col min="10" max="10" width="12" customWidth="1"/>
    <col min="11" max="11" width="13.140625" customWidth="1"/>
    <col min="12" max="12" width="14.42578125" customWidth="1"/>
    <col min="13" max="13" width="14" customWidth="1"/>
    <col min="14" max="16" width="11.140625" customWidth="1"/>
    <col min="17" max="17" width="11.140625" bestFit="1" customWidth="1"/>
    <col min="19" max="19" width="10.140625" bestFit="1" customWidth="1"/>
    <col min="23" max="23" width="10.42578125" customWidth="1"/>
  </cols>
  <sheetData>
    <row r="1" spans="1:13" ht="15.75" thickBot="1" x14ac:dyDescent="0.3">
      <c r="I1" s="105"/>
      <c r="J1" s="297" t="s">
        <v>43</v>
      </c>
      <c r="K1" s="297"/>
    </row>
    <row r="2" spans="1:13" ht="15.75" thickBot="1" x14ac:dyDescent="0.3">
      <c r="A2" s="304" t="s">
        <v>24</v>
      </c>
      <c r="B2" s="308" t="s">
        <v>22</v>
      </c>
      <c r="C2" s="309"/>
      <c r="D2" s="307" t="s">
        <v>25</v>
      </c>
      <c r="E2" s="302"/>
      <c r="F2" s="303"/>
      <c r="G2" s="301" t="s">
        <v>26</v>
      </c>
      <c r="H2" s="302"/>
      <c r="I2" s="303"/>
      <c r="J2" s="310" t="s">
        <v>77</v>
      </c>
      <c r="K2" s="311"/>
      <c r="L2" s="311"/>
      <c r="M2" s="312"/>
    </row>
    <row r="3" spans="1:13" x14ac:dyDescent="0.25">
      <c r="A3" s="305"/>
      <c r="B3" s="313" t="s">
        <v>0</v>
      </c>
      <c r="C3" s="317" t="s">
        <v>2</v>
      </c>
      <c r="D3" s="298" t="s">
        <v>9</v>
      </c>
      <c r="E3" s="299"/>
      <c r="F3" s="300"/>
      <c r="G3" s="298" t="s">
        <v>9</v>
      </c>
      <c r="H3" s="299"/>
      <c r="I3" s="300"/>
      <c r="J3" s="318" t="s">
        <v>14</v>
      </c>
      <c r="K3" s="314" t="s">
        <v>18</v>
      </c>
      <c r="L3" s="314" t="s">
        <v>27</v>
      </c>
      <c r="M3" s="321" t="s">
        <v>15</v>
      </c>
    </row>
    <row r="4" spans="1:13" x14ac:dyDescent="0.25">
      <c r="A4" s="305"/>
      <c r="B4" s="313"/>
      <c r="C4" s="317"/>
      <c r="D4" s="38" t="s">
        <v>11</v>
      </c>
      <c r="E4" s="35" t="s">
        <v>23</v>
      </c>
      <c r="F4" s="35" t="s">
        <v>3</v>
      </c>
      <c r="G4" s="38" t="s">
        <v>11</v>
      </c>
      <c r="H4" s="35" t="s">
        <v>23</v>
      </c>
      <c r="I4" s="35" t="s">
        <v>3</v>
      </c>
      <c r="J4" s="319"/>
      <c r="K4" s="315"/>
      <c r="L4" s="315"/>
      <c r="M4" s="322"/>
    </row>
    <row r="5" spans="1:13" ht="15" customHeight="1" thickBot="1" x14ac:dyDescent="0.3">
      <c r="A5" s="306"/>
      <c r="B5" s="313"/>
      <c r="C5" s="317"/>
      <c r="D5" s="41" t="s">
        <v>10</v>
      </c>
      <c r="E5" s="42" t="s">
        <v>10</v>
      </c>
      <c r="F5" s="42" t="s">
        <v>10</v>
      </c>
      <c r="G5" s="41" t="s">
        <v>10</v>
      </c>
      <c r="H5" s="42" t="s">
        <v>10</v>
      </c>
      <c r="I5" s="42" t="s">
        <v>10</v>
      </c>
      <c r="J5" s="320"/>
      <c r="K5" s="316"/>
      <c r="L5" s="316"/>
      <c r="M5" s="323"/>
    </row>
    <row r="6" spans="1:13" x14ac:dyDescent="0.25">
      <c r="A6" s="26" t="s">
        <v>28</v>
      </c>
      <c r="B6" s="47">
        <f t="shared" ref="B6:F6" si="0">0.9*B34+0.1*B37</f>
        <v>119.10000000000001</v>
      </c>
      <c r="C6" s="48">
        <f t="shared" si="0"/>
        <v>37.873792100000003</v>
      </c>
      <c r="D6" s="40">
        <f>0.9*D34+0.1*D37</f>
        <v>0.65429076805500275</v>
      </c>
      <c r="E6" s="39">
        <f t="shared" si="0"/>
        <v>0.23490282102386678</v>
      </c>
      <c r="F6" s="39">
        <f t="shared" si="0"/>
        <v>0.3000164082683146</v>
      </c>
      <c r="G6" s="40">
        <f>0.9*G34+0.1*G37</f>
        <v>0.87222782552819844</v>
      </c>
      <c r="H6" s="39">
        <f>0.9*H34+0.1*H37</f>
        <v>0.39628834067282925</v>
      </c>
      <c r="I6" s="39">
        <f>0.9*I34+0.1*I37</f>
        <v>0.46948393376553282</v>
      </c>
      <c r="J6" s="36">
        <v>15602</v>
      </c>
      <c r="K6" s="37">
        <v>220</v>
      </c>
      <c r="L6" s="43">
        <f t="shared" ref="L6:L16" si="1">K6/$K$16</f>
        <v>6.6646470766434415E-2</v>
      </c>
      <c r="M6" s="59">
        <f>K6*1000000/J6</f>
        <v>14100.756313293168</v>
      </c>
    </row>
    <row r="7" spans="1:13" x14ac:dyDescent="0.25">
      <c r="A7" s="26" t="s">
        <v>30</v>
      </c>
      <c r="B7" s="47">
        <f>0.9*B35+0.1*B34</f>
        <v>203.10000000000002</v>
      </c>
      <c r="C7" s="48">
        <f t="shared" ref="C7:F7" si="2">0.9*C35+0.1*C34</f>
        <v>15.020030300000002</v>
      </c>
      <c r="D7" s="40">
        <f t="shared" si="2"/>
        <v>0.4573218439608428</v>
      </c>
      <c r="E7" s="39">
        <f t="shared" si="2"/>
        <v>0.17319034688509363</v>
      </c>
      <c r="F7" s="39">
        <f t="shared" si="2"/>
        <v>0.22119739651884365</v>
      </c>
      <c r="G7" s="40">
        <f>0.9*G35+0.1*G34</f>
        <v>0.65791971703940377</v>
      </c>
      <c r="H7" s="39">
        <f>0.9*H35+0.1*H34</f>
        <v>0.32579962812037211</v>
      </c>
      <c r="I7" s="39">
        <f>0.9*I35+0.1*I34</f>
        <v>0.38193145314528659</v>
      </c>
      <c r="J7" s="29">
        <v>2281</v>
      </c>
      <c r="K7" s="31">
        <v>233</v>
      </c>
      <c r="L7" s="44">
        <f t="shared" si="1"/>
        <v>7.0584671311723718E-2</v>
      </c>
      <c r="M7" s="49">
        <f t="shared" ref="M7:M22" si="3">K7*1000000/J7</f>
        <v>102148.18062253398</v>
      </c>
    </row>
    <row r="8" spans="1:13" x14ac:dyDescent="0.25">
      <c r="A8" s="26" t="s">
        <v>31</v>
      </c>
      <c r="B8" s="47">
        <f t="shared" ref="B8:F8" si="4">B34</f>
        <v>123</v>
      </c>
      <c r="C8" s="48">
        <f t="shared" si="4"/>
        <v>42.000827000000001</v>
      </c>
      <c r="D8" s="40">
        <f t="shared" si="4"/>
        <v>0.64664207868024282</v>
      </c>
      <c r="E8" s="39">
        <f t="shared" si="4"/>
        <v>0.23198294289097149</v>
      </c>
      <c r="F8" s="39">
        <f t="shared" si="4"/>
        <v>0.29206033432326606</v>
      </c>
      <c r="G8" s="40">
        <f>G34</f>
        <v>0.87233248426148935</v>
      </c>
      <c r="H8" s="39">
        <f>H34</f>
        <v>0.39352422249486474</v>
      </c>
      <c r="I8" s="39">
        <f>I34</f>
        <v>0.46289578308623358</v>
      </c>
      <c r="J8" s="29">
        <v>701</v>
      </c>
      <c r="K8" s="31">
        <v>149</v>
      </c>
      <c r="L8" s="44">
        <f t="shared" si="1"/>
        <v>4.5137837019085122E-2</v>
      </c>
      <c r="M8" s="49">
        <f t="shared" si="3"/>
        <v>212553.49500713267</v>
      </c>
    </row>
    <row r="9" spans="1:13" x14ac:dyDescent="0.25">
      <c r="A9" s="26" t="s">
        <v>32</v>
      </c>
      <c r="B9" s="47">
        <f t="shared" ref="B9:F9" si="5">B36</f>
        <v>77</v>
      </c>
      <c r="C9" s="48">
        <f t="shared" si="5"/>
        <v>36.216177999999999</v>
      </c>
      <c r="D9" s="40">
        <f t="shared" si="5"/>
        <v>0.22327734670669455</v>
      </c>
      <c r="E9" s="39">
        <f t="shared" si="5"/>
        <v>0.1218191649327853</v>
      </c>
      <c r="F9" s="39">
        <f t="shared" si="5"/>
        <v>0.1819634363081703</v>
      </c>
      <c r="G9" s="40">
        <f>G36</f>
        <v>0.52439618974228241</v>
      </c>
      <c r="H9" s="39">
        <f>H36</f>
        <v>0.2495777584695954</v>
      </c>
      <c r="I9" s="39">
        <f>I36</f>
        <v>0.41248974861598875</v>
      </c>
      <c r="J9" s="29">
        <v>3882</v>
      </c>
      <c r="K9" s="31">
        <v>191</v>
      </c>
      <c r="L9" s="44">
        <f t="shared" si="1"/>
        <v>5.786125416540442E-2</v>
      </c>
      <c r="M9" s="49">
        <f t="shared" si="3"/>
        <v>49201.442555383823</v>
      </c>
    </row>
    <row r="10" spans="1:13" x14ac:dyDescent="0.25">
      <c r="A10" s="23" t="s">
        <v>33</v>
      </c>
      <c r="B10" s="47">
        <f t="shared" ref="B10:F10" si="6">B39</f>
        <v>122</v>
      </c>
      <c r="C10" s="48">
        <f t="shared" si="6"/>
        <v>25.023702</v>
      </c>
      <c r="D10" s="40">
        <f t="shared" si="6"/>
        <v>0.12078412761619113</v>
      </c>
      <c r="E10" s="39">
        <f t="shared" si="6"/>
        <v>0.12789973841330898</v>
      </c>
      <c r="F10" s="39">
        <f t="shared" si="6"/>
        <v>0.12585419731561467</v>
      </c>
      <c r="G10" s="40">
        <f>G39</f>
        <v>0.23322825995930752</v>
      </c>
      <c r="H10" s="39">
        <f>H39</f>
        <v>0.30203167270762976</v>
      </c>
      <c r="I10" s="39">
        <f>I39</f>
        <v>0.28225259646932227</v>
      </c>
      <c r="J10" s="29">
        <v>480</v>
      </c>
      <c r="K10" s="31">
        <v>41</v>
      </c>
      <c r="L10" s="44">
        <f t="shared" si="1"/>
        <v>1.2420478642835504E-2</v>
      </c>
      <c r="M10" s="49">
        <f t="shared" si="3"/>
        <v>85416.666666666672</v>
      </c>
    </row>
    <row r="11" spans="1:13" x14ac:dyDescent="0.25">
      <c r="A11" s="27" t="s">
        <v>21</v>
      </c>
      <c r="B11" s="47">
        <v>0</v>
      </c>
      <c r="C11" s="48">
        <v>0</v>
      </c>
      <c r="D11" s="40">
        <v>0</v>
      </c>
      <c r="E11" s="39">
        <v>0</v>
      </c>
      <c r="F11" s="39">
        <v>0</v>
      </c>
      <c r="G11" s="40">
        <v>0</v>
      </c>
      <c r="H11" s="39">
        <v>0</v>
      </c>
      <c r="I11" s="39">
        <v>0</v>
      </c>
      <c r="J11" s="29">
        <v>134</v>
      </c>
      <c r="K11" s="31">
        <v>389</v>
      </c>
      <c r="L11" s="44">
        <f t="shared" si="1"/>
        <v>0.11784307785519539</v>
      </c>
      <c r="M11" s="49">
        <f t="shared" si="3"/>
        <v>2902985.0746268658</v>
      </c>
    </row>
    <row r="12" spans="1:13" x14ac:dyDescent="0.25">
      <c r="A12" s="27" t="s">
        <v>34</v>
      </c>
      <c r="B12" s="47">
        <f t="shared" ref="B12:F12" si="7">B38</f>
        <v>20</v>
      </c>
      <c r="C12" s="48">
        <f t="shared" si="7"/>
        <v>1.4</v>
      </c>
      <c r="D12" s="40">
        <f t="shared" si="7"/>
        <v>0.56000000000000005</v>
      </c>
      <c r="E12" s="39">
        <f t="shared" si="7"/>
        <v>0.12</v>
      </c>
      <c r="F12" s="39">
        <f t="shared" si="7"/>
        <v>0.32</v>
      </c>
      <c r="G12" s="40">
        <f>G38</f>
        <v>0.79</v>
      </c>
      <c r="H12" s="39">
        <f>H38</f>
        <v>0.28999999999999998</v>
      </c>
      <c r="I12" s="39">
        <f>I38</f>
        <v>0.52</v>
      </c>
      <c r="J12" s="29">
        <v>2915</v>
      </c>
      <c r="K12" s="31">
        <v>58</v>
      </c>
      <c r="L12" s="44">
        <f t="shared" si="1"/>
        <v>1.7570433202059983E-2</v>
      </c>
      <c r="M12" s="49">
        <f t="shared" si="3"/>
        <v>19897.084048027446</v>
      </c>
    </row>
    <row r="13" spans="1:13" x14ac:dyDescent="0.25">
      <c r="A13" s="27" t="s">
        <v>35</v>
      </c>
      <c r="B13" s="47">
        <f t="shared" ref="B13:F13" si="8">B37</f>
        <v>84</v>
      </c>
      <c r="C13" s="48">
        <f t="shared" si="8"/>
        <v>0.73047799999999996</v>
      </c>
      <c r="D13" s="40">
        <f t="shared" si="8"/>
        <v>0.72312897242784202</v>
      </c>
      <c r="E13" s="39">
        <f t="shared" si="8"/>
        <v>0.26118172421992442</v>
      </c>
      <c r="F13" s="39">
        <f t="shared" si="8"/>
        <v>0.37162107377375148</v>
      </c>
      <c r="G13" s="40">
        <f>G37</f>
        <v>0.87128589692857961</v>
      </c>
      <c r="H13" s="39">
        <f>H37</f>
        <v>0.42116540427451005</v>
      </c>
      <c r="I13" s="39">
        <f>I37</f>
        <v>0.52877728987922568</v>
      </c>
      <c r="J13" s="30">
        <v>958</v>
      </c>
      <c r="K13" s="32">
        <v>69</v>
      </c>
      <c r="L13" s="45">
        <f t="shared" si="1"/>
        <v>2.0902756740381702E-2</v>
      </c>
      <c r="M13" s="60">
        <f t="shared" si="3"/>
        <v>72025.052192066811</v>
      </c>
    </row>
    <row r="14" spans="1:13" x14ac:dyDescent="0.25">
      <c r="A14" s="27" t="s">
        <v>29</v>
      </c>
      <c r="B14" s="47">
        <f t="shared" ref="B14:F14" si="9">B37</f>
        <v>84</v>
      </c>
      <c r="C14" s="48">
        <f t="shared" si="9"/>
        <v>0.73047799999999996</v>
      </c>
      <c r="D14" s="40">
        <f t="shared" si="9"/>
        <v>0.72312897242784202</v>
      </c>
      <c r="E14" s="39">
        <f t="shared" si="9"/>
        <v>0.26118172421992442</v>
      </c>
      <c r="F14" s="39">
        <f t="shared" si="9"/>
        <v>0.37162107377375148</v>
      </c>
      <c r="G14" s="40">
        <f>G37</f>
        <v>0.87128589692857961</v>
      </c>
      <c r="H14" s="39">
        <f>H37</f>
        <v>0.42116540427451005</v>
      </c>
      <c r="I14" s="39">
        <f>I37</f>
        <v>0.52877728987922568</v>
      </c>
      <c r="J14" s="30">
        <v>27277</v>
      </c>
      <c r="K14" s="32">
        <v>308</v>
      </c>
      <c r="L14" s="45">
        <f t="shared" si="1"/>
        <v>9.3305059073008179E-2</v>
      </c>
      <c r="M14" s="60">
        <f t="shared" si="3"/>
        <v>11291.564321589618</v>
      </c>
    </row>
    <row r="15" spans="1:13" x14ac:dyDescent="0.25">
      <c r="A15" s="27" t="s">
        <v>16</v>
      </c>
      <c r="B15" s="47"/>
      <c r="C15" s="48"/>
      <c r="D15" s="40">
        <f t="shared" ref="D15:F15" si="10">D19</f>
        <v>0.42192242062537527</v>
      </c>
      <c r="E15" s="39">
        <f t="shared" si="10"/>
        <v>0.1571376898360986</v>
      </c>
      <c r="F15" s="39">
        <f t="shared" si="10"/>
        <v>0.21690939460771505</v>
      </c>
      <c r="G15" s="40">
        <f>G19</f>
        <v>0.5785161458881356</v>
      </c>
      <c r="H15" s="39">
        <f>H19</f>
        <v>0.27586360995898668</v>
      </c>
      <c r="I15" s="39">
        <f>I19</f>
        <v>0.35049149723551387</v>
      </c>
      <c r="J15" s="30">
        <v>91326</v>
      </c>
      <c r="K15" s="32">
        <v>1643</v>
      </c>
      <c r="L15" s="45">
        <f t="shared" si="1"/>
        <v>0.49772796122387153</v>
      </c>
      <c r="M15" s="60">
        <f t="shared" si="3"/>
        <v>17990.495587236932</v>
      </c>
    </row>
    <row r="16" spans="1:13" ht="15.75" thickBot="1" x14ac:dyDescent="0.3">
      <c r="A16" s="28" t="s">
        <v>8</v>
      </c>
      <c r="B16" s="47"/>
      <c r="C16" s="48"/>
      <c r="D16" s="40"/>
      <c r="E16" s="39"/>
      <c r="F16" s="39"/>
      <c r="G16" s="40"/>
      <c r="H16" s="39"/>
      <c r="I16" s="39"/>
      <c r="J16" s="33">
        <f>SUM(J6:J15)</f>
        <v>145556</v>
      </c>
      <c r="K16" s="34">
        <f>SUM(K6:K15)</f>
        <v>3301</v>
      </c>
      <c r="L16" s="46">
        <f t="shared" si="1"/>
        <v>1</v>
      </c>
      <c r="M16" s="61">
        <f t="shared" si="3"/>
        <v>22678.55670669708</v>
      </c>
    </row>
    <row r="17" spans="1:13" x14ac:dyDescent="0.25">
      <c r="D17"/>
      <c r="E17"/>
      <c r="F17"/>
      <c r="G17"/>
      <c r="H17"/>
      <c r="I17"/>
    </row>
    <row r="18" spans="1:13" ht="15.75" thickBot="1" x14ac:dyDescent="0.3">
      <c r="A18" s="12" t="s">
        <v>45</v>
      </c>
      <c r="D18"/>
      <c r="E18"/>
      <c r="F18"/>
      <c r="G18"/>
      <c r="H18"/>
      <c r="I18"/>
      <c r="J18" s="14" t="s">
        <v>44</v>
      </c>
    </row>
    <row r="19" spans="1:13" x14ac:dyDescent="0.25">
      <c r="A19" s="70" t="s">
        <v>5</v>
      </c>
      <c r="B19" s="71"/>
      <c r="C19" s="76"/>
      <c r="D19" s="82">
        <f>SUMPRODUCT(D6:D14,$L$6:$L$14)/SUM(L6:L14)</f>
        <v>0.42192242062537527</v>
      </c>
      <c r="E19" s="72">
        <f>SUMPRODUCT(E6:E14,$L$6:$L$14)/SUM($L$6:$L$14)</f>
        <v>0.1571376898360986</v>
      </c>
      <c r="F19" s="203">
        <f>SUMPRODUCT(F6:F14,$L$6:$L$14)/SUM($L$6:$L$14)</f>
        <v>0.21690939460771505</v>
      </c>
      <c r="G19" s="80">
        <f>SUMPRODUCT(G6:G14,$L$6:$L$14)/SUM($L$6:$L$14)</f>
        <v>0.5785161458881356</v>
      </c>
      <c r="H19" s="72">
        <f>SUMPRODUCT(H6:H14,$L$6:$L$14)/SUM($L$6:$L$14)</f>
        <v>0.27586360995898668</v>
      </c>
      <c r="I19" s="203">
        <f>SUMPRODUCT(I6:I14,$L$6:$L$14)/SUM($L$6:$L$14)</f>
        <v>0.35049149723551387</v>
      </c>
      <c r="J19" s="62">
        <v>79543</v>
      </c>
      <c r="K19" s="63">
        <v>2040</v>
      </c>
      <c r="L19" s="64">
        <f>K19/SUM($K$19:$K$22)</f>
        <v>0.29807130333138515</v>
      </c>
      <c r="M19" s="65">
        <f>M16</f>
        <v>22678.55670669708</v>
      </c>
    </row>
    <row r="20" spans="1:13" x14ac:dyDescent="0.25">
      <c r="A20" s="73" t="s">
        <v>13</v>
      </c>
      <c r="B20" s="53"/>
      <c r="C20" s="77"/>
      <c r="D20" s="83">
        <f t="shared" ref="D20:F20" si="11">D39</f>
        <v>0.12078412761619113</v>
      </c>
      <c r="E20" s="54">
        <f t="shared" si="11"/>
        <v>0.12789973841330898</v>
      </c>
      <c r="F20" s="204">
        <f t="shared" si="11"/>
        <v>0.12585419731561467</v>
      </c>
      <c r="G20" s="81">
        <f>G39</f>
        <v>0.23322825995930752</v>
      </c>
      <c r="H20" s="54">
        <f>H39</f>
        <v>0.30203167270762976</v>
      </c>
      <c r="I20" s="204">
        <f>I39</f>
        <v>0.28225259646932227</v>
      </c>
      <c r="J20" s="29">
        <v>4701</v>
      </c>
      <c r="K20" s="31">
        <v>903</v>
      </c>
      <c r="L20" s="44">
        <f>K20/SUM($K$19:$K$22)</f>
        <v>0.13194038573933373</v>
      </c>
      <c r="M20" s="49">
        <f t="shared" si="3"/>
        <v>192086.79004467133</v>
      </c>
    </row>
    <row r="21" spans="1:13" x14ac:dyDescent="0.25">
      <c r="A21" s="73" t="s">
        <v>6</v>
      </c>
      <c r="B21" s="52"/>
      <c r="C21" s="78"/>
      <c r="D21" s="83">
        <v>0.4</v>
      </c>
      <c r="E21" s="54">
        <v>0.4</v>
      </c>
      <c r="F21" s="204">
        <v>0.4</v>
      </c>
      <c r="G21" s="81">
        <v>0.4</v>
      </c>
      <c r="H21" s="54">
        <v>0.4</v>
      </c>
      <c r="I21" s="204">
        <v>0.4</v>
      </c>
      <c r="J21" s="29">
        <v>4816</v>
      </c>
      <c r="K21" s="31">
        <v>1202</v>
      </c>
      <c r="L21" s="44">
        <f>K21/SUM($K$19:$K$22)</f>
        <v>0.17562828755113968</v>
      </c>
      <c r="M21" s="49">
        <f t="shared" si="3"/>
        <v>249584.71760797343</v>
      </c>
    </row>
    <row r="22" spans="1:13" ht="15.75" thickBot="1" x14ac:dyDescent="0.3">
      <c r="A22" s="74" t="s">
        <v>7</v>
      </c>
      <c r="B22" s="75"/>
      <c r="C22" s="79"/>
      <c r="D22" s="185">
        <v>0.34</v>
      </c>
      <c r="E22" s="186">
        <v>0.34</v>
      </c>
      <c r="F22" s="205">
        <v>0.34</v>
      </c>
      <c r="G22" s="187">
        <v>0.34</v>
      </c>
      <c r="H22" s="188">
        <v>0.34</v>
      </c>
      <c r="I22" s="206">
        <v>0.34</v>
      </c>
      <c r="J22" s="66">
        <v>893936</v>
      </c>
      <c r="K22" s="67">
        <v>2699</v>
      </c>
      <c r="L22" s="68">
        <f>K22/SUM($K$19:$K$22)</f>
        <v>0.39436002337814141</v>
      </c>
      <c r="M22" s="69">
        <f t="shared" si="3"/>
        <v>3019.2318018292135</v>
      </c>
    </row>
    <row r="23" spans="1:13" x14ac:dyDescent="0.25">
      <c r="J23" s="50"/>
      <c r="L23" s="50"/>
    </row>
    <row r="24" spans="1:13" ht="15.75" thickBot="1" x14ac:dyDescent="0.3">
      <c r="A24" s="224" t="s">
        <v>107</v>
      </c>
      <c r="B24" s="233" t="s">
        <v>39</v>
      </c>
      <c r="D24" s="233" t="s">
        <v>48</v>
      </c>
      <c r="J24" s="2"/>
      <c r="L24" s="2"/>
    </row>
    <row r="25" spans="1:13" x14ac:dyDescent="0.25">
      <c r="A25" s="70" t="s">
        <v>5</v>
      </c>
      <c r="B25" s="71">
        <f>F19*K19</f>
        <v>442.49516499973868</v>
      </c>
      <c r="C25" s="4">
        <f>B25/$B$29</f>
        <v>0.50390104800228497</v>
      </c>
      <c r="D25" s="228">
        <f>I19*K19</f>
        <v>715.00265436044833</v>
      </c>
      <c r="E25" s="4">
        <f>D25/$D$29</f>
        <v>0.55346149590741545</v>
      </c>
    </row>
    <row r="26" spans="1:13" x14ac:dyDescent="0.25">
      <c r="A26" s="73" t="s">
        <v>13</v>
      </c>
      <c r="B26" s="53">
        <f>F20*K20</f>
        <v>113.64634017600005</v>
      </c>
      <c r="C26" s="4">
        <f t="shared" ref="C26:C28" si="12">B26/$B$29</f>
        <v>0.12941725570344803</v>
      </c>
      <c r="D26" s="229">
        <f>I20*K20</f>
        <v>254.874094611798</v>
      </c>
      <c r="E26" s="4">
        <f>D26/$D$29</f>
        <v>0.19729017341630867</v>
      </c>
    </row>
    <row r="27" spans="1:13" x14ac:dyDescent="0.25">
      <c r="A27" s="73" t="s">
        <v>6</v>
      </c>
      <c r="B27" s="226">
        <f>F21*K21*Forecast!O54</f>
        <v>180.3</v>
      </c>
      <c r="C27" s="4">
        <f t="shared" si="12"/>
        <v>0.20532056876794494</v>
      </c>
      <c r="D27" s="230">
        <f>I21*K21*Forecast!AB54</f>
        <v>180.3</v>
      </c>
      <c r="E27" s="4">
        <f>D27/$D$29</f>
        <v>0.13956466749255056</v>
      </c>
    </row>
    <row r="28" spans="1:13" ht="15.75" thickBot="1" x14ac:dyDescent="0.3">
      <c r="A28" s="74" t="s">
        <v>7</v>
      </c>
      <c r="B28" s="227">
        <f>F22*K22*Forecast!R54</f>
        <v>141.69750000000002</v>
      </c>
      <c r="C28" s="4">
        <f t="shared" si="12"/>
        <v>0.16136112752632212</v>
      </c>
      <c r="D28" s="231">
        <f>I22*K22*Forecast!AE54</f>
        <v>141.69750000000002</v>
      </c>
      <c r="E28" s="4">
        <f>D28/$D$29</f>
        <v>0.10968366318372536</v>
      </c>
    </row>
    <row r="29" spans="1:13" x14ac:dyDescent="0.25">
      <c r="A29" s="225" t="s">
        <v>3</v>
      </c>
      <c r="B29" s="232">
        <f>SUM(B25:B28)</f>
        <v>878.1390051757387</v>
      </c>
      <c r="D29" s="232">
        <f>SUM(D25:D28)</f>
        <v>1291.8742489722463</v>
      </c>
    </row>
    <row r="30" spans="1:13" x14ac:dyDescent="0.25">
      <c r="D30"/>
    </row>
    <row r="33" spans="1:9" x14ac:dyDescent="0.25">
      <c r="A33" s="12" t="s">
        <v>67</v>
      </c>
    </row>
    <row r="34" spans="1:9" x14ac:dyDescent="0.25">
      <c r="A34" s="1" t="s">
        <v>40</v>
      </c>
      <c r="B34" s="55">
        <v>123</v>
      </c>
      <c r="C34" s="56">
        <f>42000827/1000000</f>
        <v>42.000827000000001</v>
      </c>
      <c r="D34" s="22">
        <v>0.64664207868024282</v>
      </c>
      <c r="E34" s="22">
        <v>0.23198294289097149</v>
      </c>
      <c r="F34" s="22">
        <v>0.29206033432326606</v>
      </c>
      <c r="G34" s="22">
        <v>0.87233248426148935</v>
      </c>
      <c r="H34" s="22">
        <v>0.39352422249486474</v>
      </c>
      <c r="I34" s="22">
        <v>0.46289578308623358</v>
      </c>
    </row>
    <row r="35" spans="1:9" x14ac:dyDescent="0.25">
      <c r="A35" s="1" t="s">
        <v>41</v>
      </c>
      <c r="B35" s="55">
        <v>212</v>
      </c>
      <c r="C35" s="56">
        <f>12022164/1000000</f>
        <v>12.022164</v>
      </c>
      <c r="D35" s="22">
        <v>0.43628626232535389</v>
      </c>
      <c r="E35" s="22">
        <v>0.16665783621777389</v>
      </c>
      <c r="F35" s="22">
        <v>0.2133237367627967</v>
      </c>
      <c r="G35" s="22">
        <v>0.63409607623694986</v>
      </c>
      <c r="H35" s="22">
        <v>0.3182746731898729</v>
      </c>
      <c r="I35" s="22">
        <v>0.37293541648518136</v>
      </c>
    </row>
    <row r="36" spans="1:9" x14ac:dyDescent="0.25">
      <c r="A36" s="1" t="s">
        <v>1</v>
      </c>
      <c r="B36" s="55">
        <v>77</v>
      </c>
      <c r="C36" s="56">
        <f>36216178/1000000</f>
        <v>36.216177999999999</v>
      </c>
      <c r="D36" s="22">
        <v>0.22327734670669455</v>
      </c>
      <c r="E36" s="22">
        <v>0.1218191649327853</v>
      </c>
      <c r="F36" s="22">
        <v>0.1819634363081703</v>
      </c>
      <c r="G36" s="22">
        <v>0.52439618974228241</v>
      </c>
      <c r="H36" s="22">
        <v>0.2495777584695954</v>
      </c>
      <c r="I36" s="22">
        <v>0.41248974861598875</v>
      </c>
    </row>
    <row r="37" spans="1:9" x14ac:dyDescent="0.25">
      <c r="A37" s="1" t="s">
        <v>42</v>
      </c>
      <c r="B37" s="55">
        <v>84</v>
      </c>
      <c r="C37" s="56">
        <f>730478/1000000</f>
        <v>0.73047799999999996</v>
      </c>
      <c r="D37" s="22">
        <v>0.72312897242784202</v>
      </c>
      <c r="E37" s="22">
        <v>0.26118172421992442</v>
      </c>
      <c r="F37" s="22">
        <v>0.37162107377375148</v>
      </c>
      <c r="G37" s="22">
        <v>0.87128589692857961</v>
      </c>
      <c r="H37" s="22">
        <v>0.42116540427451005</v>
      </c>
      <c r="I37" s="22">
        <v>0.52877728987922568</v>
      </c>
    </row>
    <row r="38" spans="1:9" x14ac:dyDescent="0.25">
      <c r="A38" s="1" t="s">
        <v>17</v>
      </c>
      <c r="B38" s="55">
        <v>20</v>
      </c>
      <c r="C38" s="56">
        <v>1.4</v>
      </c>
      <c r="D38" s="22">
        <v>0.56000000000000005</v>
      </c>
      <c r="E38" s="22">
        <v>0.12</v>
      </c>
      <c r="F38" s="22">
        <v>0.32</v>
      </c>
      <c r="G38" s="22">
        <v>0.79</v>
      </c>
      <c r="H38" s="22">
        <v>0.28999999999999998</v>
      </c>
      <c r="I38" s="22">
        <v>0.52</v>
      </c>
    </row>
    <row r="39" spans="1:9" x14ac:dyDescent="0.25">
      <c r="A39" s="1" t="s">
        <v>4</v>
      </c>
      <c r="B39" s="57">
        <v>122</v>
      </c>
      <c r="C39" s="58">
        <f>25023702/1000000</f>
        <v>25.023702</v>
      </c>
      <c r="D39" s="22">
        <v>0.12078412761619113</v>
      </c>
      <c r="E39" s="22">
        <v>0.12789973841330898</v>
      </c>
      <c r="F39" s="22">
        <v>0.12585419731561467</v>
      </c>
      <c r="G39" s="22">
        <v>0.23322825995930752</v>
      </c>
      <c r="H39" s="22">
        <v>0.30203167270762976</v>
      </c>
      <c r="I39" s="22">
        <v>0.28225259646932227</v>
      </c>
    </row>
  </sheetData>
  <mergeCells count="14">
    <mergeCell ref="J1:K1"/>
    <mergeCell ref="G3:I3"/>
    <mergeCell ref="G2:I2"/>
    <mergeCell ref="A2:A5"/>
    <mergeCell ref="D2:F2"/>
    <mergeCell ref="B2:C2"/>
    <mergeCell ref="J2:M2"/>
    <mergeCell ref="D3:F3"/>
    <mergeCell ref="B3:B5"/>
    <mergeCell ref="L3:L5"/>
    <mergeCell ref="C3:C5"/>
    <mergeCell ref="J3:J5"/>
    <mergeCell ref="K3:K5"/>
    <mergeCell ref="M3:M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="80" zoomScaleNormal="80" workbookViewId="0">
      <selection activeCell="B25" sqref="B25"/>
    </sheetView>
  </sheetViews>
  <sheetFormatPr defaultColWidth="8.85546875" defaultRowHeight="15" x14ac:dyDescent="0.25"/>
  <cols>
    <col min="1" max="1" width="31.42578125" customWidth="1"/>
    <col min="2" max="2" width="9.7109375" customWidth="1"/>
    <col min="7" max="7" width="1" style="134" customWidth="1"/>
    <col min="8" max="8" width="1.85546875" style="136" customWidth="1"/>
    <col min="9" max="35" width="8.85546875" style="136"/>
  </cols>
  <sheetData>
    <row r="1" spans="1:35" x14ac:dyDescent="0.25">
      <c r="A1" s="25" t="s">
        <v>66</v>
      </c>
    </row>
    <row r="2" spans="1:35" x14ac:dyDescent="0.25">
      <c r="A2" s="3"/>
      <c r="B2" s="3"/>
      <c r="C2" s="3"/>
      <c r="D2" s="3"/>
    </row>
    <row r="3" spans="1:35" x14ac:dyDescent="0.25">
      <c r="A3" s="95" t="s">
        <v>36</v>
      </c>
      <c r="B3" s="96">
        <v>2010</v>
      </c>
      <c r="C3" s="96">
        <v>2011</v>
      </c>
      <c r="D3" s="96">
        <v>2012</v>
      </c>
      <c r="E3" s="97"/>
      <c r="I3" s="138" t="s">
        <v>46</v>
      </c>
    </row>
    <row r="4" spans="1:35" x14ac:dyDescent="0.25">
      <c r="A4" s="96" t="s">
        <v>50</v>
      </c>
      <c r="B4" s="98">
        <f>J47</f>
        <v>17.971023642858558</v>
      </c>
      <c r="C4" s="98">
        <f>K47</f>
        <v>17.722570357443637</v>
      </c>
      <c r="D4" s="98">
        <f>L47</f>
        <v>17.892531684223055</v>
      </c>
      <c r="E4" s="97"/>
    </row>
    <row r="5" spans="1:35" s="5" customFormat="1" x14ac:dyDescent="0.25">
      <c r="A5" s="99" t="s">
        <v>20</v>
      </c>
      <c r="B5" s="100">
        <f>B4/B8</f>
        <v>0.16449163486272145</v>
      </c>
      <c r="C5" s="100">
        <f>C4/C8</f>
        <v>0.1611626247641896</v>
      </c>
      <c r="D5" s="100">
        <f>D4/D8</f>
        <v>0.16088800204496725</v>
      </c>
      <c r="E5" s="103">
        <f>AVERAGE(B5:D5)</f>
        <v>0.16218075389062611</v>
      </c>
      <c r="G5" s="135"/>
      <c r="H5" s="137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</row>
    <row r="6" spans="1:35" x14ac:dyDescent="0.25">
      <c r="A6" s="96" t="s">
        <v>37</v>
      </c>
      <c r="B6" s="143">
        <f>B8-B4</f>
        <v>91.280876357141452</v>
      </c>
      <c r="C6" s="143">
        <f>C8-C4</f>
        <v>92.244429642556355</v>
      </c>
      <c r="D6" s="143">
        <f>D8-D4</f>
        <v>93.318568315776929</v>
      </c>
      <c r="E6" s="104"/>
    </row>
    <row r="7" spans="1:35" s="5" customFormat="1" x14ac:dyDescent="0.25">
      <c r="A7" s="99" t="s">
        <v>20</v>
      </c>
      <c r="B7" s="102">
        <f>1-B5</f>
        <v>0.83550836513727855</v>
      </c>
      <c r="C7" s="102">
        <f>1-C5</f>
        <v>0.83883737523581037</v>
      </c>
      <c r="D7" s="102">
        <f>1-D5</f>
        <v>0.83911199795503277</v>
      </c>
      <c r="E7" s="103">
        <f>1-E5</f>
        <v>0.83781924610937386</v>
      </c>
      <c r="G7" s="135"/>
      <c r="H7" s="137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</row>
    <row r="8" spans="1:35" x14ac:dyDescent="0.25">
      <c r="A8" s="96" t="s">
        <v>19</v>
      </c>
      <c r="B8" s="101">
        <f>-2.3793*(18-41)+54.528</f>
        <v>109.25190000000001</v>
      </c>
      <c r="C8" s="101">
        <f>-2.386*(18-41)+55.089</f>
        <v>109.967</v>
      </c>
      <c r="D8" s="101">
        <f>-2.4267*(18-41)+55.397</f>
        <v>111.21109999999999</v>
      </c>
      <c r="E8" s="97"/>
    </row>
    <row r="9" spans="1:35" x14ac:dyDescent="0.25">
      <c r="A9" s="3"/>
    </row>
    <row r="24" spans="9:9" x14ac:dyDescent="0.25">
      <c r="I24" s="138" t="s">
        <v>47</v>
      </c>
    </row>
    <row r="44" spans="9:12" x14ac:dyDescent="0.25">
      <c r="J44" s="136">
        <v>2010</v>
      </c>
      <c r="K44" s="136">
        <v>2011</v>
      </c>
      <c r="L44" s="136">
        <v>2012</v>
      </c>
    </row>
    <row r="45" spans="9:12" x14ac:dyDescent="0.25">
      <c r="I45" s="136" t="s">
        <v>39</v>
      </c>
      <c r="J45" s="136">
        <v>16.163822998884278</v>
      </c>
      <c r="K45" s="136">
        <v>15.482467985032201</v>
      </c>
      <c r="L45" s="136">
        <v>15.810615065360809</v>
      </c>
    </row>
    <row r="46" spans="9:12" x14ac:dyDescent="0.25">
      <c r="I46" s="136" t="s">
        <v>48</v>
      </c>
      <c r="J46" s="136">
        <v>17.111010157090302</v>
      </c>
      <c r="K46" s="136">
        <v>16.721571175094962</v>
      </c>
      <c r="L46" s="136">
        <v>17.073920500334847</v>
      </c>
    </row>
    <row r="47" spans="9:12" x14ac:dyDescent="0.25">
      <c r="I47" s="136" t="s">
        <v>49</v>
      </c>
      <c r="J47" s="136">
        <v>17.971023642858558</v>
      </c>
      <c r="K47" s="136">
        <v>17.722570357443637</v>
      </c>
      <c r="L47" s="136">
        <v>17.892531684223055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85"/>
  <sheetViews>
    <sheetView workbookViewId="0">
      <selection activeCell="I14" sqref="I14"/>
    </sheetView>
  </sheetViews>
  <sheetFormatPr defaultColWidth="8.85546875" defaultRowHeight="15" x14ac:dyDescent="0.25"/>
  <cols>
    <col min="1" max="1" width="8.85546875" style="1"/>
    <col min="2" max="2" width="13" style="1" customWidth="1"/>
    <col min="3" max="3" width="11.42578125" style="1" customWidth="1"/>
    <col min="4" max="4" width="12.42578125" style="1" customWidth="1"/>
    <col min="5" max="6" width="14" style="1" customWidth="1"/>
    <col min="7" max="7" width="12.85546875" style="1" customWidth="1"/>
    <col min="8" max="8" width="12" style="1" customWidth="1"/>
    <col min="9" max="9" width="11.28515625" style="1" customWidth="1"/>
    <col min="10" max="10" width="13.28515625" style="1" customWidth="1"/>
    <col min="11" max="11" width="14" style="1" customWidth="1"/>
    <col min="12" max="16" width="10.85546875" style="1" customWidth="1"/>
    <col min="17" max="17" width="13.28515625" style="1" customWidth="1"/>
    <col min="18" max="18" width="12.42578125" style="1" customWidth="1"/>
    <col min="19" max="19" width="13.85546875" style="1" customWidth="1"/>
    <col min="20" max="20" width="14.42578125" style="1" customWidth="1"/>
    <col min="21" max="21" width="18.85546875" style="1" customWidth="1"/>
    <col min="22" max="16384" width="8.85546875" style="1"/>
  </cols>
  <sheetData>
    <row r="1" spans="2:21" x14ac:dyDescent="0.25">
      <c r="M1" s="1" t="s">
        <v>95</v>
      </c>
      <c r="N1" s="1" t="s">
        <v>96</v>
      </c>
    </row>
    <row r="2" spans="2:21" x14ac:dyDescent="0.25">
      <c r="B2" s="246" t="s">
        <v>97</v>
      </c>
      <c r="C2" s="247"/>
      <c r="D2" s="247"/>
      <c r="E2" s="247"/>
      <c r="F2" s="247"/>
      <c r="G2" s="247"/>
      <c r="H2" s="248"/>
      <c r="M2" s="211">
        <v>0</v>
      </c>
      <c r="N2" s="22">
        <f>-4.165*M2^4+10.634*M2^3-10.432*M2^2+4.9355*M2</f>
        <v>0</v>
      </c>
    </row>
    <row r="3" spans="2:21" x14ac:dyDescent="0.25">
      <c r="B3" s="249" t="s">
        <v>98</v>
      </c>
      <c r="H3" s="250"/>
      <c r="M3" s="213">
        <f>M2+0.1%</f>
        <v>1E-3</v>
      </c>
      <c r="N3" s="141">
        <f t="shared" ref="N3:N66" si="0">-4.165*M3^4+10.634*M3^3-10.432*M3^2+4.9355*M3</f>
        <v>4.9250786298350004E-3</v>
      </c>
    </row>
    <row r="4" spans="2:21" x14ac:dyDescent="0.25">
      <c r="B4" s="249"/>
      <c r="H4" s="250"/>
      <c r="J4" s="214" t="s">
        <v>89</v>
      </c>
      <c r="K4" s="214" t="s">
        <v>90</v>
      </c>
      <c r="M4" s="213">
        <f t="shared" ref="M4:M67" si="1">M3+0.1%</f>
        <v>2E-3</v>
      </c>
      <c r="N4" s="141">
        <f t="shared" si="0"/>
        <v>9.829357005360001E-3</v>
      </c>
    </row>
    <row r="5" spans="2:21" s="207" customFormat="1" ht="43.5" customHeight="1" x14ac:dyDescent="0.25">
      <c r="B5" s="251"/>
      <c r="C5" s="252" t="s">
        <v>99</v>
      </c>
      <c r="D5" s="252" t="s">
        <v>100</v>
      </c>
      <c r="E5" s="252" t="s">
        <v>103</v>
      </c>
      <c r="F5" s="252" t="s">
        <v>91</v>
      </c>
      <c r="G5" s="252" t="s">
        <v>92</v>
      </c>
      <c r="H5" s="252" t="s">
        <v>93</v>
      </c>
      <c r="J5" s="324" t="s">
        <v>94</v>
      </c>
      <c r="K5" s="325"/>
      <c r="M5" s="213">
        <f t="shared" si="1"/>
        <v>3.0000000000000001E-3</v>
      </c>
      <c r="N5" s="22">
        <f t="shared" si="0"/>
        <v>1.4712898780635E-2</v>
      </c>
      <c r="Q5" s="3"/>
      <c r="R5" s="3"/>
      <c r="S5" s="3"/>
      <c r="T5" s="3"/>
    </row>
    <row r="6" spans="2:21" s="208" customFormat="1" x14ac:dyDescent="0.25">
      <c r="B6" s="253" t="s">
        <v>7</v>
      </c>
      <c r="C6" s="53">
        <v>1061424</v>
      </c>
      <c r="D6" s="53">
        <v>3102</v>
      </c>
      <c r="E6" s="254">
        <f>LOOKUP(G6,$N$2:$N$759,$M$2:$M$759)</f>
        <v>3.3000000000000022E-2</v>
      </c>
      <c r="F6" s="53">
        <f>E6*C6</f>
        <v>35026.99200000002</v>
      </c>
      <c r="G6" s="254">
        <f>[1]Forecast!R54</f>
        <v>0.15441176470588236</v>
      </c>
      <c r="H6" s="53">
        <f>G6*J6*D6</f>
        <v>162.85500000000002</v>
      </c>
      <c r="I6" s="216"/>
      <c r="J6" s="217">
        <f>'[1]Savings Model'!F22</f>
        <v>0.34</v>
      </c>
      <c r="K6" s="217">
        <f>'[1]Savings Model'!I22</f>
        <v>0.34</v>
      </c>
      <c r="M6" s="213">
        <f t="shared" si="1"/>
        <v>4.0000000000000001E-3</v>
      </c>
      <c r="N6" s="22">
        <f t="shared" si="0"/>
        <v>1.9575767509760002E-2</v>
      </c>
      <c r="Q6" s="3"/>
      <c r="R6" s="3"/>
      <c r="S6" s="3"/>
      <c r="T6" s="3"/>
    </row>
    <row r="7" spans="2:21" x14ac:dyDescent="0.25">
      <c r="B7" s="255" t="s">
        <v>5</v>
      </c>
      <c r="C7" s="256">
        <v>95626</v>
      </c>
      <c r="D7" s="256">
        <v>2344</v>
      </c>
      <c r="E7" s="254">
        <f>LOOKUP(G7*0.75,$N$2:$N$759,$M$2:$M$759)</f>
        <v>0.26300000000000018</v>
      </c>
      <c r="F7" s="256">
        <f>C7*E7</f>
        <v>25149.638000000017</v>
      </c>
      <c r="G7" s="257">
        <f>[1]Forecast!L54</f>
        <v>1</v>
      </c>
      <c r="H7" s="256">
        <f>G7*J7*D7</f>
        <v>508.43562096048407</v>
      </c>
      <c r="I7" s="216"/>
      <c r="J7" s="218">
        <f>'[1]Savings Model'!F19</f>
        <v>0.21690939460771505</v>
      </c>
      <c r="K7" s="218">
        <f>'[1]Savings Model'!I19</f>
        <v>0.35049149723551387</v>
      </c>
      <c r="M7" s="213">
        <f t="shared" si="1"/>
        <v>5.0000000000000001E-3</v>
      </c>
      <c r="N7" s="22">
        <f t="shared" si="0"/>
        <v>2.4418026646875E-2</v>
      </c>
      <c r="Q7" s="3"/>
      <c r="R7" s="3"/>
      <c r="S7" s="3"/>
      <c r="T7" s="3"/>
    </row>
    <row r="8" spans="2:21" x14ac:dyDescent="0.25">
      <c r="B8" s="255" t="s">
        <v>13</v>
      </c>
      <c r="C8" s="256">
        <v>5555</v>
      </c>
      <c r="D8" s="256">
        <v>1031</v>
      </c>
      <c r="E8" s="254">
        <f>LOOKUP(G8,$N$2:$N$759,$M$2:$M$759)</f>
        <v>0.74000000000000055</v>
      </c>
      <c r="F8" s="256">
        <f>E8*C8</f>
        <v>4110.7000000000035</v>
      </c>
      <c r="G8" s="257">
        <f>[1]Forecast!I54</f>
        <v>1</v>
      </c>
      <c r="H8" s="256">
        <f>G8*J8*D8</f>
        <v>240.45833601804605</v>
      </c>
      <c r="I8" s="216"/>
      <c r="J8" s="218">
        <f>'[1]Savings Model'!G20</f>
        <v>0.23322825995930752</v>
      </c>
      <c r="K8" s="218">
        <f>'[1]Savings Model'!I20</f>
        <v>0.28225259646932227</v>
      </c>
      <c r="M8" s="213">
        <f t="shared" si="1"/>
        <v>6.0000000000000001E-3</v>
      </c>
      <c r="N8" s="22">
        <f t="shared" si="0"/>
        <v>2.923973954616E-2</v>
      </c>
      <c r="Q8" s="3"/>
      <c r="R8" s="3"/>
      <c r="S8" s="3"/>
      <c r="T8" s="3"/>
    </row>
    <row r="9" spans="2:21" x14ac:dyDescent="0.25">
      <c r="B9" s="255" t="s">
        <v>6</v>
      </c>
      <c r="C9" s="256">
        <v>4849</v>
      </c>
      <c r="D9" s="256">
        <v>1205</v>
      </c>
      <c r="E9" s="254">
        <f>LOOKUP(G9,$N$2:$N$759,$M$2:$M$759)</f>
        <v>9.2000000000000068E-2</v>
      </c>
      <c r="F9" s="256">
        <f>E9*C9</f>
        <v>446.10800000000035</v>
      </c>
      <c r="G9" s="257">
        <f>[1]Forecast!O54</f>
        <v>0.375</v>
      </c>
      <c r="H9" s="256">
        <f>G9*J9*D9</f>
        <v>180.75000000000003</v>
      </c>
      <c r="I9" s="216"/>
      <c r="J9" s="218">
        <f>'[1]Savings Model'!F21</f>
        <v>0.4</v>
      </c>
      <c r="K9" s="218">
        <f>'[1]Savings Model'!I21</f>
        <v>0.4</v>
      </c>
      <c r="M9" s="213">
        <f t="shared" si="1"/>
        <v>7.0000000000000001E-3</v>
      </c>
      <c r="N9" s="22">
        <f t="shared" si="0"/>
        <v>3.4040969461835005E-2</v>
      </c>
      <c r="Q9" s="3"/>
      <c r="R9" s="3"/>
      <c r="S9" s="3"/>
      <c r="T9" s="3"/>
    </row>
    <row r="10" spans="2:21" s="89" customFormat="1" x14ac:dyDescent="0.25">
      <c r="B10" s="258" t="s">
        <v>3</v>
      </c>
      <c r="C10" s="259">
        <f>SUM(C6:C9)</f>
        <v>1167454</v>
      </c>
      <c r="D10" s="259">
        <f>SUM(D6:D9)</f>
        <v>7682</v>
      </c>
      <c r="E10" s="260">
        <f>LOOKUP(G10,$N$2:$N$759,$M$2:$M$759)</f>
        <v>0.12600000000000008</v>
      </c>
      <c r="F10" s="259">
        <f>SUM(F6:F9)</f>
        <v>64733.438000000038</v>
      </c>
      <c r="G10" s="261">
        <f>H10/(D10*J10)</f>
        <v>0.47799763978006898</v>
      </c>
      <c r="H10" s="259">
        <f>SUM(H6:H9)</f>
        <v>1092.4989569785303</v>
      </c>
      <c r="I10" s="216"/>
      <c r="J10" s="219">
        <f>SUMPRODUCT(D6:D9,J6:J9)/D10</f>
        <v>0.29752329562334418</v>
      </c>
      <c r="K10" s="219">
        <f>SUMPRODUCT(D6:D9,K6:K9)/D10</f>
        <v>0.34486260042696121</v>
      </c>
      <c r="M10" s="213">
        <f t="shared" si="1"/>
        <v>8.0000000000000002E-3</v>
      </c>
      <c r="N10" s="22">
        <f t="shared" si="0"/>
        <v>3.8821779548160004E-2</v>
      </c>
      <c r="Q10" s="24"/>
      <c r="R10" s="24"/>
      <c r="S10" s="24"/>
      <c r="T10" s="24"/>
      <c r="U10" s="209"/>
    </row>
    <row r="11" spans="2:21" x14ac:dyDescent="0.25">
      <c r="B11" s="3"/>
      <c r="C11" s="3"/>
      <c r="D11" s="3"/>
      <c r="E11" s="3"/>
      <c r="F11" s="3"/>
      <c r="G11" s="3"/>
      <c r="H11" s="3"/>
      <c r="M11" s="213">
        <f t="shared" si="1"/>
        <v>9.0000000000000011E-3</v>
      </c>
      <c r="N11" s="22">
        <f t="shared" si="0"/>
        <v>4.3582232859435008E-2</v>
      </c>
      <c r="Q11" s="3"/>
      <c r="R11" s="3"/>
      <c r="S11" s="3"/>
      <c r="T11" s="3"/>
    </row>
    <row r="12" spans="2:21" x14ac:dyDescent="0.25">
      <c r="B12" s="3"/>
      <c r="C12" s="3"/>
      <c r="D12" s="3"/>
      <c r="E12" s="3"/>
      <c r="F12" s="3"/>
      <c r="G12" s="3"/>
      <c r="H12" s="3"/>
      <c r="K12" s="22"/>
      <c r="M12" s="213">
        <f t="shared" si="1"/>
        <v>1.0000000000000002E-2</v>
      </c>
      <c r="N12" s="22">
        <f t="shared" si="0"/>
        <v>4.8322392350000007E-2</v>
      </c>
    </row>
    <row r="13" spans="2:21" x14ac:dyDescent="0.25">
      <c r="M13" s="213">
        <f t="shared" si="1"/>
        <v>1.1000000000000003E-2</v>
      </c>
      <c r="N13" s="22">
        <f t="shared" si="0"/>
        <v>5.3042320874235022E-2</v>
      </c>
    </row>
    <row r="14" spans="2:21" x14ac:dyDescent="0.25">
      <c r="B14"/>
      <c r="C14"/>
      <c r="D14"/>
      <c r="E14"/>
      <c r="F14"/>
      <c r="G14"/>
      <c r="H14"/>
      <c r="I14"/>
      <c r="J14"/>
      <c r="K14"/>
      <c r="L14"/>
      <c r="M14" s="213">
        <f t="shared" si="1"/>
        <v>1.2000000000000004E-2</v>
      </c>
      <c r="N14" s="22">
        <f t="shared" si="0"/>
        <v>5.7742081186560018E-2</v>
      </c>
      <c r="O14" s="210"/>
      <c r="P14" s="210"/>
    </row>
    <row r="15" spans="2:21" x14ac:dyDescent="0.25">
      <c r="B15"/>
      <c r="C15"/>
      <c r="D15"/>
      <c r="E15"/>
      <c r="F15"/>
      <c r="G15"/>
      <c r="H15"/>
      <c r="I15"/>
      <c r="J15"/>
      <c r="K15"/>
      <c r="L15"/>
      <c r="M15" s="213">
        <f t="shared" si="1"/>
        <v>1.3000000000000005E-2</v>
      </c>
      <c r="N15" s="22">
        <f t="shared" si="0"/>
        <v>6.2421735941435019E-2</v>
      </c>
    </row>
    <row r="16" spans="2:21" x14ac:dyDescent="0.25">
      <c r="B16"/>
      <c r="C16"/>
      <c r="D16"/>
      <c r="E16"/>
      <c r="F16"/>
      <c r="G16"/>
      <c r="H16"/>
      <c r="I16"/>
      <c r="J16"/>
      <c r="K16"/>
      <c r="L16"/>
      <c r="M16" s="213">
        <f t="shared" si="1"/>
        <v>1.4000000000000005E-2</v>
      </c>
      <c r="N16" s="22">
        <f t="shared" si="0"/>
        <v>6.7081347693360036E-2</v>
      </c>
      <c r="O16" s="212"/>
      <c r="P16" s="212"/>
    </row>
    <row r="17" spans="2:16" x14ac:dyDescent="0.25">
      <c r="B17"/>
      <c r="C17"/>
      <c r="D17"/>
      <c r="E17"/>
      <c r="F17"/>
      <c r="G17"/>
      <c r="H17"/>
      <c r="I17"/>
      <c r="J17"/>
      <c r="K17"/>
      <c r="L17"/>
      <c r="M17" s="213">
        <f t="shared" si="1"/>
        <v>1.5000000000000006E-2</v>
      </c>
      <c r="N17" s="22">
        <f t="shared" si="0"/>
        <v>7.1720978896875023E-2</v>
      </c>
      <c r="O17" s="213"/>
      <c r="P17" s="213"/>
    </row>
    <row r="18" spans="2:16" x14ac:dyDescent="0.25">
      <c r="B18"/>
      <c r="C18"/>
      <c r="D18"/>
      <c r="E18"/>
      <c r="F18"/>
      <c r="G18"/>
      <c r="H18"/>
      <c r="I18"/>
      <c r="J18"/>
      <c r="K18"/>
      <c r="L18"/>
      <c r="M18" s="213">
        <f t="shared" si="1"/>
        <v>1.6000000000000007E-2</v>
      </c>
      <c r="N18" s="22">
        <f t="shared" si="0"/>
        <v>7.6340691906560038E-2</v>
      </c>
      <c r="O18" s="213"/>
      <c r="P18" s="213"/>
    </row>
    <row r="19" spans="2:16" x14ac:dyDescent="0.25">
      <c r="B19"/>
      <c r="C19"/>
      <c r="D19"/>
      <c r="E19"/>
      <c r="F19"/>
      <c r="G19"/>
      <c r="H19"/>
      <c r="I19"/>
      <c r="J19"/>
      <c r="K19"/>
      <c r="L19"/>
      <c r="M19" s="213">
        <f t="shared" si="1"/>
        <v>1.7000000000000008E-2</v>
      </c>
      <c r="N19" s="22">
        <f t="shared" si="0"/>
        <v>8.0940548977035051E-2</v>
      </c>
      <c r="O19" s="213"/>
      <c r="P19" s="213"/>
    </row>
    <row r="20" spans="2:16" x14ac:dyDescent="0.25">
      <c r="B20"/>
      <c r="C20"/>
      <c r="D20"/>
      <c r="E20"/>
      <c r="F20"/>
      <c r="G20"/>
      <c r="H20"/>
      <c r="I20"/>
      <c r="J20"/>
      <c r="K20"/>
      <c r="L20"/>
      <c r="M20" s="213">
        <f t="shared" si="1"/>
        <v>1.8000000000000009E-2</v>
      </c>
      <c r="N20" s="22">
        <f t="shared" si="0"/>
        <v>8.5520612262960038E-2</v>
      </c>
      <c r="O20" s="213"/>
      <c r="P20" s="213"/>
    </row>
    <row r="21" spans="2:16" x14ac:dyDescent="0.25">
      <c r="B21"/>
      <c r="C21"/>
      <c r="D21"/>
      <c r="E21"/>
      <c r="F21"/>
      <c r="G21"/>
      <c r="H21"/>
      <c r="I21"/>
      <c r="J21"/>
      <c r="K21"/>
      <c r="L21"/>
      <c r="M21" s="213">
        <f t="shared" si="1"/>
        <v>1.900000000000001E-2</v>
      </c>
      <c r="N21" s="22">
        <f t="shared" si="0"/>
        <v>9.0080943819035045E-2</v>
      </c>
      <c r="O21" s="213"/>
      <c r="P21" s="213"/>
    </row>
    <row r="22" spans="2:16" x14ac:dyDescent="0.25">
      <c r="B22"/>
      <c r="C22"/>
      <c r="D22"/>
      <c r="E22"/>
      <c r="F22"/>
      <c r="G22"/>
      <c r="H22"/>
      <c r="I22"/>
      <c r="J22"/>
      <c r="K22"/>
      <c r="L22"/>
      <c r="M22" s="213">
        <f t="shared" si="1"/>
        <v>2.0000000000000011E-2</v>
      </c>
      <c r="N22" s="22">
        <f t="shared" si="0"/>
        <v>9.4621605600000061E-2</v>
      </c>
      <c r="O22" s="213"/>
      <c r="P22" s="213"/>
    </row>
    <row r="23" spans="2:16" x14ac:dyDescent="0.25">
      <c r="B23"/>
      <c r="C23"/>
      <c r="D23"/>
      <c r="E23"/>
      <c r="F23"/>
      <c r="G23"/>
      <c r="H23"/>
      <c r="I23"/>
      <c r="J23"/>
      <c r="K23"/>
      <c r="L23"/>
      <c r="M23" s="213">
        <f t="shared" si="1"/>
        <v>2.1000000000000012E-2</v>
      </c>
      <c r="N23" s="22">
        <f t="shared" si="0"/>
        <v>9.9142659460635052E-2</v>
      </c>
      <c r="O23" s="213"/>
      <c r="P23" s="213"/>
    </row>
    <row r="24" spans="2:16" x14ac:dyDescent="0.25">
      <c r="B24"/>
      <c r="C24"/>
      <c r="D24"/>
      <c r="E24"/>
      <c r="F24"/>
      <c r="G24"/>
      <c r="H24"/>
      <c r="I24"/>
      <c r="J24"/>
      <c r="K24"/>
      <c r="L24"/>
      <c r="M24" s="213">
        <f t="shared" si="1"/>
        <v>2.2000000000000013E-2</v>
      </c>
      <c r="N24" s="22">
        <f t="shared" si="0"/>
        <v>0.10364416715576005</v>
      </c>
      <c r="O24" s="213"/>
      <c r="P24" s="213"/>
    </row>
    <row r="25" spans="2:16" x14ac:dyDescent="0.25">
      <c r="B25"/>
      <c r="C25"/>
      <c r="D25"/>
      <c r="E25"/>
      <c r="F25"/>
      <c r="G25"/>
      <c r="H25"/>
      <c r="I25"/>
      <c r="J25"/>
      <c r="K25"/>
      <c r="L25"/>
      <c r="M25" s="213">
        <f t="shared" si="1"/>
        <v>2.3000000000000013E-2</v>
      </c>
      <c r="N25" s="22">
        <f t="shared" si="0"/>
        <v>0.10812619034023507</v>
      </c>
      <c r="O25" s="213"/>
      <c r="P25" s="213"/>
    </row>
    <row r="26" spans="2:16" x14ac:dyDescent="0.25">
      <c r="B26"/>
      <c r="C26"/>
      <c r="D26"/>
      <c r="E26"/>
      <c r="F26"/>
      <c r="G26"/>
      <c r="H26"/>
      <c r="I26"/>
      <c r="J26"/>
      <c r="K26"/>
      <c r="L26"/>
      <c r="M26" s="213">
        <f t="shared" si="1"/>
        <v>2.4000000000000014E-2</v>
      </c>
      <c r="N26" s="22">
        <f t="shared" si="0"/>
        <v>0.11258879056896007</v>
      </c>
      <c r="O26" s="213"/>
      <c r="P26" s="213"/>
    </row>
    <row r="27" spans="2:16" x14ac:dyDescent="0.25">
      <c r="B27"/>
      <c r="C27"/>
      <c r="D27"/>
      <c r="E27"/>
      <c r="F27"/>
      <c r="G27"/>
      <c r="H27"/>
      <c r="I27"/>
      <c r="J27"/>
      <c r="K27"/>
      <c r="L27"/>
      <c r="M27" s="213">
        <f t="shared" si="1"/>
        <v>2.5000000000000015E-2</v>
      </c>
      <c r="N27" s="22">
        <f t="shared" si="0"/>
        <v>0.11703202929687508</v>
      </c>
      <c r="O27" s="213"/>
      <c r="P27" s="213"/>
    </row>
    <row r="28" spans="2:16" x14ac:dyDescent="0.25">
      <c r="B28"/>
      <c r="C28"/>
      <c r="D28"/>
      <c r="E28"/>
      <c r="F28"/>
      <c r="G28"/>
      <c r="H28"/>
      <c r="I28"/>
      <c r="J28"/>
      <c r="K28"/>
      <c r="L28"/>
      <c r="M28" s="213">
        <f t="shared" si="1"/>
        <v>2.6000000000000016E-2</v>
      </c>
      <c r="N28" s="22">
        <f t="shared" si="0"/>
        <v>0.12145596787896007</v>
      </c>
      <c r="O28" s="213"/>
      <c r="P28" s="213"/>
    </row>
    <row r="29" spans="2:16" x14ac:dyDescent="0.25">
      <c r="B29"/>
      <c r="C29"/>
      <c r="D29"/>
      <c r="E29"/>
      <c r="F29"/>
      <c r="G29"/>
      <c r="H29"/>
      <c r="I29"/>
      <c r="J29"/>
      <c r="K29"/>
      <c r="L29"/>
      <c r="M29" s="213">
        <f t="shared" si="1"/>
        <v>2.7000000000000017E-2</v>
      </c>
      <c r="N29" s="22">
        <f t="shared" si="0"/>
        <v>0.12586066757023506</v>
      </c>
    </row>
    <row r="30" spans="2:16" x14ac:dyDescent="0.25">
      <c r="M30" s="213">
        <f t="shared" si="1"/>
        <v>2.8000000000000018E-2</v>
      </c>
      <c r="N30" s="22">
        <f t="shared" si="0"/>
        <v>0.13024618952576009</v>
      </c>
    </row>
    <row r="31" spans="2:16" x14ac:dyDescent="0.25">
      <c r="M31" s="213">
        <f t="shared" si="1"/>
        <v>2.9000000000000019E-2</v>
      </c>
      <c r="N31" s="22">
        <f t="shared" si="0"/>
        <v>0.13461259480063509</v>
      </c>
    </row>
    <row r="32" spans="2:16" x14ac:dyDescent="0.25">
      <c r="M32" s="213">
        <f t="shared" si="1"/>
        <v>3.000000000000002E-2</v>
      </c>
      <c r="N32" s="22">
        <f t="shared" si="0"/>
        <v>0.13895994435000009</v>
      </c>
    </row>
    <row r="33" spans="13:14" x14ac:dyDescent="0.25">
      <c r="M33" s="213">
        <f t="shared" si="1"/>
        <v>3.1000000000000021E-2</v>
      </c>
      <c r="N33" s="22">
        <f t="shared" si="0"/>
        <v>0.14328829902903509</v>
      </c>
    </row>
    <row r="34" spans="13:14" x14ac:dyDescent="0.25">
      <c r="M34" s="213">
        <f t="shared" si="1"/>
        <v>3.2000000000000021E-2</v>
      </c>
      <c r="N34" s="22">
        <f t="shared" si="0"/>
        <v>0.14759771959296009</v>
      </c>
    </row>
    <row r="35" spans="13:14" x14ac:dyDescent="0.25">
      <c r="M35" s="213">
        <f t="shared" si="1"/>
        <v>3.3000000000000022E-2</v>
      </c>
      <c r="N35" s="22">
        <f t="shared" si="0"/>
        <v>0.15188826669703509</v>
      </c>
    </row>
    <row r="36" spans="13:14" x14ac:dyDescent="0.25">
      <c r="M36" s="213">
        <f t="shared" si="1"/>
        <v>3.4000000000000023E-2</v>
      </c>
      <c r="N36" s="22">
        <f t="shared" si="0"/>
        <v>0.1561600008965601</v>
      </c>
    </row>
    <row r="37" spans="13:14" x14ac:dyDescent="0.25">
      <c r="M37" s="213">
        <f t="shared" si="1"/>
        <v>3.5000000000000024E-2</v>
      </c>
      <c r="N37" s="22">
        <f t="shared" si="0"/>
        <v>0.16041298264687512</v>
      </c>
    </row>
    <row r="38" spans="13:14" x14ac:dyDescent="0.25">
      <c r="M38" s="213">
        <f t="shared" si="1"/>
        <v>3.6000000000000025E-2</v>
      </c>
      <c r="N38" s="22">
        <f t="shared" si="0"/>
        <v>0.16464727230336013</v>
      </c>
    </row>
    <row r="39" spans="13:14" x14ac:dyDescent="0.25">
      <c r="M39" s="213">
        <f t="shared" si="1"/>
        <v>3.7000000000000026E-2</v>
      </c>
      <c r="N39" s="22">
        <f t="shared" si="0"/>
        <v>0.16886293012143511</v>
      </c>
    </row>
    <row r="40" spans="13:14" x14ac:dyDescent="0.25">
      <c r="M40" s="213">
        <f t="shared" si="1"/>
        <v>3.8000000000000027E-2</v>
      </c>
      <c r="N40" s="22">
        <f t="shared" si="0"/>
        <v>0.17306001625656012</v>
      </c>
    </row>
    <row r="41" spans="13:14" x14ac:dyDescent="0.25">
      <c r="M41" s="213">
        <f t="shared" si="1"/>
        <v>3.9000000000000028E-2</v>
      </c>
      <c r="N41" s="22">
        <f t="shared" si="0"/>
        <v>0.17723859076423512</v>
      </c>
    </row>
    <row r="42" spans="13:14" x14ac:dyDescent="0.25">
      <c r="M42" s="213">
        <f t="shared" si="1"/>
        <v>4.0000000000000029E-2</v>
      </c>
      <c r="N42" s="22">
        <f t="shared" si="0"/>
        <v>0.18139871360000012</v>
      </c>
    </row>
    <row r="43" spans="13:14" x14ac:dyDescent="0.25">
      <c r="M43" s="213">
        <f t="shared" si="1"/>
        <v>4.1000000000000029E-2</v>
      </c>
      <c r="N43" s="22">
        <f t="shared" si="0"/>
        <v>0.18554044461943514</v>
      </c>
    </row>
    <row r="44" spans="13:14" x14ac:dyDescent="0.25">
      <c r="M44" s="213">
        <f t="shared" si="1"/>
        <v>4.200000000000003E-2</v>
      </c>
      <c r="N44" s="22">
        <f t="shared" si="0"/>
        <v>0.18966384357816013</v>
      </c>
    </row>
    <row r="45" spans="13:14" x14ac:dyDescent="0.25">
      <c r="M45" s="213">
        <f t="shared" si="1"/>
        <v>4.3000000000000031E-2</v>
      </c>
      <c r="N45" s="22">
        <f t="shared" si="0"/>
        <v>0.19376897013183514</v>
      </c>
    </row>
    <row r="46" spans="13:14" x14ac:dyDescent="0.25">
      <c r="M46" s="213">
        <f t="shared" si="1"/>
        <v>4.4000000000000032E-2</v>
      </c>
      <c r="N46" s="22">
        <f t="shared" si="0"/>
        <v>0.19785588383616012</v>
      </c>
    </row>
    <row r="47" spans="13:14" x14ac:dyDescent="0.25">
      <c r="M47" s="213">
        <f t="shared" si="1"/>
        <v>4.5000000000000033E-2</v>
      </c>
      <c r="N47" s="22">
        <f t="shared" si="0"/>
        <v>0.20192464414687514</v>
      </c>
    </row>
    <row r="48" spans="13:14" x14ac:dyDescent="0.25">
      <c r="M48" s="213">
        <f t="shared" si="1"/>
        <v>4.6000000000000034E-2</v>
      </c>
      <c r="N48" s="22">
        <f t="shared" si="0"/>
        <v>0.20597531041976014</v>
      </c>
    </row>
    <row r="49" spans="13:14" x14ac:dyDescent="0.25">
      <c r="M49" s="213">
        <f t="shared" si="1"/>
        <v>4.7000000000000035E-2</v>
      </c>
      <c r="N49" s="22">
        <f t="shared" si="0"/>
        <v>0.21000794191063515</v>
      </c>
    </row>
    <row r="50" spans="13:14" x14ac:dyDescent="0.25">
      <c r="M50" s="213">
        <f t="shared" si="1"/>
        <v>4.8000000000000036E-2</v>
      </c>
      <c r="N50" s="22">
        <f t="shared" si="0"/>
        <v>0.21402259777536017</v>
      </c>
    </row>
    <row r="51" spans="13:14" x14ac:dyDescent="0.25">
      <c r="M51" s="213">
        <f t="shared" si="1"/>
        <v>4.9000000000000037E-2</v>
      </c>
      <c r="N51" s="22">
        <f t="shared" si="0"/>
        <v>0.21801933706983515</v>
      </c>
    </row>
    <row r="52" spans="13:14" x14ac:dyDescent="0.25">
      <c r="M52" s="213">
        <f t="shared" si="1"/>
        <v>5.0000000000000037E-2</v>
      </c>
      <c r="N52" s="22">
        <f t="shared" si="0"/>
        <v>0.22199821875000014</v>
      </c>
    </row>
    <row r="53" spans="13:14" x14ac:dyDescent="0.25">
      <c r="M53" s="213">
        <f t="shared" si="1"/>
        <v>5.1000000000000038E-2</v>
      </c>
      <c r="N53" s="22">
        <f t="shared" si="0"/>
        <v>0.2259593016718352</v>
      </c>
    </row>
    <row r="54" spans="13:14" x14ac:dyDescent="0.25">
      <c r="M54" s="213">
        <f t="shared" si="1"/>
        <v>5.2000000000000039E-2</v>
      </c>
      <c r="N54" s="22">
        <f t="shared" si="0"/>
        <v>0.22990264459136017</v>
      </c>
    </row>
    <row r="55" spans="13:14" x14ac:dyDescent="0.25">
      <c r="M55" s="213">
        <f t="shared" si="1"/>
        <v>5.300000000000004E-2</v>
      </c>
      <c r="N55" s="22">
        <f t="shared" si="0"/>
        <v>0.23382830616463515</v>
      </c>
    </row>
    <row r="56" spans="13:14" x14ac:dyDescent="0.25">
      <c r="M56" s="213">
        <f t="shared" si="1"/>
        <v>5.4000000000000041E-2</v>
      </c>
      <c r="N56" s="22">
        <f t="shared" si="0"/>
        <v>0.23773634494776019</v>
      </c>
    </row>
    <row r="57" spans="13:14" x14ac:dyDescent="0.25">
      <c r="M57" s="213">
        <f t="shared" si="1"/>
        <v>5.5000000000000042E-2</v>
      </c>
      <c r="N57" s="22">
        <f t="shared" si="0"/>
        <v>0.24162681939687516</v>
      </c>
    </row>
    <row r="58" spans="13:14" x14ac:dyDescent="0.25">
      <c r="M58" s="213">
        <f t="shared" si="1"/>
        <v>5.6000000000000043E-2</v>
      </c>
      <c r="N58" s="22">
        <f t="shared" si="0"/>
        <v>0.24549978786816021</v>
      </c>
    </row>
    <row r="59" spans="13:14" x14ac:dyDescent="0.25">
      <c r="M59" s="213">
        <f t="shared" si="1"/>
        <v>5.7000000000000044E-2</v>
      </c>
      <c r="N59" s="22">
        <f t="shared" si="0"/>
        <v>0.24935530861783517</v>
      </c>
    </row>
    <row r="60" spans="13:14" x14ac:dyDescent="0.25">
      <c r="M60" s="213">
        <f t="shared" si="1"/>
        <v>5.8000000000000045E-2</v>
      </c>
      <c r="N60" s="22">
        <f t="shared" si="0"/>
        <v>0.25319343980216014</v>
      </c>
    </row>
    <row r="61" spans="13:14" x14ac:dyDescent="0.25">
      <c r="M61" s="213">
        <f t="shared" si="1"/>
        <v>5.9000000000000045E-2</v>
      </c>
      <c r="N61" s="22">
        <f t="shared" si="0"/>
        <v>0.25701423947743518</v>
      </c>
    </row>
    <row r="62" spans="13:14" x14ac:dyDescent="0.25">
      <c r="M62" s="213">
        <f t="shared" si="1"/>
        <v>6.0000000000000046E-2</v>
      </c>
      <c r="N62" s="22">
        <f t="shared" si="0"/>
        <v>0.2608177656000002</v>
      </c>
    </row>
    <row r="63" spans="13:14" x14ac:dyDescent="0.25">
      <c r="M63" s="213">
        <f t="shared" si="1"/>
        <v>6.1000000000000047E-2</v>
      </c>
      <c r="N63" s="22">
        <f t="shared" si="0"/>
        <v>0.2646040760262352</v>
      </c>
    </row>
    <row r="64" spans="13:14" x14ac:dyDescent="0.25">
      <c r="M64" s="213">
        <f t="shared" si="1"/>
        <v>6.2000000000000048E-2</v>
      </c>
      <c r="N64" s="22">
        <f t="shared" si="0"/>
        <v>0.26837322851256018</v>
      </c>
    </row>
    <row r="65" spans="13:14" x14ac:dyDescent="0.25">
      <c r="M65" s="213">
        <f t="shared" si="1"/>
        <v>6.3000000000000042E-2</v>
      </c>
      <c r="N65" s="22">
        <f t="shared" si="0"/>
        <v>0.27212528071543518</v>
      </c>
    </row>
    <row r="66" spans="13:14" x14ac:dyDescent="0.25">
      <c r="M66" s="213">
        <f t="shared" si="1"/>
        <v>6.4000000000000043E-2</v>
      </c>
      <c r="N66" s="22">
        <f t="shared" si="0"/>
        <v>0.27586029019136016</v>
      </c>
    </row>
    <row r="67" spans="13:14" x14ac:dyDescent="0.25">
      <c r="M67" s="213">
        <f t="shared" si="1"/>
        <v>6.5000000000000044E-2</v>
      </c>
      <c r="N67" s="22">
        <f t="shared" ref="N67:N130" si="2">-4.165*M67^4+10.634*M67^3-10.432*M67^2+4.9355*M67</f>
        <v>0.27957831439687519</v>
      </c>
    </row>
    <row r="68" spans="13:14" x14ac:dyDescent="0.25">
      <c r="M68" s="213">
        <f t="shared" ref="M68:M131" si="3">M67+0.1%</f>
        <v>6.6000000000000045E-2</v>
      </c>
      <c r="N68" s="22">
        <f t="shared" si="2"/>
        <v>0.28327941068856016</v>
      </c>
    </row>
    <row r="69" spans="13:14" x14ac:dyDescent="0.25">
      <c r="M69" s="213">
        <f t="shared" si="3"/>
        <v>6.7000000000000046E-2</v>
      </c>
      <c r="N69" s="22">
        <f t="shared" si="2"/>
        <v>0.28696363632303523</v>
      </c>
    </row>
    <row r="70" spans="13:14" x14ac:dyDescent="0.25">
      <c r="M70" s="213">
        <f t="shared" si="3"/>
        <v>6.8000000000000047E-2</v>
      </c>
      <c r="N70" s="22">
        <f t="shared" si="2"/>
        <v>0.29063104845696019</v>
      </c>
    </row>
    <row r="71" spans="13:14" x14ac:dyDescent="0.25">
      <c r="M71" s="213">
        <f t="shared" si="3"/>
        <v>6.9000000000000047E-2</v>
      </c>
      <c r="N71" s="22">
        <f t="shared" si="2"/>
        <v>0.29428170414703514</v>
      </c>
    </row>
    <row r="72" spans="13:14" x14ac:dyDescent="0.25">
      <c r="M72" s="213">
        <f t="shared" si="3"/>
        <v>7.0000000000000048E-2</v>
      </c>
      <c r="N72" s="22">
        <f t="shared" si="2"/>
        <v>0.29791566035000022</v>
      </c>
    </row>
    <row r="73" spans="13:14" x14ac:dyDescent="0.25">
      <c r="M73" s="213">
        <f t="shared" si="3"/>
        <v>7.1000000000000049E-2</v>
      </c>
      <c r="N73" s="22">
        <f t="shared" si="2"/>
        <v>0.30153297392263517</v>
      </c>
    </row>
    <row r="74" spans="13:14" x14ac:dyDescent="0.25">
      <c r="M74" s="213">
        <f t="shared" si="3"/>
        <v>7.200000000000005E-2</v>
      </c>
      <c r="N74" s="22">
        <f t="shared" si="2"/>
        <v>0.30513370162176023</v>
      </c>
    </row>
    <row r="75" spans="13:14" x14ac:dyDescent="0.25">
      <c r="M75" s="213">
        <f t="shared" si="3"/>
        <v>7.3000000000000051E-2</v>
      </c>
      <c r="N75" s="22">
        <f t="shared" si="2"/>
        <v>0.30871790010423517</v>
      </c>
    </row>
    <row r="76" spans="13:14" x14ac:dyDescent="0.25">
      <c r="M76" s="213">
        <f t="shared" si="3"/>
        <v>7.4000000000000052E-2</v>
      </c>
      <c r="N76" s="22">
        <f t="shared" si="2"/>
        <v>0.31228562592696019</v>
      </c>
    </row>
    <row r="77" spans="13:14" x14ac:dyDescent="0.25">
      <c r="M77" s="213">
        <f t="shared" si="3"/>
        <v>7.5000000000000053E-2</v>
      </c>
      <c r="N77" s="22">
        <f t="shared" si="2"/>
        <v>0.3158369355468752</v>
      </c>
    </row>
    <row r="78" spans="13:14" x14ac:dyDescent="0.25">
      <c r="M78" s="213">
        <f t="shared" si="3"/>
        <v>7.6000000000000054E-2</v>
      </c>
      <c r="N78" s="22">
        <f t="shared" si="2"/>
        <v>0.31937188532096017</v>
      </c>
    </row>
    <row r="79" spans="13:14" x14ac:dyDescent="0.25">
      <c r="M79" s="213">
        <f t="shared" si="3"/>
        <v>7.7000000000000055E-2</v>
      </c>
      <c r="N79" s="22">
        <f t="shared" si="2"/>
        <v>0.3228905315062352</v>
      </c>
    </row>
    <row r="80" spans="13:14" x14ac:dyDescent="0.25">
      <c r="M80" s="213">
        <f t="shared" si="3"/>
        <v>7.8000000000000055E-2</v>
      </c>
      <c r="N80" s="22">
        <f t="shared" si="2"/>
        <v>0.32639293025976018</v>
      </c>
    </row>
    <row r="81" spans="13:14" x14ac:dyDescent="0.25">
      <c r="M81" s="213">
        <f t="shared" si="3"/>
        <v>7.9000000000000056E-2</v>
      </c>
      <c r="N81" s="22">
        <f t="shared" si="2"/>
        <v>0.32987913763863524</v>
      </c>
    </row>
    <row r="82" spans="13:14" x14ac:dyDescent="0.25">
      <c r="M82" s="213">
        <f t="shared" si="3"/>
        <v>8.0000000000000057E-2</v>
      </c>
      <c r="N82" s="22">
        <f t="shared" si="2"/>
        <v>0.3333492096000002</v>
      </c>
    </row>
    <row r="83" spans="13:14" x14ac:dyDescent="0.25">
      <c r="M83" s="213">
        <f t="shared" si="3"/>
        <v>8.1000000000000058E-2</v>
      </c>
      <c r="N83" s="22">
        <f t="shared" si="2"/>
        <v>0.3368032020010352</v>
      </c>
    </row>
    <row r="84" spans="13:14" x14ac:dyDescent="0.25">
      <c r="M84" s="213">
        <f t="shared" si="3"/>
        <v>8.2000000000000059E-2</v>
      </c>
      <c r="N84" s="22">
        <f t="shared" si="2"/>
        <v>0.3402411705989602</v>
      </c>
    </row>
    <row r="85" spans="13:14" x14ac:dyDescent="0.25">
      <c r="M85" s="213">
        <f t="shared" si="3"/>
        <v>8.300000000000006E-2</v>
      </c>
      <c r="N85" s="22">
        <f t="shared" si="2"/>
        <v>0.34366317105103522</v>
      </c>
    </row>
    <row r="86" spans="13:14" x14ac:dyDescent="0.25">
      <c r="M86" s="213">
        <f t="shared" si="3"/>
        <v>8.4000000000000061E-2</v>
      </c>
      <c r="N86" s="22">
        <f t="shared" si="2"/>
        <v>0.34706925891456025</v>
      </c>
    </row>
    <row r="87" spans="13:14" x14ac:dyDescent="0.25">
      <c r="M87" s="213">
        <f t="shared" si="3"/>
        <v>8.5000000000000062E-2</v>
      </c>
      <c r="N87" s="22">
        <f t="shared" si="2"/>
        <v>0.35045948964687523</v>
      </c>
    </row>
    <row r="88" spans="13:14" x14ac:dyDescent="0.25">
      <c r="M88" s="213">
        <f t="shared" si="3"/>
        <v>8.6000000000000063E-2</v>
      </c>
      <c r="N88" s="22">
        <f t="shared" si="2"/>
        <v>0.35383391860536018</v>
      </c>
    </row>
    <row r="89" spans="13:14" x14ac:dyDescent="0.25">
      <c r="M89" s="213">
        <f t="shared" si="3"/>
        <v>8.7000000000000063E-2</v>
      </c>
      <c r="N89" s="22">
        <f t="shared" si="2"/>
        <v>0.35719260104743522</v>
      </c>
    </row>
    <row r="90" spans="13:14" x14ac:dyDescent="0.25">
      <c r="M90" s="213">
        <f t="shared" si="3"/>
        <v>8.8000000000000064E-2</v>
      </c>
      <c r="N90" s="22">
        <f t="shared" si="2"/>
        <v>0.36053559213056019</v>
      </c>
    </row>
    <row r="91" spans="13:14" x14ac:dyDescent="0.25">
      <c r="M91" s="213">
        <f t="shared" si="3"/>
        <v>8.9000000000000065E-2</v>
      </c>
      <c r="N91" s="22">
        <f t="shared" si="2"/>
        <v>0.36386294691223525</v>
      </c>
    </row>
    <row r="92" spans="13:14" x14ac:dyDescent="0.25">
      <c r="M92" s="213">
        <f t="shared" si="3"/>
        <v>9.0000000000000066E-2</v>
      </c>
      <c r="N92" s="22">
        <f t="shared" si="2"/>
        <v>0.36717472035000021</v>
      </c>
    </row>
    <row r="93" spans="13:14" x14ac:dyDescent="0.25">
      <c r="M93" s="213">
        <f t="shared" si="3"/>
        <v>9.1000000000000067E-2</v>
      </c>
      <c r="N93" s="22">
        <f t="shared" si="2"/>
        <v>0.37047096730143525</v>
      </c>
    </row>
    <row r="94" spans="13:14" x14ac:dyDescent="0.25">
      <c r="M94" s="213">
        <f t="shared" si="3"/>
        <v>9.2000000000000068E-2</v>
      </c>
      <c r="N94" s="22">
        <f t="shared" si="2"/>
        <v>0.37375174252416021</v>
      </c>
    </row>
    <row r="95" spans="13:14" x14ac:dyDescent="0.25">
      <c r="M95" s="213">
        <f t="shared" si="3"/>
        <v>9.3000000000000069E-2</v>
      </c>
      <c r="N95" s="22">
        <f t="shared" si="2"/>
        <v>0.37701710067583522</v>
      </c>
    </row>
    <row r="96" spans="13:14" x14ac:dyDescent="0.25">
      <c r="M96" s="213">
        <f t="shared" si="3"/>
        <v>9.400000000000007E-2</v>
      </c>
      <c r="N96" s="22">
        <f t="shared" si="2"/>
        <v>0.38026709631416022</v>
      </c>
    </row>
    <row r="97" spans="13:14" x14ac:dyDescent="0.25">
      <c r="M97" s="213">
        <f t="shared" si="3"/>
        <v>9.500000000000007E-2</v>
      </c>
      <c r="N97" s="22">
        <f t="shared" si="2"/>
        <v>0.38350178389687523</v>
      </c>
    </row>
    <row r="98" spans="13:14" x14ac:dyDescent="0.25">
      <c r="M98" s="213">
        <f t="shared" si="3"/>
        <v>9.6000000000000071E-2</v>
      </c>
      <c r="N98" s="22">
        <f t="shared" si="2"/>
        <v>0.38672121778176027</v>
      </c>
    </row>
    <row r="99" spans="13:14" x14ac:dyDescent="0.25">
      <c r="M99" s="213">
        <f t="shared" si="3"/>
        <v>9.7000000000000072E-2</v>
      </c>
      <c r="N99" s="22">
        <f t="shared" si="2"/>
        <v>0.38992545222663522</v>
      </c>
    </row>
    <row r="100" spans="13:14" x14ac:dyDescent="0.25">
      <c r="M100" s="213">
        <f t="shared" si="3"/>
        <v>9.8000000000000073E-2</v>
      </c>
      <c r="N100" s="22">
        <f t="shared" si="2"/>
        <v>0.39311454138936019</v>
      </c>
    </row>
    <row r="101" spans="13:14" x14ac:dyDescent="0.25">
      <c r="M101" s="213">
        <f t="shared" si="3"/>
        <v>9.9000000000000074E-2</v>
      </c>
      <c r="N101" s="22">
        <f t="shared" si="2"/>
        <v>0.39628853932783525</v>
      </c>
    </row>
    <row r="102" spans="13:14" x14ac:dyDescent="0.25">
      <c r="M102" s="213">
        <f t="shared" si="3"/>
        <v>0.10000000000000007</v>
      </c>
      <c r="N102" s="22">
        <f t="shared" si="2"/>
        <v>0.39944750000000023</v>
      </c>
    </row>
    <row r="103" spans="13:14" x14ac:dyDescent="0.25">
      <c r="M103" s="213">
        <f t="shared" si="3"/>
        <v>0.10100000000000008</v>
      </c>
      <c r="N103" s="22">
        <f t="shared" si="2"/>
        <v>0.40259147726383526</v>
      </c>
    </row>
    <row r="104" spans="13:14" x14ac:dyDescent="0.25">
      <c r="M104" s="213">
        <f t="shared" si="3"/>
        <v>0.10200000000000008</v>
      </c>
      <c r="N104" s="22">
        <f t="shared" si="2"/>
        <v>0.40572052487736032</v>
      </c>
    </row>
    <row r="105" spans="13:14" x14ac:dyDescent="0.25">
      <c r="M105" s="213">
        <f t="shared" si="3"/>
        <v>0.10300000000000008</v>
      </c>
      <c r="N105" s="22">
        <f t="shared" si="2"/>
        <v>0.4088346964986353</v>
      </c>
    </row>
    <row r="106" spans="13:14" x14ac:dyDescent="0.25">
      <c r="M106" s="213">
        <f t="shared" si="3"/>
        <v>0.10400000000000008</v>
      </c>
      <c r="N106" s="22">
        <f t="shared" si="2"/>
        <v>0.41193404568576025</v>
      </c>
    </row>
    <row r="107" spans="13:14" x14ac:dyDescent="0.25">
      <c r="M107" s="213">
        <f t="shared" si="3"/>
        <v>0.10500000000000008</v>
      </c>
      <c r="N107" s="22">
        <f t="shared" si="2"/>
        <v>0.41501862589687522</v>
      </c>
    </row>
    <row r="108" spans="13:14" x14ac:dyDescent="0.25">
      <c r="M108" s="213">
        <f t="shared" si="3"/>
        <v>0.10600000000000008</v>
      </c>
      <c r="N108" s="22">
        <f t="shared" si="2"/>
        <v>0.41808849049016023</v>
      </c>
    </row>
    <row r="109" spans="13:14" x14ac:dyDescent="0.25">
      <c r="M109" s="213">
        <f t="shared" si="3"/>
        <v>0.10700000000000008</v>
      </c>
      <c r="N109" s="22">
        <f t="shared" si="2"/>
        <v>0.42114369272383528</v>
      </c>
    </row>
    <row r="110" spans="13:14" x14ac:dyDescent="0.25">
      <c r="M110" s="213">
        <f t="shared" si="3"/>
        <v>0.10800000000000008</v>
      </c>
      <c r="N110" s="22">
        <f t="shared" si="2"/>
        <v>0.4241842857561603</v>
      </c>
    </row>
    <row r="111" spans="13:14" x14ac:dyDescent="0.25">
      <c r="M111" s="213">
        <f t="shared" si="3"/>
        <v>0.10900000000000008</v>
      </c>
      <c r="N111" s="22">
        <f t="shared" si="2"/>
        <v>0.42721032264543524</v>
      </c>
    </row>
    <row r="112" spans="13:14" x14ac:dyDescent="0.25">
      <c r="M112" s="213">
        <f t="shared" si="3"/>
        <v>0.11000000000000008</v>
      </c>
      <c r="N112" s="22">
        <f t="shared" si="2"/>
        <v>0.43022185635000021</v>
      </c>
    </row>
    <row r="113" spans="13:14" x14ac:dyDescent="0.25">
      <c r="M113" s="213">
        <f t="shared" si="3"/>
        <v>0.11100000000000008</v>
      </c>
      <c r="N113" s="22">
        <f t="shared" si="2"/>
        <v>0.43321893972823522</v>
      </c>
    </row>
    <row r="114" spans="13:14" x14ac:dyDescent="0.25">
      <c r="M114" s="213">
        <f t="shared" si="3"/>
        <v>0.11200000000000009</v>
      </c>
      <c r="N114" s="22">
        <f t="shared" si="2"/>
        <v>0.43620162553856034</v>
      </c>
    </row>
    <row r="115" spans="13:14" x14ac:dyDescent="0.25">
      <c r="M115" s="213">
        <f t="shared" si="3"/>
        <v>0.11300000000000009</v>
      </c>
      <c r="N115" s="22">
        <f t="shared" si="2"/>
        <v>0.43916996643943529</v>
      </c>
    </row>
    <row r="116" spans="13:14" x14ac:dyDescent="0.25">
      <c r="M116" s="213">
        <f t="shared" si="3"/>
        <v>0.11400000000000009</v>
      </c>
      <c r="N116" s="22">
        <f t="shared" si="2"/>
        <v>0.44212401498936027</v>
      </c>
    </row>
    <row r="117" spans="13:14" x14ac:dyDescent="0.25">
      <c r="M117" s="213">
        <f t="shared" si="3"/>
        <v>0.11500000000000009</v>
      </c>
      <c r="N117" s="22">
        <f t="shared" si="2"/>
        <v>0.44506382364687525</v>
      </c>
    </row>
    <row r="118" spans="13:14" x14ac:dyDescent="0.25">
      <c r="M118" s="213">
        <f t="shared" si="3"/>
        <v>0.11600000000000009</v>
      </c>
      <c r="N118" s="22">
        <f t="shared" si="2"/>
        <v>0.44798944477056024</v>
      </c>
    </row>
    <row r="119" spans="13:14" x14ac:dyDescent="0.25">
      <c r="M119" s="213">
        <f t="shared" si="3"/>
        <v>0.11700000000000009</v>
      </c>
      <c r="N119" s="22">
        <f t="shared" si="2"/>
        <v>0.45090093061903536</v>
      </c>
    </row>
    <row r="120" spans="13:14" x14ac:dyDescent="0.25">
      <c r="M120" s="213">
        <f t="shared" si="3"/>
        <v>0.11800000000000009</v>
      </c>
      <c r="N120" s="22">
        <f t="shared" si="2"/>
        <v>0.45379833335096031</v>
      </c>
    </row>
    <row r="121" spans="13:14" x14ac:dyDescent="0.25">
      <c r="M121" s="213">
        <f t="shared" si="3"/>
        <v>0.11900000000000009</v>
      </c>
      <c r="N121" s="22">
        <f t="shared" si="2"/>
        <v>0.45668170502503524</v>
      </c>
    </row>
    <row r="122" spans="13:14" x14ac:dyDescent="0.25">
      <c r="M122" s="213">
        <f t="shared" si="3"/>
        <v>0.12000000000000009</v>
      </c>
      <c r="N122" s="22">
        <f t="shared" si="2"/>
        <v>0.45955109760000024</v>
      </c>
    </row>
    <row r="123" spans="13:14" x14ac:dyDescent="0.25">
      <c r="M123" s="213">
        <f t="shared" si="3"/>
        <v>0.12100000000000009</v>
      </c>
      <c r="N123" s="22">
        <f t="shared" si="2"/>
        <v>0.46240656293463522</v>
      </c>
    </row>
    <row r="124" spans="13:14" x14ac:dyDescent="0.25">
      <c r="M124" s="213">
        <f t="shared" si="3"/>
        <v>0.12200000000000009</v>
      </c>
      <c r="N124" s="22">
        <f t="shared" si="2"/>
        <v>0.46524815278776033</v>
      </c>
    </row>
    <row r="125" spans="13:14" x14ac:dyDescent="0.25">
      <c r="M125" s="213">
        <f t="shared" si="3"/>
        <v>0.1230000000000001</v>
      </c>
      <c r="N125" s="22">
        <f t="shared" si="2"/>
        <v>0.46807591881823529</v>
      </c>
    </row>
    <row r="126" spans="13:14" x14ac:dyDescent="0.25">
      <c r="M126" s="213">
        <f t="shared" si="3"/>
        <v>0.1240000000000001</v>
      </c>
      <c r="N126" s="22">
        <f t="shared" si="2"/>
        <v>0.47088991258496027</v>
      </c>
    </row>
    <row r="127" spans="13:14" x14ac:dyDescent="0.25">
      <c r="M127" s="213">
        <f t="shared" si="3"/>
        <v>0.12500000000000008</v>
      </c>
      <c r="N127" s="22">
        <f t="shared" si="2"/>
        <v>0.47369018554687525</v>
      </c>
    </row>
    <row r="128" spans="13:14" x14ac:dyDescent="0.25">
      <c r="M128" s="213">
        <f t="shared" si="3"/>
        <v>0.12600000000000008</v>
      </c>
      <c r="N128" s="22">
        <f t="shared" si="2"/>
        <v>0.47647678906296026</v>
      </c>
    </row>
    <row r="129" spans="13:14" x14ac:dyDescent="0.25">
      <c r="M129" s="213">
        <f t="shared" si="3"/>
        <v>0.12700000000000009</v>
      </c>
      <c r="N129" s="22">
        <f t="shared" si="2"/>
        <v>0.47924977439223526</v>
      </c>
    </row>
    <row r="130" spans="13:14" x14ac:dyDescent="0.25">
      <c r="M130" s="213">
        <f t="shared" si="3"/>
        <v>0.12800000000000009</v>
      </c>
      <c r="N130" s="22">
        <f t="shared" si="2"/>
        <v>0.48200919269376019</v>
      </c>
    </row>
    <row r="131" spans="13:14" x14ac:dyDescent="0.25">
      <c r="M131" s="213">
        <f t="shared" si="3"/>
        <v>0.12900000000000009</v>
      </c>
      <c r="N131" s="22">
        <f t="shared" ref="N131:N194" si="4">-4.165*M131^4+10.634*M131^3-10.432*M131^2+4.9355*M131</f>
        <v>0.48475509502663527</v>
      </c>
    </row>
    <row r="132" spans="13:14" x14ac:dyDescent="0.25">
      <c r="M132" s="213">
        <f t="shared" ref="M132:M195" si="5">M131+0.1%</f>
        <v>0.13000000000000009</v>
      </c>
      <c r="N132" s="22">
        <f t="shared" si="4"/>
        <v>0.48748753235000031</v>
      </c>
    </row>
    <row r="133" spans="13:14" x14ac:dyDescent="0.25">
      <c r="M133" s="213">
        <f t="shared" si="5"/>
        <v>0.13100000000000009</v>
      </c>
      <c r="N133" s="22">
        <f t="shared" si="4"/>
        <v>0.49020655552303527</v>
      </c>
    </row>
    <row r="134" spans="13:14" x14ac:dyDescent="0.25">
      <c r="M134" s="213">
        <f t="shared" si="5"/>
        <v>0.13200000000000009</v>
      </c>
      <c r="N134" s="22">
        <f t="shared" si="4"/>
        <v>0.49291221530496021</v>
      </c>
    </row>
    <row r="135" spans="13:14" x14ac:dyDescent="0.25">
      <c r="M135" s="213">
        <f t="shared" si="5"/>
        <v>0.13300000000000009</v>
      </c>
      <c r="N135" s="22">
        <f t="shared" si="4"/>
        <v>0.49560456235503525</v>
      </c>
    </row>
    <row r="136" spans="13:14" x14ac:dyDescent="0.25">
      <c r="M136" s="213">
        <f t="shared" si="5"/>
        <v>0.13400000000000009</v>
      </c>
      <c r="N136" s="22">
        <f t="shared" si="4"/>
        <v>0.4982836472325603</v>
      </c>
    </row>
    <row r="137" spans="13:14" x14ac:dyDescent="0.25">
      <c r="M137" s="213">
        <f t="shared" si="5"/>
        <v>0.13500000000000009</v>
      </c>
      <c r="N137" s="22">
        <f t="shared" si="4"/>
        <v>0.50094952039687524</v>
      </c>
    </row>
    <row r="138" spans="13:14" x14ac:dyDescent="0.25">
      <c r="M138" s="213">
        <f t="shared" si="5"/>
        <v>0.13600000000000009</v>
      </c>
      <c r="N138" s="22">
        <f t="shared" si="4"/>
        <v>0.50360223220736022</v>
      </c>
    </row>
    <row r="139" spans="13:14" x14ac:dyDescent="0.25">
      <c r="M139" s="213">
        <f t="shared" si="5"/>
        <v>0.13700000000000009</v>
      </c>
      <c r="N139" s="22">
        <f t="shared" si="4"/>
        <v>0.50624183292343528</v>
      </c>
    </row>
    <row r="140" spans="13:14" x14ac:dyDescent="0.25">
      <c r="M140" s="213">
        <f t="shared" si="5"/>
        <v>0.13800000000000009</v>
      </c>
      <c r="N140" s="22">
        <f t="shared" si="4"/>
        <v>0.5088683727045602</v>
      </c>
    </row>
    <row r="141" spans="13:14" x14ac:dyDescent="0.25">
      <c r="M141" s="213">
        <f t="shared" si="5"/>
        <v>0.1390000000000001</v>
      </c>
      <c r="N141" s="22">
        <f t="shared" si="4"/>
        <v>0.51148190161023532</v>
      </c>
    </row>
    <row r="142" spans="13:14" x14ac:dyDescent="0.25">
      <c r="M142" s="213">
        <f t="shared" si="5"/>
        <v>0.1400000000000001</v>
      </c>
      <c r="N142" s="22">
        <f t="shared" si="4"/>
        <v>0.51408246960000026</v>
      </c>
    </row>
    <row r="143" spans="13:14" x14ac:dyDescent="0.25">
      <c r="M143" s="213">
        <f t="shared" si="5"/>
        <v>0.1410000000000001</v>
      </c>
      <c r="N143" s="22">
        <f t="shared" si="4"/>
        <v>0.51667012653343525</v>
      </c>
    </row>
    <row r="144" spans="13:14" x14ac:dyDescent="0.25">
      <c r="M144" s="213">
        <f t="shared" si="5"/>
        <v>0.1420000000000001</v>
      </c>
      <c r="N144" s="22">
        <f t="shared" si="4"/>
        <v>0.51924492217016027</v>
      </c>
    </row>
    <row r="145" spans="13:14" x14ac:dyDescent="0.25">
      <c r="M145" s="213">
        <f t="shared" si="5"/>
        <v>0.1430000000000001</v>
      </c>
      <c r="N145" s="22">
        <f t="shared" si="4"/>
        <v>0.52180690616983516</v>
      </c>
    </row>
    <row r="146" spans="13:14" x14ac:dyDescent="0.25">
      <c r="M146" s="213">
        <f t="shared" si="5"/>
        <v>0.1440000000000001</v>
      </c>
      <c r="N146" s="22">
        <f t="shared" si="4"/>
        <v>0.52435612809216026</v>
      </c>
    </row>
    <row r="147" spans="13:14" x14ac:dyDescent="0.25">
      <c r="M147" s="213">
        <f t="shared" si="5"/>
        <v>0.1450000000000001</v>
      </c>
      <c r="N147" s="22">
        <f t="shared" si="4"/>
        <v>0.52689263739687531</v>
      </c>
    </row>
    <row r="148" spans="13:14" x14ac:dyDescent="0.25">
      <c r="M148" s="213">
        <f t="shared" si="5"/>
        <v>0.1460000000000001</v>
      </c>
      <c r="N148" s="22">
        <f t="shared" si="4"/>
        <v>0.52941648344376024</v>
      </c>
    </row>
    <row r="149" spans="13:14" x14ac:dyDescent="0.25">
      <c r="M149" s="213">
        <f t="shared" si="5"/>
        <v>0.1470000000000001</v>
      </c>
      <c r="N149" s="22">
        <f t="shared" si="4"/>
        <v>0.53192771549263518</v>
      </c>
    </row>
    <row r="150" spans="13:14" x14ac:dyDescent="0.25">
      <c r="M150" s="213">
        <f t="shared" si="5"/>
        <v>0.1480000000000001</v>
      </c>
      <c r="N150" s="22">
        <f t="shared" si="4"/>
        <v>0.53442638270336018</v>
      </c>
    </row>
    <row r="151" spans="13:14" x14ac:dyDescent="0.25">
      <c r="M151" s="213">
        <f t="shared" si="5"/>
        <v>0.1490000000000001</v>
      </c>
      <c r="N151" s="22">
        <f t="shared" si="4"/>
        <v>0.5369125341358354</v>
      </c>
    </row>
    <row r="152" spans="13:14" x14ac:dyDescent="0.25">
      <c r="M152" s="213">
        <f t="shared" si="5"/>
        <v>0.15000000000000011</v>
      </c>
      <c r="N152" s="22">
        <f t="shared" si="4"/>
        <v>0.53938621875000026</v>
      </c>
    </row>
    <row r="153" spans="13:14" x14ac:dyDescent="0.25">
      <c r="M153" s="213">
        <f t="shared" si="5"/>
        <v>0.15100000000000011</v>
      </c>
      <c r="N153" s="22">
        <f t="shared" si="4"/>
        <v>0.54184748540583527</v>
      </c>
    </row>
    <row r="154" spans="13:14" x14ac:dyDescent="0.25">
      <c r="M154" s="213">
        <f t="shared" si="5"/>
        <v>0.15200000000000011</v>
      </c>
      <c r="N154" s="22">
        <f t="shared" si="4"/>
        <v>0.54429638286336024</v>
      </c>
    </row>
    <row r="155" spans="13:14" x14ac:dyDescent="0.25">
      <c r="M155" s="213">
        <f t="shared" si="5"/>
        <v>0.15300000000000011</v>
      </c>
      <c r="N155" s="22">
        <f t="shared" si="4"/>
        <v>0.54673295978263536</v>
      </c>
    </row>
    <row r="156" spans="13:14" x14ac:dyDescent="0.25">
      <c r="M156" s="213">
        <f t="shared" si="5"/>
        <v>0.15400000000000011</v>
      </c>
      <c r="N156" s="22">
        <f t="shared" si="4"/>
        <v>0.54915726472376036</v>
      </c>
    </row>
    <row r="157" spans="13:14" x14ac:dyDescent="0.25">
      <c r="M157" s="213">
        <f t="shared" si="5"/>
        <v>0.15500000000000011</v>
      </c>
      <c r="N157" s="22">
        <f t="shared" si="4"/>
        <v>0.55156934614687536</v>
      </c>
    </row>
    <row r="158" spans="13:14" x14ac:dyDescent="0.25">
      <c r="M158" s="213">
        <f t="shared" si="5"/>
        <v>0.15600000000000011</v>
      </c>
      <c r="N158" s="22">
        <f t="shared" si="4"/>
        <v>0.55396925241216022</v>
      </c>
    </row>
    <row r="159" spans="13:14" x14ac:dyDescent="0.25">
      <c r="M159" s="213">
        <f t="shared" si="5"/>
        <v>0.15700000000000011</v>
      </c>
      <c r="N159" s="22">
        <f t="shared" si="4"/>
        <v>0.5563570317798352</v>
      </c>
    </row>
    <row r="160" spans="13:14" x14ac:dyDescent="0.25">
      <c r="M160" s="213">
        <f t="shared" si="5"/>
        <v>0.15800000000000011</v>
      </c>
      <c r="N160" s="22">
        <f t="shared" si="4"/>
        <v>0.5587327324101603</v>
      </c>
    </row>
    <row r="161" spans="13:14" x14ac:dyDescent="0.25">
      <c r="M161" s="213">
        <f t="shared" si="5"/>
        <v>0.15900000000000011</v>
      </c>
      <c r="N161" s="22">
        <f t="shared" si="4"/>
        <v>0.56109640236343528</v>
      </c>
    </row>
    <row r="162" spans="13:14" x14ac:dyDescent="0.25">
      <c r="M162" s="213">
        <f t="shared" si="5"/>
        <v>0.16000000000000011</v>
      </c>
      <c r="N162" s="22">
        <f t="shared" si="4"/>
        <v>0.56344808960000026</v>
      </c>
    </row>
    <row r="163" spans="13:14" x14ac:dyDescent="0.25">
      <c r="M163" s="213">
        <f t="shared" si="5"/>
        <v>0.16100000000000012</v>
      </c>
      <c r="N163" s="22">
        <f t="shared" si="4"/>
        <v>0.56578784198023535</v>
      </c>
    </row>
    <row r="164" spans="13:14" x14ac:dyDescent="0.25">
      <c r="M164" s="213">
        <f t="shared" si="5"/>
        <v>0.16200000000000012</v>
      </c>
      <c r="N164" s="22">
        <f t="shared" si="4"/>
        <v>0.56811570726456029</v>
      </c>
    </row>
    <row r="165" spans="13:14" x14ac:dyDescent="0.25">
      <c r="M165" s="213">
        <f t="shared" si="5"/>
        <v>0.16300000000000012</v>
      </c>
      <c r="N165" s="22">
        <f t="shared" si="4"/>
        <v>0.57043173311343531</v>
      </c>
    </row>
    <row r="166" spans="13:14" x14ac:dyDescent="0.25">
      <c r="M166" s="213">
        <f t="shared" si="5"/>
        <v>0.16400000000000012</v>
      </c>
      <c r="N166" s="22">
        <f t="shared" si="4"/>
        <v>0.5727359670873603</v>
      </c>
    </row>
    <row r="167" spans="13:14" x14ac:dyDescent="0.25">
      <c r="M167" s="213">
        <f t="shared" si="5"/>
        <v>0.16500000000000012</v>
      </c>
      <c r="N167" s="22">
        <f t="shared" si="4"/>
        <v>0.5750284566468753</v>
      </c>
    </row>
    <row r="168" spans="13:14" x14ac:dyDescent="0.25">
      <c r="M168" s="213">
        <f t="shared" si="5"/>
        <v>0.16600000000000012</v>
      </c>
      <c r="N168" s="22">
        <f t="shared" si="4"/>
        <v>0.57730924915256032</v>
      </c>
    </row>
    <row r="169" spans="13:14" x14ac:dyDescent="0.25">
      <c r="M169" s="213">
        <f t="shared" si="5"/>
        <v>0.16700000000000012</v>
      </c>
      <c r="N169" s="22">
        <f t="shared" si="4"/>
        <v>0.57957839186503524</v>
      </c>
    </row>
    <row r="170" spans="13:14" x14ac:dyDescent="0.25">
      <c r="M170" s="213">
        <f t="shared" si="5"/>
        <v>0.16800000000000012</v>
      </c>
      <c r="N170" s="22">
        <f t="shared" si="4"/>
        <v>0.58183593194496031</v>
      </c>
    </row>
    <row r="171" spans="13:14" x14ac:dyDescent="0.25">
      <c r="M171" s="213">
        <f t="shared" si="5"/>
        <v>0.16900000000000012</v>
      </c>
      <c r="N171" s="22">
        <f t="shared" si="4"/>
        <v>0.58408191645303531</v>
      </c>
    </row>
    <row r="172" spans="13:14" x14ac:dyDescent="0.25">
      <c r="M172" s="213">
        <f t="shared" si="5"/>
        <v>0.17000000000000012</v>
      </c>
      <c r="N172" s="22">
        <f t="shared" si="4"/>
        <v>0.58631639235000033</v>
      </c>
    </row>
    <row r="173" spans="13:14" x14ac:dyDescent="0.25">
      <c r="M173" s="213">
        <f t="shared" si="5"/>
        <v>0.17100000000000012</v>
      </c>
      <c r="N173" s="22">
        <f t="shared" si="4"/>
        <v>0.58853940649663539</v>
      </c>
    </row>
    <row r="174" spans="13:14" x14ac:dyDescent="0.25">
      <c r="M174" s="213">
        <f t="shared" si="5"/>
        <v>0.17200000000000013</v>
      </c>
      <c r="N174" s="22">
        <f t="shared" si="4"/>
        <v>0.59075100565376026</v>
      </c>
    </row>
    <row r="175" spans="13:14" x14ac:dyDescent="0.25">
      <c r="M175" s="213">
        <f t="shared" si="5"/>
        <v>0.17300000000000013</v>
      </c>
      <c r="N175" s="22">
        <f t="shared" si="4"/>
        <v>0.59295123648223536</v>
      </c>
    </row>
    <row r="176" spans="13:14" x14ac:dyDescent="0.25">
      <c r="M176" s="213">
        <f t="shared" si="5"/>
        <v>0.17400000000000013</v>
      </c>
      <c r="N176" s="22">
        <f t="shared" si="4"/>
        <v>0.59514014554296035</v>
      </c>
    </row>
    <row r="177" spans="13:14" x14ac:dyDescent="0.25">
      <c r="M177" s="213">
        <f t="shared" si="5"/>
        <v>0.17500000000000013</v>
      </c>
      <c r="N177" s="22">
        <f t="shared" si="4"/>
        <v>0.59731777929687535</v>
      </c>
    </row>
    <row r="178" spans="13:14" x14ac:dyDescent="0.25">
      <c r="M178" s="213">
        <f t="shared" si="5"/>
        <v>0.17600000000000013</v>
      </c>
      <c r="N178" s="22">
        <f t="shared" si="4"/>
        <v>0.59948418410496029</v>
      </c>
    </row>
    <row r="179" spans="13:14" x14ac:dyDescent="0.25">
      <c r="M179" s="213">
        <f t="shared" si="5"/>
        <v>0.17700000000000013</v>
      </c>
      <c r="N179" s="22">
        <f t="shared" si="4"/>
        <v>0.60163940622823531</v>
      </c>
    </row>
    <row r="180" spans="13:14" x14ac:dyDescent="0.25">
      <c r="M180" s="213">
        <f t="shared" si="5"/>
        <v>0.17800000000000013</v>
      </c>
      <c r="N180" s="22">
        <f t="shared" si="4"/>
        <v>0.60378349182776037</v>
      </c>
    </row>
    <row r="181" spans="13:14" x14ac:dyDescent="0.25">
      <c r="M181" s="213">
        <f t="shared" si="5"/>
        <v>0.17900000000000013</v>
      </c>
      <c r="N181" s="22">
        <f t="shared" si="4"/>
        <v>0.60591648696463529</v>
      </c>
    </row>
    <row r="182" spans="13:14" x14ac:dyDescent="0.25">
      <c r="M182" s="213">
        <f t="shared" si="5"/>
        <v>0.18000000000000013</v>
      </c>
      <c r="N182" s="22">
        <f t="shared" si="4"/>
        <v>0.60803843760000031</v>
      </c>
    </row>
    <row r="183" spans="13:14" x14ac:dyDescent="0.25">
      <c r="M183" s="213">
        <f t="shared" si="5"/>
        <v>0.18100000000000013</v>
      </c>
      <c r="N183" s="22">
        <f t="shared" si="4"/>
        <v>0.61014938959503529</v>
      </c>
    </row>
    <row r="184" spans="13:14" x14ac:dyDescent="0.25">
      <c r="M184" s="213">
        <f t="shared" si="5"/>
        <v>0.18200000000000013</v>
      </c>
      <c r="N184" s="22">
        <f t="shared" si="4"/>
        <v>0.61224938871096035</v>
      </c>
    </row>
    <row r="185" spans="13:14" x14ac:dyDescent="0.25">
      <c r="M185" s="213">
        <f t="shared" si="5"/>
        <v>0.18300000000000013</v>
      </c>
      <c r="N185" s="22">
        <f t="shared" si="4"/>
        <v>0.61433848060903529</v>
      </c>
    </row>
    <row r="186" spans="13:14" x14ac:dyDescent="0.25">
      <c r="M186" s="213">
        <f t="shared" si="5"/>
        <v>0.18400000000000014</v>
      </c>
      <c r="N186" s="22">
        <f t="shared" si="4"/>
        <v>0.61641671085056027</v>
      </c>
    </row>
    <row r="187" spans="13:14" x14ac:dyDescent="0.25">
      <c r="M187" s="213">
        <f t="shared" si="5"/>
        <v>0.18500000000000014</v>
      </c>
      <c r="N187" s="22">
        <f t="shared" si="4"/>
        <v>0.61848412489687532</v>
      </c>
    </row>
    <row r="188" spans="13:14" x14ac:dyDescent="0.25">
      <c r="M188" s="213">
        <f t="shared" si="5"/>
        <v>0.18600000000000014</v>
      </c>
      <c r="N188" s="22">
        <f t="shared" si="4"/>
        <v>0.62054076810936021</v>
      </c>
    </row>
    <row r="189" spans="13:14" x14ac:dyDescent="0.25">
      <c r="M189" s="213">
        <f t="shared" si="5"/>
        <v>0.18700000000000014</v>
      </c>
      <c r="N189" s="22">
        <f t="shared" si="4"/>
        <v>0.62258668574943543</v>
      </c>
    </row>
    <row r="190" spans="13:14" x14ac:dyDescent="0.25">
      <c r="M190" s="213">
        <f t="shared" si="5"/>
        <v>0.18800000000000014</v>
      </c>
      <c r="N190" s="22">
        <f t="shared" si="4"/>
        <v>0.62462192297856034</v>
      </c>
    </row>
    <row r="191" spans="13:14" x14ac:dyDescent="0.25">
      <c r="M191" s="213">
        <f t="shared" si="5"/>
        <v>0.18900000000000014</v>
      </c>
      <c r="N191" s="22">
        <f t="shared" si="4"/>
        <v>0.62664652485823535</v>
      </c>
    </row>
    <row r="192" spans="13:14" x14ac:dyDescent="0.25">
      <c r="M192" s="213">
        <f t="shared" si="5"/>
        <v>0.19000000000000014</v>
      </c>
      <c r="N192" s="22">
        <f t="shared" si="4"/>
        <v>0.6286605363500003</v>
      </c>
    </row>
    <row r="193" spans="13:14" x14ac:dyDescent="0.25">
      <c r="M193" s="213">
        <f t="shared" si="5"/>
        <v>0.19100000000000014</v>
      </c>
      <c r="N193" s="22">
        <f t="shared" si="4"/>
        <v>0.63066400231543529</v>
      </c>
    </row>
    <row r="194" spans="13:14" x14ac:dyDescent="0.25">
      <c r="M194" s="213">
        <f t="shared" si="5"/>
        <v>0.19200000000000014</v>
      </c>
      <c r="N194" s="22">
        <f t="shared" si="4"/>
        <v>0.63265696751616041</v>
      </c>
    </row>
    <row r="195" spans="13:14" x14ac:dyDescent="0.25">
      <c r="M195" s="213">
        <f t="shared" si="5"/>
        <v>0.19300000000000014</v>
      </c>
      <c r="N195" s="22">
        <f t="shared" ref="N195:N258" si="6">-4.165*M195^4+10.634*M195^3-10.432*M195^2+4.9355*M195</f>
        <v>0.63463947661383535</v>
      </c>
    </row>
    <row r="196" spans="13:14" x14ac:dyDescent="0.25">
      <c r="M196" s="213">
        <f t="shared" ref="M196:M259" si="7">M195+0.1%</f>
        <v>0.19400000000000014</v>
      </c>
      <c r="N196" s="22">
        <f t="shared" si="6"/>
        <v>0.63661157417016034</v>
      </c>
    </row>
    <row r="197" spans="13:14" x14ac:dyDescent="0.25">
      <c r="M197" s="213">
        <f t="shared" si="7"/>
        <v>0.19500000000000015</v>
      </c>
      <c r="N197" s="22">
        <f t="shared" si="6"/>
        <v>0.63857330464687534</v>
      </c>
    </row>
    <row r="198" spans="13:14" x14ac:dyDescent="0.25">
      <c r="M198" s="213">
        <f t="shared" si="7"/>
        <v>0.19600000000000015</v>
      </c>
      <c r="N198" s="22">
        <f t="shared" si="6"/>
        <v>0.64052471240576025</v>
      </c>
    </row>
    <row r="199" spans="13:14" x14ac:dyDescent="0.25">
      <c r="M199" s="213">
        <f t="shared" si="7"/>
        <v>0.19700000000000015</v>
      </c>
      <c r="N199" s="22">
        <f t="shared" si="6"/>
        <v>0.6424658417086353</v>
      </c>
    </row>
    <row r="200" spans="13:14" x14ac:dyDescent="0.25">
      <c r="M200" s="213">
        <f t="shared" si="7"/>
        <v>0.19800000000000015</v>
      </c>
      <c r="N200" s="22">
        <f t="shared" si="6"/>
        <v>0.64439673671736042</v>
      </c>
    </row>
    <row r="201" spans="13:14" x14ac:dyDescent="0.25">
      <c r="M201" s="213">
        <f t="shared" si="7"/>
        <v>0.19900000000000015</v>
      </c>
      <c r="N201" s="22">
        <f t="shared" si="6"/>
        <v>0.6463174414938353</v>
      </c>
    </row>
    <row r="202" spans="13:14" x14ac:dyDescent="0.25">
      <c r="M202" s="213">
        <f t="shared" si="7"/>
        <v>0.20000000000000015</v>
      </c>
      <c r="N202" s="22">
        <f t="shared" si="6"/>
        <v>0.64822800000000025</v>
      </c>
    </row>
    <row r="203" spans="13:14" x14ac:dyDescent="0.25">
      <c r="M203" s="213">
        <f t="shared" si="7"/>
        <v>0.20100000000000015</v>
      </c>
      <c r="N203" s="22">
        <f t="shared" si="6"/>
        <v>0.65012845609783521</v>
      </c>
    </row>
    <row r="204" spans="13:14" x14ac:dyDescent="0.25">
      <c r="M204" s="213">
        <f t="shared" si="7"/>
        <v>0.20200000000000015</v>
      </c>
      <c r="N204" s="22">
        <f t="shared" si="6"/>
        <v>0.65201885354936029</v>
      </c>
    </row>
    <row r="205" spans="13:14" x14ac:dyDescent="0.25">
      <c r="M205" s="213">
        <f t="shared" si="7"/>
        <v>0.20300000000000015</v>
      </c>
      <c r="N205" s="22">
        <f t="shared" si="6"/>
        <v>0.65389923601663524</v>
      </c>
    </row>
    <row r="206" spans="13:14" x14ac:dyDescent="0.25">
      <c r="M206" s="213">
        <f t="shared" si="7"/>
        <v>0.20400000000000015</v>
      </c>
      <c r="N206" s="22">
        <f t="shared" si="6"/>
        <v>0.65576964706176044</v>
      </c>
    </row>
    <row r="207" spans="13:14" x14ac:dyDescent="0.25">
      <c r="M207" s="213">
        <f t="shared" si="7"/>
        <v>0.20500000000000015</v>
      </c>
      <c r="N207" s="22">
        <f t="shared" si="6"/>
        <v>0.65763013014687544</v>
      </c>
    </row>
    <row r="208" spans="13:14" x14ac:dyDescent="0.25">
      <c r="M208" s="213">
        <f t="shared" si="7"/>
        <v>0.20600000000000016</v>
      </c>
      <c r="N208" s="22">
        <f t="shared" si="6"/>
        <v>0.65948072863416041</v>
      </c>
    </row>
    <row r="209" spans="13:14" x14ac:dyDescent="0.25">
      <c r="M209" s="213">
        <f t="shared" si="7"/>
        <v>0.20700000000000016</v>
      </c>
      <c r="N209" s="22">
        <f t="shared" si="6"/>
        <v>0.66132148578583538</v>
      </c>
    </row>
    <row r="210" spans="13:14" x14ac:dyDescent="0.25">
      <c r="M210" s="213">
        <f t="shared" si="7"/>
        <v>0.20800000000000016</v>
      </c>
      <c r="N210" s="22">
        <f t="shared" si="6"/>
        <v>0.66315244476416035</v>
      </c>
    </row>
    <row r="211" spans="13:14" x14ac:dyDescent="0.25">
      <c r="M211" s="213">
        <f t="shared" si="7"/>
        <v>0.20900000000000016</v>
      </c>
      <c r="N211" s="22">
        <f t="shared" si="6"/>
        <v>0.66497364863143527</v>
      </c>
    </row>
    <row r="212" spans="13:14" x14ac:dyDescent="0.25">
      <c r="M212" s="213">
        <f t="shared" si="7"/>
        <v>0.21000000000000016</v>
      </c>
      <c r="N212" s="22">
        <f t="shared" si="6"/>
        <v>0.66678514035000025</v>
      </c>
    </row>
    <row r="213" spans="13:14" x14ac:dyDescent="0.25">
      <c r="M213" s="213">
        <f t="shared" si="7"/>
        <v>0.21100000000000016</v>
      </c>
      <c r="N213" s="22">
        <f t="shared" si="6"/>
        <v>0.66858696278223528</v>
      </c>
    </row>
    <row r="214" spans="13:14" x14ac:dyDescent="0.25">
      <c r="M214" s="213">
        <f t="shared" si="7"/>
        <v>0.21200000000000016</v>
      </c>
      <c r="N214" s="22">
        <f t="shared" si="6"/>
        <v>0.67037915869056031</v>
      </c>
    </row>
    <row r="215" spans="13:14" x14ac:dyDescent="0.25">
      <c r="M215" s="213">
        <f t="shared" si="7"/>
        <v>0.21300000000000016</v>
      </c>
      <c r="N215" s="22">
        <f t="shared" si="6"/>
        <v>0.67216177073743522</v>
      </c>
    </row>
    <row r="216" spans="13:14" x14ac:dyDescent="0.25">
      <c r="M216" s="213">
        <f t="shared" si="7"/>
        <v>0.21400000000000016</v>
      </c>
      <c r="N216" s="22">
        <f t="shared" si="6"/>
        <v>0.67393484148536031</v>
      </c>
    </row>
    <row r="217" spans="13:14" x14ac:dyDescent="0.25">
      <c r="M217" s="213">
        <f t="shared" si="7"/>
        <v>0.21500000000000016</v>
      </c>
      <c r="N217" s="22">
        <f t="shared" si="6"/>
        <v>0.67569841339687531</v>
      </c>
    </row>
    <row r="218" spans="13:14" x14ac:dyDescent="0.25">
      <c r="M218" s="213">
        <f t="shared" si="7"/>
        <v>0.21600000000000016</v>
      </c>
      <c r="N218" s="22">
        <f t="shared" si="6"/>
        <v>0.67745252883456031</v>
      </c>
    </row>
    <row r="219" spans="13:14" x14ac:dyDescent="0.25">
      <c r="M219" s="213">
        <f t="shared" si="7"/>
        <v>0.21700000000000016</v>
      </c>
      <c r="N219" s="22">
        <f t="shared" si="6"/>
        <v>0.67919723006103538</v>
      </c>
    </row>
    <row r="220" spans="13:14" x14ac:dyDescent="0.25">
      <c r="M220" s="213">
        <f t="shared" si="7"/>
        <v>0.21800000000000017</v>
      </c>
      <c r="N220" s="22">
        <f t="shared" si="6"/>
        <v>0.68093255923896034</v>
      </c>
    </row>
    <row r="221" spans="13:14" x14ac:dyDescent="0.25">
      <c r="M221" s="213">
        <f t="shared" si="7"/>
        <v>0.21900000000000017</v>
      </c>
      <c r="N221" s="22">
        <f t="shared" si="6"/>
        <v>0.68265855843103518</v>
      </c>
    </row>
    <row r="222" spans="13:14" x14ac:dyDescent="0.25">
      <c r="M222" s="213">
        <f t="shared" si="7"/>
        <v>0.22000000000000017</v>
      </c>
      <c r="N222" s="22">
        <f t="shared" si="6"/>
        <v>0.68437526960000028</v>
      </c>
    </row>
    <row r="223" spans="13:14" x14ac:dyDescent="0.25">
      <c r="M223" s="213">
        <f t="shared" si="7"/>
        <v>0.22100000000000017</v>
      </c>
      <c r="N223" s="22">
        <f t="shared" si="6"/>
        <v>0.68608273460863534</v>
      </c>
    </row>
    <row r="224" spans="13:14" x14ac:dyDescent="0.25">
      <c r="M224" s="213">
        <f t="shared" si="7"/>
        <v>0.22200000000000017</v>
      </c>
      <c r="N224" s="22">
        <f t="shared" si="6"/>
        <v>0.68778099521976022</v>
      </c>
    </row>
    <row r="225" spans="13:14" x14ac:dyDescent="0.25">
      <c r="M225" s="213">
        <f t="shared" si="7"/>
        <v>0.22300000000000017</v>
      </c>
      <c r="N225" s="22">
        <f t="shared" si="6"/>
        <v>0.68947009309623541</v>
      </c>
    </row>
    <row r="226" spans="13:14" x14ac:dyDescent="0.25">
      <c r="M226" s="213">
        <f t="shared" si="7"/>
        <v>0.22400000000000017</v>
      </c>
      <c r="N226" s="22">
        <f t="shared" si="6"/>
        <v>0.6911500698009605</v>
      </c>
    </row>
    <row r="227" spans="13:14" x14ac:dyDescent="0.25">
      <c r="M227" s="213">
        <f t="shared" si="7"/>
        <v>0.22500000000000017</v>
      </c>
      <c r="N227" s="22">
        <f t="shared" si="6"/>
        <v>0.69282096679687544</v>
      </c>
    </row>
    <row r="228" spans="13:14" x14ac:dyDescent="0.25">
      <c r="M228" s="213">
        <f t="shared" si="7"/>
        <v>0.22600000000000017</v>
      </c>
      <c r="N228" s="22">
        <f t="shared" si="6"/>
        <v>0.69448282544696038</v>
      </c>
    </row>
    <row r="229" spans="13:14" x14ac:dyDescent="0.25">
      <c r="M229" s="213">
        <f t="shared" si="7"/>
        <v>0.22700000000000017</v>
      </c>
      <c r="N229" s="22">
        <f t="shared" si="6"/>
        <v>0.69613568701423523</v>
      </c>
    </row>
    <row r="230" spans="13:14" x14ac:dyDescent="0.25">
      <c r="M230" s="213">
        <f t="shared" si="7"/>
        <v>0.22800000000000017</v>
      </c>
      <c r="N230" s="22">
        <f t="shared" si="6"/>
        <v>0.69777959266176026</v>
      </c>
    </row>
    <row r="231" spans="13:14" x14ac:dyDescent="0.25">
      <c r="M231" s="213">
        <f t="shared" si="7"/>
        <v>0.22900000000000018</v>
      </c>
      <c r="N231" s="22">
        <f t="shared" si="6"/>
        <v>0.6994145834526353</v>
      </c>
    </row>
    <row r="232" spans="13:14" x14ac:dyDescent="0.25">
      <c r="M232" s="213">
        <f t="shared" si="7"/>
        <v>0.23000000000000018</v>
      </c>
      <c r="N232" s="22">
        <f t="shared" si="6"/>
        <v>0.70104070035000032</v>
      </c>
    </row>
    <row r="233" spans="13:14" x14ac:dyDescent="0.25">
      <c r="M233" s="213">
        <f t="shared" si="7"/>
        <v>0.23100000000000018</v>
      </c>
      <c r="N233" s="22">
        <f t="shared" si="6"/>
        <v>0.70265798421703529</v>
      </c>
    </row>
    <row r="234" spans="13:14" x14ac:dyDescent="0.25">
      <c r="M234" s="213">
        <f t="shared" si="7"/>
        <v>0.23200000000000018</v>
      </c>
      <c r="N234" s="22">
        <f t="shared" si="6"/>
        <v>0.70426647581696022</v>
      </c>
    </row>
    <row r="235" spans="13:14" x14ac:dyDescent="0.25">
      <c r="M235" s="213">
        <f t="shared" si="7"/>
        <v>0.23300000000000018</v>
      </c>
      <c r="N235" s="22">
        <f t="shared" si="6"/>
        <v>0.70586621581303532</v>
      </c>
    </row>
    <row r="236" spans="13:14" x14ac:dyDescent="0.25">
      <c r="M236" s="213">
        <f t="shared" si="7"/>
        <v>0.23400000000000018</v>
      </c>
      <c r="N236" s="22">
        <f t="shared" si="6"/>
        <v>0.70745724476856031</v>
      </c>
    </row>
    <row r="237" spans="13:14" x14ac:dyDescent="0.25">
      <c r="M237" s="213">
        <f t="shared" si="7"/>
        <v>0.23500000000000018</v>
      </c>
      <c r="N237" s="22">
        <f t="shared" si="6"/>
        <v>0.70903960314687531</v>
      </c>
    </row>
    <row r="238" spans="13:14" x14ac:dyDescent="0.25">
      <c r="M238" s="213">
        <f t="shared" si="7"/>
        <v>0.23600000000000018</v>
      </c>
      <c r="N238" s="22">
        <f t="shared" si="6"/>
        <v>0.71061333131136029</v>
      </c>
    </row>
    <row r="239" spans="13:14" x14ac:dyDescent="0.25">
      <c r="M239" s="213">
        <f t="shared" si="7"/>
        <v>0.23700000000000018</v>
      </c>
      <c r="N239" s="22">
        <f t="shared" si="6"/>
        <v>0.7121784695254354</v>
      </c>
    </row>
    <row r="240" spans="13:14" x14ac:dyDescent="0.25">
      <c r="M240" s="213">
        <f t="shared" si="7"/>
        <v>0.23800000000000018</v>
      </c>
      <c r="N240" s="22">
        <f t="shared" si="6"/>
        <v>0.71373505795256031</v>
      </c>
    </row>
    <row r="241" spans="13:14" x14ac:dyDescent="0.25">
      <c r="M241" s="213">
        <f t="shared" si="7"/>
        <v>0.23900000000000018</v>
      </c>
      <c r="N241" s="22">
        <f t="shared" si="6"/>
        <v>0.71528313665623522</v>
      </c>
    </row>
    <row r="242" spans="13:14" x14ac:dyDescent="0.25">
      <c r="M242" s="213">
        <f t="shared" si="7"/>
        <v>0.24000000000000019</v>
      </c>
      <c r="N242" s="22">
        <f t="shared" si="6"/>
        <v>0.71682274560000026</v>
      </c>
    </row>
    <row r="243" spans="13:14" x14ac:dyDescent="0.25">
      <c r="M243" s="213">
        <f t="shared" si="7"/>
        <v>0.24100000000000019</v>
      </c>
      <c r="N243" s="22">
        <f t="shared" si="6"/>
        <v>0.7183539246474353</v>
      </c>
    </row>
    <row r="244" spans="13:14" x14ac:dyDescent="0.25">
      <c r="M244" s="213">
        <f t="shared" si="7"/>
        <v>0.24200000000000019</v>
      </c>
      <c r="N244" s="22">
        <f t="shared" si="6"/>
        <v>0.71987671356216032</v>
      </c>
    </row>
    <row r="245" spans="13:14" x14ac:dyDescent="0.25">
      <c r="M245" s="213">
        <f t="shared" si="7"/>
        <v>0.24300000000000019</v>
      </c>
      <c r="N245" s="22">
        <f t="shared" si="6"/>
        <v>0.72139115200783543</v>
      </c>
    </row>
    <row r="246" spans="13:14" x14ac:dyDescent="0.25">
      <c r="M246" s="213">
        <f t="shared" si="7"/>
        <v>0.24400000000000019</v>
      </c>
      <c r="N246" s="22">
        <f t="shared" si="6"/>
        <v>0.72289727954816041</v>
      </c>
    </row>
    <row r="247" spans="13:14" x14ac:dyDescent="0.25">
      <c r="M247" s="213">
        <f t="shared" si="7"/>
        <v>0.24500000000000019</v>
      </c>
      <c r="N247" s="22">
        <f t="shared" si="6"/>
        <v>0.72439513564687541</v>
      </c>
    </row>
    <row r="248" spans="13:14" x14ac:dyDescent="0.25">
      <c r="M248" s="213">
        <f t="shared" si="7"/>
        <v>0.24600000000000019</v>
      </c>
      <c r="N248" s="22">
        <f t="shared" si="6"/>
        <v>0.72588475966776034</v>
      </c>
    </row>
    <row r="249" spans="13:14" x14ac:dyDescent="0.25">
      <c r="M249" s="213">
        <f t="shared" si="7"/>
        <v>0.24700000000000019</v>
      </c>
      <c r="N249" s="22">
        <f t="shared" si="6"/>
        <v>0.72736619087463539</v>
      </c>
    </row>
    <row r="250" spans="13:14" x14ac:dyDescent="0.25">
      <c r="M250" s="213">
        <f t="shared" si="7"/>
        <v>0.24800000000000019</v>
      </c>
      <c r="N250" s="22">
        <f t="shared" si="6"/>
        <v>0.72883946843136027</v>
      </c>
    </row>
    <row r="251" spans="13:14" x14ac:dyDescent="0.25">
      <c r="M251" s="213">
        <f t="shared" si="7"/>
        <v>0.24900000000000019</v>
      </c>
      <c r="N251" s="22">
        <f t="shared" si="6"/>
        <v>0.73030463140183521</v>
      </c>
    </row>
    <row r="252" spans="13:14" x14ac:dyDescent="0.25">
      <c r="M252" s="213">
        <f t="shared" si="7"/>
        <v>0.25000000000000017</v>
      </c>
      <c r="N252" s="22">
        <f t="shared" si="6"/>
        <v>0.73176171875000029</v>
      </c>
    </row>
    <row r="253" spans="13:14" x14ac:dyDescent="0.25">
      <c r="M253" s="213">
        <f t="shared" si="7"/>
        <v>0.25100000000000017</v>
      </c>
      <c r="N253" s="22">
        <f t="shared" si="6"/>
        <v>0.73321076933983531</v>
      </c>
    </row>
    <row r="254" spans="13:14" x14ac:dyDescent="0.25">
      <c r="M254" s="213">
        <f t="shared" si="7"/>
        <v>0.25200000000000017</v>
      </c>
      <c r="N254" s="22">
        <f t="shared" si="6"/>
        <v>0.73465182193536027</v>
      </c>
    </row>
    <row r="255" spans="13:14" x14ac:dyDescent="0.25">
      <c r="M255" s="213">
        <f t="shared" si="7"/>
        <v>0.25300000000000017</v>
      </c>
      <c r="N255" s="22">
        <f t="shared" si="6"/>
        <v>0.73608491520063524</v>
      </c>
    </row>
    <row r="256" spans="13:14" x14ac:dyDescent="0.25">
      <c r="M256" s="213">
        <f t="shared" si="7"/>
        <v>0.25400000000000017</v>
      </c>
      <c r="N256" s="22">
        <f t="shared" si="6"/>
        <v>0.73751008769976023</v>
      </c>
    </row>
    <row r="257" spans="13:14" x14ac:dyDescent="0.25">
      <c r="M257" s="213">
        <f t="shared" si="7"/>
        <v>0.25500000000000017</v>
      </c>
      <c r="N257" s="22">
        <f t="shared" si="6"/>
        <v>0.73892737789687535</v>
      </c>
    </row>
    <row r="258" spans="13:14" x14ac:dyDescent="0.25">
      <c r="M258" s="213">
        <f t="shared" si="7"/>
        <v>0.25600000000000017</v>
      </c>
      <c r="N258" s="22">
        <f t="shared" si="6"/>
        <v>0.7403368241561602</v>
      </c>
    </row>
    <row r="259" spans="13:14" x14ac:dyDescent="0.25">
      <c r="M259" s="213">
        <f t="shared" si="7"/>
        <v>0.25700000000000017</v>
      </c>
      <c r="N259" s="22">
        <f t="shared" ref="N259:N322" si="8">-4.165*M259^4+10.634*M259^3-10.432*M259^2+4.9355*M259</f>
        <v>0.74173846474183525</v>
      </c>
    </row>
    <row r="260" spans="13:14" x14ac:dyDescent="0.25">
      <c r="M260" s="213">
        <f t="shared" ref="M260:M323" si="9">M259+0.1%</f>
        <v>0.25800000000000017</v>
      </c>
      <c r="N260" s="22">
        <f t="shared" si="8"/>
        <v>0.74313233781816035</v>
      </c>
    </row>
    <row r="261" spans="13:14" x14ac:dyDescent="0.25">
      <c r="M261" s="213">
        <f t="shared" si="9"/>
        <v>0.25900000000000017</v>
      </c>
      <c r="N261" s="22">
        <f t="shared" si="8"/>
        <v>0.74451848144943544</v>
      </c>
    </row>
    <row r="262" spans="13:14" x14ac:dyDescent="0.25">
      <c r="M262" s="213">
        <f t="shared" si="9"/>
        <v>0.26000000000000018</v>
      </c>
      <c r="N262" s="22">
        <f t="shared" si="8"/>
        <v>0.74589693360000042</v>
      </c>
    </row>
    <row r="263" spans="13:14" x14ac:dyDescent="0.25">
      <c r="M263" s="213">
        <f t="shared" si="9"/>
        <v>0.26100000000000018</v>
      </c>
      <c r="N263" s="22">
        <f t="shared" si="8"/>
        <v>0.74726773213423525</v>
      </c>
    </row>
    <row r="264" spans="13:14" x14ac:dyDescent="0.25">
      <c r="M264" s="213">
        <f t="shared" si="9"/>
        <v>0.26200000000000018</v>
      </c>
      <c r="N264" s="22">
        <f t="shared" si="8"/>
        <v>0.7486309148165603</v>
      </c>
    </row>
    <row r="265" spans="13:14" x14ac:dyDescent="0.25">
      <c r="M265" s="213">
        <f t="shared" si="9"/>
        <v>0.26300000000000018</v>
      </c>
      <c r="N265" s="22">
        <f t="shared" si="8"/>
        <v>0.74998651931143534</v>
      </c>
    </row>
    <row r="266" spans="13:14" x14ac:dyDescent="0.25">
      <c r="M266" s="213">
        <f t="shared" si="9"/>
        <v>0.26400000000000018</v>
      </c>
      <c r="N266" s="22">
        <f t="shared" si="8"/>
        <v>0.75133458318336022</v>
      </c>
    </row>
    <row r="267" spans="13:14" x14ac:dyDescent="0.25">
      <c r="M267" s="213">
        <f t="shared" si="9"/>
        <v>0.26500000000000018</v>
      </c>
      <c r="N267" s="22">
        <f t="shared" si="8"/>
        <v>0.75267514389687529</v>
      </c>
    </row>
    <row r="268" spans="13:14" x14ac:dyDescent="0.25">
      <c r="M268" s="213">
        <f t="shared" si="9"/>
        <v>0.26600000000000018</v>
      </c>
      <c r="N268" s="22">
        <f t="shared" si="8"/>
        <v>0.75400823881656009</v>
      </c>
    </row>
    <row r="269" spans="13:14" x14ac:dyDescent="0.25">
      <c r="M269" s="213">
        <f t="shared" si="9"/>
        <v>0.26700000000000018</v>
      </c>
      <c r="N269" s="22">
        <f t="shared" si="8"/>
        <v>0.75533390520703514</v>
      </c>
    </row>
    <row r="270" spans="13:14" x14ac:dyDescent="0.25">
      <c r="M270" s="213">
        <f t="shared" si="9"/>
        <v>0.26800000000000018</v>
      </c>
      <c r="N270" s="22">
        <f t="shared" si="8"/>
        <v>0.75665218023296033</v>
      </c>
    </row>
    <row r="271" spans="13:14" x14ac:dyDescent="0.25">
      <c r="M271" s="213">
        <f t="shared" si="9"/>
        <v>0.26900000000000018</v>
      </c>
      <c r="N271" s="22">
        <f t="shared" si="8"/>
        <v>0.75796310095903552</v>
      </c>
    </row>
    <row r="272" spans="13:14" x14ac:dyDescent="0.25">
      <c r="M272" s="213">
        <f t="shared" si="9"/>
        <v>0.27000000000000018</v>
      </c>
      <c r="N272" s="22">
        <f t="shared" si="8"/>
        <v>0.75926670435000032</v>
      </c>
    </row>
    <row r="273" spans="13:14" x14ac:dyDescent="0.25">
      <c r="M273" s="213">
        <f t="shared" si="9"/>
        <v>0.27100000000000019</v>
      </c>
      <c r="N273" s="22">
        <f t="shared" si="8"/>
        <v>0.76056302727063529</v>
      </c>
    </row>
    <row r="274" spans="13:14" x14ac:dyDescent="0.25">
      <c r="M274" s="213">
        <f t="shared" si="9"/>
        <v>0.27200000000000019</v>
      </c>
      <c r="N274" s="22">
        <f t="shared" si="8"/>
        <v>0.76185210648576018</v>
      </c>
    </row>
    <row r="275" spans="13:14" x14ac:dyDescent="0.25">
      <c r="M275" s="213">
        <f t="shared" si="9"/>
        <v>0.27300000000000019</v>
      </c>
      <c r="N275" s="22">
        <f t="shared" si="8"/>
        <v>0.76313397866023525</v>
      </c>
    </row>
    <row r="276" spans="13:14" x14ac:dyDescent="0.25">
      <c r="M276" s="213">
        <f t="shared" si="9"/>
        <v>0.27400000000000019</v>
      </c>
      <c r="N276" s="22">
        <f t="shared" si="8"/>
        <v>0.76440868035896026</v>
      </c>
    </row>
    <row r="277" spans="13:14" x14ac:dyDescent="0.25">
      <c r="M277" s="213">
        <f t="shared" si="9"/>
        <v>0.27500000000000019</v>
      </c>
      <c r="N277" s="22">
        <f t="shared" si="8"/>
        <v>0.76567624804687517</v>
      </c>
    </row>
    <row r="278" spans="13:14" x14ac:dyDescent="0.25">
      <c r="M278" s="213">
        <f t="shared" si="9"/>
        <v>0.27600000000000019</v>
      </c>
      <c r="N278" s="22">
        <f t="shared" si="8"/>
        <v>0.76693671808896013</v>
      </c>
    </row>
    <row r="279" spans="13:14" x14ac:dyDescent="0.25">
      <c r="M279" s="213">
        <f t="shared" si="9"/>
        <v>0.27700000000000019</v>
      </c>
      <c r="N279" s="22">
        <f t="shared" si="8"/>
        <v>0.76819012675023546</v>
      </c>
    </row>
    <row r="280" spans="13:14" x14ac:dyDescent="0.25">
      <c r="M280" s="213">
        <f t="shared" si="9"/>
        <v>0.27800000000000019</v>
      </c>
      <c r="N280" s="22">
        <f t="shared" si="8"/>
        <v>0.76943651019576043</v>
      </c>
    </row>
    <row r="281" spans="13:14" x14ac:dyDescent="0.25">
      <c r="M281" s="213">
        <f t="shared" si="9"/>
        <v>0.27900000000000019</v>
      </c>
      <c r="N281" s="22">
        <f t="shared" si="8"/>
        <v>0.7706759044906355</v>
      </c>
    </row>
    <row r="282" spans="13:14" x14ac:dyDescent="0.25">
      <c r="M282" s="213">
        <f t="shared" si="9"/>
        <v>0.28000000000000019</v>
      </c>
      <c r="N282" s="22">
        <f t="shared" si="8"/>
        <v>0.77190834560000032</v>
      </c>
    </row>
    <row r="283" spans="13:14" x14ac:dyDescent="0.25">
      <c r="M283" s="213">
        <f t="shared" si="9"/>
        <v>0.28100000000000019</v>
      </c>
      <c r="N283" s="22">
        <f t="shared" si="8"/>
        <v>0.77313386938903528</v>
      </c>
    </row>
    <row r="284" spans="13:14" x14ac:dyDescent="0.25">
      <c r="M284" s="213">
        <f t="shared" si="9"/>
        <v>0.28200000000000019</v>
      </c>
      <c r="N284" s="22">
        <f t="shared" si="8"/>
        <v>0.77435251162296026</v>
      </c>
    </row>
    <row r="285" spans="13:14" x14ac:dyDescent="0.25">
      <c r="M285" s="213">
        <f t="shared" si="9"/>
        <v>0.2830000000000002</v>
      </c>
      <c r="N285" s="22">
        <f t="shared" si="8"/>
        <v>0.77556430796703535</v>
      </c>
    </row>
    <row r="286" spans="13:14" x14ac:dyDescent="0.25">
      <c r="M286" s="213">
        <f t="shared" si="9"/>
        <v>0.2840000000000002</v>
      </c>
      <c r="N286" s="22">
        <f t="shared" si="8"/>
        <v>0.77676929398656014</v>
      </c>
    </row>
    <row r="287" spans="13:14" x14ac:dyDescent="0.25">
      <c r="M287" s="213">
        <f t="shared" si="9"/>
        <v>0.2850000000000002</v>
      </c>
      <c r="N287" s="22">
        <f t="shared" si="8"/>
        <v>0.77796750514687507</v>
      </c>
    </row>
    <row r="288" spans="13:14" x14ac:dyDescent="0.25">
      <c r="M288" s="213">
        <f t="shared" si="9"/>
        <v>0.2860000000000002</v>
      </c>
      <c r="N288" s="22">
        <f t="shared" si="8"/>
        <v>0.77915897681336022</v>
      </c>
    </row>
    <row r="289" spans="13:14" x14ac:dyDescent="0.25">
      <c r="M289" s="213">
        <f t="shared" si="9"/>
        <v>0.2870000000000002</v>
      </c>
      <c r="N289" s="22">
        <f t="shared" si="8"/>
        <v>0.78034374425143538</v>
      </c>
    </row>
    <row r="290" spans="13:14" x14ac:dyDescent="0.25">
      <c r="M290" s="213">
        <f t="shared" si="9"/>
        <v>0.2880000000000002</v>
      </c>
      <c r="N290" s="22">
        <f t="shared" si="8"/>
        <v>0.78152184262656033</v>
      </c>
    </row>
    <row r="291" spans="13:14" x14ac:dyDescent="0.25">
      <c r="M291" s="213">
        <f t="shared" si="9"/>
        <v>0.2890000000000002</v>
      </c>
      <c r="N291" s="22">
        <f t="shared" si="8"/>
        <v>0.78269330700423523</v>
      </c>
    </row>
    <row r="292" spans="13:14" x14ac:dyDescent="0.25">
      <c r="M292" s="213">
        <f t="shared" si="9"/>
        <v>0.2900000000000002</v>
      </c>
      <c r="N292" s="22">
        <f t="shared" si="8"/>
        <v>0.78385817235000033</v>
      </c>
    </row>
    <row r="293" spans="13:14" x14ac:dyDescent="0.25">
      <c r="M293" s="213">
        <f t="shared" si="9"/>
        <v>0.2910000000000002</v>
      </c>
      <c r="N293" s="22">
        <f t="shared" si="8"/>
        <v>0.78501647352943527</v>
      </c>
    </row>
    <row r="294" spans="13:14" x14ac:dyDescent="0.25">
      <c r="M294" s="213">
        <f t="shared" si="9"/>
        <v>0.2920000000000002</v>
      </c>
      <c r="N294" s="22">
        <f t="shared" si="8"/>
        <v>0.78616824530816021</v>
      </c>
    </row>
    <row r="295" spans="13:14" x14ac:dyDescent="0.25">
      <c r="M295" s="213">
        <f t="shared" si="9"/>
        <v>0.2930000000000002</v>
      </c>
      <c r="N295" s="22">
        <f t="shared" si="8"/>
        <v>0.78731352235183527</v>
      </c>
    </row>
    <row r="296" spans="13:14" x14ac:dyDescent="0.25">
      <c r="M296" s="213">
        <f t="shared" si="9"/>
        <v>0.29400000000000021</v>
      </c>
      <c r="N296" s="22">
        <f t="shared" si="8"/>
        <v>0.7884523392261602</v>
      </c>
    </row>
    <row r="297" spans="13:14" x14ac:dyDescent="0.25">
      <c r="M297" s="213">
        <f t="shared" si="9"/>
        <v>0.29500000000000021</v>
      </c>
      <c r="N297" s="22">
        <f t="shared" si="8"/>
        <v>0.78958473039687527</v>
      </c>
    </row>
    <row r="298" spans="13:14" x14ac:dyDescent="0.25">
      <c r="M298" s="213">
        <f t="shared" si="9"/>
        <v>0.29600000000000021</v>
      </c>
      <c r="N298" s="22">
        <f t="shared" si="8"/>
        <v>0.79071073022976002</v>
      </c>
    </row>
    <row r="299" spans="13:14" x14ac:dyDescent="0.25">
      <c r="M299" s="213">
        <f t="shared" si="9"/>
        <v>0.29700000000000021</v>
      </c>
      <c r="N299" s="22">
        <f t="shared" si="8"/>
        <v>0.79183037299063541</v>
      </c>
    </row>
    <row r="300" spans="13:14" x14ac:dyDescent="0.25">
      <c r="M300" s="213">
        <f t="shared" si="9"/>
        <v>0.29800000000000021</v>
      </c>
      <c r="N300" s="22">
        <f t="shared" si="8"/>
        <v>0.79294369284536037</v>
      </c>
    </row>
    <row r="301" spans="13:14" x14ac:dyDescent="0.25">
      <c r="M301" s="213">
        <f t="shared" si="9"/>
        <v>0.29900000000000021</v>
      </c>
      <c r="N301" s="22">
        <f t="shared" si="8"/>
        <v>0.79405072385983533</v>
      </c>
    </row>
    <row r="302" spans="13:14" x14ac:dyDescent="0.25">
      <c r="M302" s="213">
        <f t="shared" si="9"/>
        <v>0.30000000000000021</v>
      </c>
      <c r="N302" s="22">
        <f t="shared" si="8"/>
        <v>0.79515150000000034</v>
      </c>
    </row>
    <row r="303" spans="13:14" x14ac:dyDescent="0.25">
      <c r="M303" s="213">
        <f t="shared" si="9"/>
        <v>0.30100000000000021</v>
      </c>
      <c r="N303" s="22">
        <f t="shared" si="8"/>
        <v>0.79624605513183533</v>
      </c>
    </row>
    <row r="304" spans="13:14" x14ac:dyDescent="0.25">
      <c r="M304" s="213">
        <f t="shared" si="9"/>
        <v>0.30200000000000021</v>
      </c>
      <c r="N304" s="22">
        <f t="shared" si="8"/>
        <v>0.79733442302136015</v>
      </c>
    </row>
    <row r="305" spans="13:14" x14ac:dyDescent="0.25">
      <c r="M305" s="213">
        <f t="shared" si="9"/>
        <v>0.30300000000000021</v>
      </c>
      <c r="N305" s="22">
        <f t="shared" si="8"/>
        <v>0.7984166373346353</v>
      </c>
    </row>
    <row r="306" spans="13:14" x14ac:dyDescent="0.25">
      <c r="M306" s="213">
        <f t="shared" si="9"/>
        <v>0.30400000000000021</v>
      </c>
      <c r="N306" s="22">
        <f t="shared" si="8"/>
        <v>0.79949273163776025</v>
      </c>
    </row>
    <row r="307" spans="13:14" x14ac:dyDescent="0.25">
      <c r="M307" s="213">
        <f t="shared" si="9"/>
        <v>0.30500000000000022</v>
      </c>
      <c r="N307" s="22">
        <f t="shared" si="8"/>
        <v>0.80056273939687517</v>
      </c>
    </row>
    <row r="308" spans="13:14" x14ac:dyDescent="0.25">
      <c r="M308" s="213">
        <f t="shared" si="9"/>
        <v>0.30600000000000022</v>
      </c>
      <c r="N308" s="22">
        <f t="shared" si="8"/>
        <v>0.80162669397816044</v>
      </c>
    </row>
    <row r="309" spans="13:14" x14ac:dyDescent="0.25">
      <c r="M309" s="213">
        <f t="shared" si="9"/>
        <v>0.30700000000000022</v>
      </c>
      <c r="N309" s="22">
        <f t="shared" si="8"/>
        <v>0.8026846286478353</v>
      </c>
    </row>
    <row r="310" spans="13:14" x14ac:dyDescent="0.25">
      <c r="M310" s="213">
        <f t="shared" si="9"/>
        <v>0.30800000000000022</v>
      </c>
      <c r="N310" s="22">
        <f t="shared" si="8"/>
        <v>0.80373657657216035</v>
      </c>
    </row>
    <row r="311" spans="13:14" x14ac:dyDescent="0.25">
      <c r="M311" s="213">
        <f t="shared" si="9"/>
        <v>0.30900000000000022</v>
      </c>
      <c r="N311" s="22">
        <f t="shared" si="8"/>
        <v>0.80478257081743532</v>
      </c>
    </row>
    <row r="312" spans="13:14" x14ac:dyDescent="0.25">
      <c r="M312" s="213">
        <f t="shared" si="9"/>
        <v>0.31000000000000022</v>
      </c>
      <c r="N312" s="22">
        <f t="shared" si="8"/>
        <v>0.80582264435000028</v>
      </c>
    </row>
    <row r="313" spans="13:14" x14ac:dyDescent="0.25">
      <c r="M313" s="213">
        <f t="shared" si="9"/>
        <v>0.31100000000000022</v>
      </c>
      <c r="N313" s="22">
        <f t="shared" si="8"/>
        <v>0.80685683003623521</v>
      </c>
    </row>
    <row r="314" spans="13:14" x14ac:dyDescent="0.25">
      <c r="M314" s="213">
        <f t="shared" si="9"/>
        <v>0.31200000000000022</v>
      </c>
      <c r="N314" s="22">
        <f t="shared" si="8"/>
        <v>0.80788516064256022</v>
      </c>
    </row>
    <row r="315" spans="13:14" x14ac:dyDescent="0.25">
      <c r="M315" s="213">
        <f t="shared" si="9"/>
        <v>0.31300000000000022</v>
      </c>
      <c r="N315" s="22">
        <f t="shared" si="8"/>
        <v>0.80890766883543508</v>
      </c>
    </row>
    <row r="316" spans="13:14" x14ac:dyDescent="0.25">
      <c r="M316" s="213">
        <f t="shared" si="9"/>
        <v>0.31400000000000022</v>
      </c>
      <c r="N316" s="22">
        <f t="shared" si="8"/>
        <v>0.80992438718136017</v>
      </c>
    </row>
    <row r="317" spans="13:14" x14ac:dyDescent="0.25">
      <c r="M317" s="213">
        <f t="shared" si="9"/>
        <v>0.31500000000000022</v>
      </c>
      <c r="N317" s="22">
        <f t="shared" si="8"/>
        <v>0.81093534814687529</v>
      </c>
    </row>
    <row r="318" spans="13:14" x14ac:dyDescent="0.25">
      <c r="M318" s="213">
        <f t="shared" si="9"/>
        <v>0.31600000000000023</v>
      </c>
      <c r="N318" s="22">
        <f t="shared" si="8"/>
        <v>0.8119405840985604</v>
      </c>
    </row>
    <row r="319" spans="13:14" x14ac:dyDescent="0.25">
      <c r="M319" s="213">
        <f t="shared" si="9"/>
        <v>0.31700000000000023</v>
      </c>
      <c r="N319" s="22">
        <f t="shared" si="8"/>
        <v>0.81294012730303533</v>
      </c>
    </row>
    <row r="320" spans="13:14" x14ac:dyDescent="0.25">
      <c r="M320" s="213">
        <f t="shared" si="9"/>
        <v>0.31800000000000023</v>
      </c>
      <c r="N320" s="22">
        <f t="shared" si="8"/>
        <v>0.8139340099269603</v>
      </c>
    </row>
    <row r="321" spans="13:14" x14ac:dyDescent="0.25">
      <c r="M321" s="213">
        <f t="shared" si="9"/>
        <v>0.31900000000000023</v>
      </c>
      <c r="N321" s="22">
        <f t="shared" si="8"/>
        <v>0.81492226403703527</v>
      </c>
    </row>
    <row r="322" spans="13:14" x14ac:dyDescent="0.25">
      <c r="M322" s="213">
        <f t="shared" si="9"/>
        <v>0.32000000000000023</v>
      </c>
      <c r="N322" s="22">
        <f t="shared" si="8"/>
        <v>0.81590492160000028</v>
      </c>
    </row>
    <row r="323" spans="13:14" x14ac:dyDescent="0.25">
      <c r="M323" s="213">
        <f t="shared" si="9"/>
        <v>0.32100000000000023</v>
      </c>
      <c r="N323" s="22">
        <f t="shared" ref="N323:N386" si="10">-4.165*M323^4+10.634*M323^3-10.432*M323^2+4.9355*M323</f>
        <v>0.81688201448263531</v>
      </c>
    </row>
    <row r="324" spans="13:14" x14ac:dyDescent="0.25">
      <c r="M324" s="213">
        <f t="shared" ref="M324:M387" si="11">M323+0.1%</f>
        <v>0.32200000000000023</v>
      </c>
      <c r="N324" s="22">
        <f t="shared" si="10"/>
        <v>0.81785357445176032</v>
      </c>
    </row>
    <row r="325" spans="13:14" x14ac:dyDescent="0.25">
      <c r="M325" s="213">
        <f t="shared" si="11"/>
        <v>0.32300000000000023</v>
      </c>
      <c r="N325" s="22">
        <f t="shared" si="10"/>
        <v>0.81881963317423534</v>
      </c>
    </row>
    <row r="326" spans="13:14" x14ac:dyDescent="0.25">
      <c r="M326" s="213">
        <f t="shared" si="11"/>
        <v>0.32400000000000023</v>
      </c>
      <c r="N326" s="22">
        <f t="shared" si="10"/>
        <v>0.81978022221696034</v>
      </c>
    </row>
    <row r="327" spans="13:14" x14ac:dyDescent="0.25">
      <c r="M327" s="213">
        <f t="shared" si="11"/>
        <v>0.32500000000000023</v>
      </c>
      <c r="N327" s="22">
        <f t="shared" si="10"/>
        <v>0.82073537304687516</v>
      </c>
    </row>
    <row r="328" spans="13:14" x14ac:dyDescent="0.25">
      <c r="M328" s="213">
        <f t="shared" si="11"/>
        <v>0.32600000000000023</v>
      </c>
      <c r="N328" s="22">
        <f t="shared" si="10"/>
        <v>0.82168511703096025</v>
      </c>
    </row>
    <row r="329" spans="13:14" x14ac:dyDescent="0.25">
      <c r="M329" s="213">
        <f t="shared" si="11"/>
        <v>0.32700000000000023</v>
      </c>
      <c r="N329" s="22">
        <f t="shared" si="10"/>
        <v>0.82262948543623549</v>
      </c>
    </row>
    <row r="330" spans="13:14" x14ac:dyDescent="0.25">
      <c r="M330" s="213">
        <f t="shared" si="11"/>
        <v>0.32800000000000024</v>
      </c>
      <c r="N330" s="22">
        <f t="shared" si="10"/>
        <v>0.82356850942976023</v>
      </c>
    </row>
    <row r="331" spans="13:14" x14ac:dyDescent="0.25">
      <c r="M331" s="213">
        <f t="shared" si="11"/>
        <v>0.32900000000000024</v>
      </c>
      <c r="N331" s="22">
        <f t="shared" si="10"/>
        <v>0.82450222007863516</v>
      </c>
    </row>
    <row r="332" spans="13:14" x14ac:dyDescent="0.25">
      <c r="M332" s="213">
        <f t="shared" si="11"/>
        <v>0.33000000000000024</v>
      </c>
      <c r="N332" s="22">
        <f t="shared" si="10"/>
        <v>0.82543064835000002</v>
      </c>
    </row>
    <row r="333" spans="13:14" x14ac:dyDescent="0.25">
      <c r="M333" s="213">
        <f t="shared" si="11"/>
        <v>0.33100000000000024</v>
      </c>
      <c r="N333" s="22">
        <f t="shared" si="10"/>
        <v>0.82635382511103528</v>
      </c>
    </row>
    <row r="334" spans="13:14" x14ac:dyDescent="0.25">
      <c r="M334" s="213">
        <f t="shared" si="11"/>
        <v>0.33200000000000024</v>
      </c>
      <c r="N334" s="22">
        <f t="shared" si="10"/>
        <v>0.82727178112896027</v>
      </c>
    </row>
    <row r="335" spans="13:14" x14ac:dyDescent="0.25">
      <c r="M335" s="213">
        <f t="shared" si="11"/>
        <v>0.33300000000000024</v>
      </c>
      <c r="N335" s="22">
        <f t="shared" si="10"/>
        <v>0.82818454707103528</v>
      </c>
    </row>
    <row r="336" spans="13:14" x14ac:dyDescent="0.25">
      <c r="M336" s="213">
        <f t="shared" si="11"/>
        <v>0.33400000000000024</v>
      </c>
      <c r="N336" s="22">
        <f t="shared" si="10"/>
        <v>0.82909215350456034</v>
      </c>
    </row>
    <row r="337" spans="13:14" x14ac:dyDescent="0.25">
      <c r="M337" s="213">
        <f t="shared" si="11"/>
        <v>0.33500000000000024</v>
      </c>
      <c r="N337" s="22">
        <f t="shared" si="10"/>
        <v>0.82999463089687542</v>
      </c>
    </row>
    <row r="338" spans="13:14" x14ac:dyDescent="0.25">
      <c r="M338" s="213">
        <f t="shared" si="11"/>
        <v>0.33600000000000024</v>
      </c>
      <c r="N338" s="22">
        <f t="shared" si="10"/>
        <v>0.83089200961536025</v>
      </c>
    </row>
    <row r="339" spans="13:14" x14ac:dyDescent="0.25">
      <c r="M339" s="213">
        <f t="shared" si="11"/>
        <v>0.33700000000000024</v>
      </c>
      <c r="N339" s="22">
        <f t="shared" si="10"/>
        <v>0.83178431992743518</v>
      </c>
    </row>
    <row r="340" spans="13:14" x14ac:dyDescent="0.25">
      <c r="M340" s="213">
        <f t="shared" si="11"/>
        <v>0.33800000000000024</v>
      </c>
      <c r="N340" s="22">
        <f t="shared" si="10"/>
        <v>0.8326715920005604</v>
      </c>
    </row>
    <row r="341" spans="13:14" x14ac:dyDescent="0.25">
      <c r="M341" s="213">
        <f t="shared" si="11"/>
        <v>0.33900000000000025</v>
      </c>
      <c r="N341" s="22">
        <f t="shared" si="10"/>
        <v>0.8335538559022353</v>
      </c>
    </row>
    <row r="342" spans="13:14" x14ac:dyDescent="0.25">
      <c r="M342" s="213">
        <f t="shared" si="11"/>
        <v>0.34000000000000025</v>
      </c>
      <c r="N342" s="22">
        <f t="shared" si="10"/>
        <v>0.83443114160000031</v>
      </c>
    </row>
    <row r="343" spans="13:14" x14ac:dyDescent="0.25">
      <c r="M343" s="213">
        <f t="shared" si="11"/>
        <v>0.34100000000000025</v>
      </c>
      <c r="N343" s="22">
        <f t="shared" si="10"/>
        <v>0.83530347896143531</v>
      </c>
    </row>
    <row r="344" spans="13:14" x14ac:dyDescent="0.25">
      <c r="M344" s="213">
        <f t="shared" si="11"/>
        <v>0.34200000000000025</v>
      </c>
      <c r="N344" s="22">
        <f t="shared" si="10"/>
        <v>0.83617089775416031</v>
      </c>
    </row>
    <row r="345" spans="13:14" x14ac:dyDescent="0.25">
      <c r="M345" s="213">
        <f t="shared" si="11"/>
        <v>0.34300000000000025</v>
      </c>
      <c r="N345" s="22">
        <f t="shared" si="10"/>
        <v>0.83703342764583522</v>
      </c>
    </row>
    <row r="346" spans="13:14" x14ac:dyDescent="0.25">
      <c r="M346" s="213">
        <f t="shared" si="11"/>
        <v>0.34400000000000025</v>
      </c>
      <c r="N346" s="22">
        <f t="shared" si="10"/>
        <v>0.83789109820416008</v>
      </c>
    </row>
    <row r="347" spans="13:14" x14ac:dyDescent="0.25">
      <c r="M347" s="213">
        <f t="shared" si="11"/>
        <v>0.34500000000000025</v>
      </c>
      <c r="N347" s="22">
        <f t="shared" si="10"/>
        <v>0.83874393889687537</v>
      </c>
    </row>
    <row r="348" spans="13:14" x14ac:dyDescent="0.25">
      <c r="M348" s="213">
        <f t="shared" si="11"/>
        <v>0.34600000000000025</v>
      </c>
      <c r="N348" s="22">
        <f t="shared" si="10"/>
        <v>0.83959197909176031</v>
      </c>
    </row>
    <row r="349" spans="13:14" x14ac:dyDescent="0.25">
      <c r="M349" s="213">
        <f t="shared" si="11"/>
        <v>0.34700000000000025</v>
      </c>
      <c r="N349" s="22">
        <f t="shared" si="10"/>
        <v>0.84043524805663539</v>
      </c>
    </row>
    <row r="350" spans="13:14" x14ac:dyDescent="0.25">
      <c r="M350" s="213">
        <f t="shared" si="11"/>
        <v>0.34800000000000025</v>
      </c>
      <c r="N350" s="22">
        <f t="shared" si="10"/>
        <v>0.84127377495936018</v>
      </c>
    </row>
    <row r="351" spans="13:14" x14ac:dyDescent="0.25">
      <c r="M351" s="213">
        <f t="shared" si="11"/>
        <v>0.34900000000000025</v>
      </c>
      <c r="N351" s="22">
        <f t="shared" si="10"/>
        <v>0.84210758886783532</v>
      </c>
    </row>
    <row r="352" spans="13:14" x14ac:dyDescent="0.25">
      <c r="M352" s="213">
        <f t="shared" si="11"/>
        <v>0.35000000000000026</v>
      </c>
      <c r="N352" s="22">
        <f t="shared" si="10"/>
        <v>0.8429367187500002</v>
      </c>
    </row>
    <row r="353" spans="13:14" x14ac:dyDescent="0.25">
      <c r="M353" s="213">
        <f t="shared" si="11"/>
        <v>0.35100000000000026</v>
      </c>
      <c r="N353" s="22">
        <f t="shared" si="10"/>
        <v>0.84376119347383516</v>
      </c>
    </row>
    <row r="354" spans="13:14" x14ac:dyDescent="0.25">
      <c r="M354" s="213">
        <f t="shared" si="11"/>
        <v>0.35200000000000026</v>
      </c>
      <c r="N354" s="22">
        <f t="shared" si="10"/>
        <v>0.84458104180736038</v>
      </c>
    </row>
    <row r="355" spans="13:14" x14ac:dyDescent="0.25">
      <c r="M355" s="213">
        <f t="shared" si="11"/>
        <v>0.35300000000000026</v>
      </c>
      <c r="N355" s="22">
        <f t="shared" si="10"/>
        <v>0.84539629241863534</v>
      </c>
    </row>
    <row r="356" spans="13:14" x14ac:dyDescent="0.25">
      <c r="M356" s="213">
        <f t="shared" si="11"/>
        <v>0.35400000000000026</v>
      </c>
      <c r="N356" s="22">
        <f t="shared" si="10"/>
        <v>0.84620697387576016</v>
      </c>
    </row>
    <row r="357" spans="13:14" x14ac:dyDescent="0.25">
      <c r="M357" s="213">
        <f t="shared" si="11"/>
        <v>0.35500000000000026</v>
      </c>
      <c r="N357" s="22">
        <f t="shared" si="10"/>
        <v>0.84701311464687534</v>
      </c>
    </row>
    <row r="358" spans="13:14" x14ac:dyDescent="0.25">
      <c r="M358" s="213">
        <f t="shared" si="11"/>
        <v>0.35600000000000026</v>
      </c>
      <c r="N358" s="22">
        <f t="shared" si="10"/>
        <v>0.84781474310016036</v>
      </c>
    </row>
    <row r="359" spans="13:14" x14ac:dyDescent="0.25">
      <c r="M359" s="213">
        <f t="shared" si="11"/>
        <v>0.35700000000000026</v>
      </c>
      <c r="N359" s="22">
        <f t="shared" si="10"/>
        <v>0.84861188750383554</v>
      </c>
    </row>
    <row r="360" spans="13:14" x14ac:dyDescent="0.25">
      <c r="M360" s="213">
        <f t="shared" si="11"/>
        <v>0.35800000000000026</v>
      </c>
      <c r="N360" s="22">
        <f t="shared" si="10"/>
        <v>0.84940457602616015</v>
      </c>
    </row>
    <row r="361" spans="13:14" x14ac:dyDescent="0.25">
      <c r="M361" s="213">
        <f t="shared" si="11"/>
        <v>0.35900000000000026</v>
      </c>
      <c r="N361" s="22">
        <f t="shared" si="10"/>
        <v>0.85019283673543522</v>
      </c>
    </row>
    <row r="362" spans="13:14" x14ac:dyDescent="0.25">
      <c r="M362" s="213">
        <f t="shared" si="11"/>
        <v>0.36000000000000026</v>
      </c>
      <c r="N362" s="22">
        <f t="shared" si="10"/>
        <v>0.85097669760000028</v>
      </c>
    </row>
    <row r="363" spans="13:14" x14ac:dyDescent="0.25">
      <c r="M363" s="213">
        <f t="shared" si="11"/>
        <v>0.36100000000000027</v>
      </c>
      <c r="N363" s="22">
        <f t="shared" si="10"/>
        <v>0.85175618648823526</v>
      </c>
    </row>
    <row r="364" spans="13:14" x14ac:dyDescent="0.25">
      <c r="M364" s="213">
        <f t="shared" si="11"/>
        <v>0.36200000000000027</v>
      </c>
      <c r="N364" s="22">
        <f t="shared" si="10"/>
        <v>0.85253133116856017</v>
      </c>
    </row>
    <row r="365" spans="13:14" x14ac:dyDescent="0.25">
      <c r="M365" s="213">
        <f t="shared" si="11"/>
        <v>0.36300000000000027</v>
      </c>
      <c r="N365" s="22">
        <f t="shared" si="10"/>
        <v>0.85330215930943509</v>
      </c>
    </row>
    <row r="366" spans="13:14" x14ac:dyDescent="0.25">
      <c r="M366" s="213">
        <f t="shared" si="11"/>
        <v>0.36400000000000027</v>
      </c>
      <c r="N366" s="22">
        <f t="shared" si="10"/>
        <v>0.85406869847936029</v>
      </c>
    </row>
    <row r="367" spans="13:14" x14ac:dyDescent="0.25">
      <c r="M367" s="213">
        <f t="shared" si="11"/>
        <v>0.36500000000000027</v>
      </c>
      <c r="N367" s="22">
        <f t="shared" si="10"/>
        <v>0.8548309761468752</v>
      </c>
    </row>
    <row r="368" spans="13:14" x14ac:dyDescent="0.25">
      <c r="M368" s="213">
        <f t="shared" si="11"/>
        <v>0.36600000000000027</v>
      </c>
      <c r="N368" s="22">
        <f t="shared" si="10"/>
        <v>0.85558901968056045</v>
      </c>
    </row>
    <row r="369" spans="13:14" x14ac:dyDescent="0.25">
      <c r="M369" s="213">
        <f t="shared" si="11"/>
        <v>0.36700000000000027</v>
      </c>
      <c r="N369" s="22">
        <f t="shared" si="10"/>
        <v>0.85634285634903518</v>
      </c>
    </row>
    <row r="370" spans="13:14" x14ac:dyDescent="0.25">
      <c r="M370" s="213">
        <f t="shared" si="11"/>
        <v>0.36800000000000027</v>
      </c>
      <c r="N370" s="22">
        <f t="shared" si="10"/>
        <v>0.85709251332096015</v>
      </c>
    </row>
    <row r="371" spans="13:14" x14ac:dyDescent="0.25">
      <c r="M371" s="213">
        <f t="shared" si="11"/>
        <v>0.36900000000000027</v>
      </c>
      <c r="N371" s="22">
        <f t="shared" si="10"/>
        <v>0.85783801766503531</v>
      </c>
    </row>
    <row r="372" spans="13:14" x14ac:dyDescent="0.25">
      <c r="M372" s="213">
        <f t="shared" si="11"/>
        <v>0.37000000000000027</v>
      </c>
      <c r="N372" s="22">
        <f t="shared" si="10"/>
        <v>0.85857939635000025</v>
      </c>
    </row>
    <row r="373" spans="13:14" x14ac:dyDescent="0.25">
      <c r="M373" s="213">
        <f t="shared" si="11"/>
        <v>0.37100000000000027</v>
      </c>
      <c r="N373" s="22">
        <f t="shared" si="10"/>
        <v>0.85931667624463515</v>
      </c>
    </row>
    <row r="374" spans="13:14" x14ac:dyDescent="0.25">
      <c r="M374" s="213">
        <f t="shared" si="11"/>
        <v>0.37200000000000027</v>
      </c>
      <c r="N374" s="22">
        <f t="shared" si="10"/>
        <v>0.86004988411776018</v>
      </c>
    </row>
    <row r="375" spans="13:14" x14ac:dyDescent="0.25">
      <c r="M375" s="213">
        <f t="shared" si="11"/>
        <v>0.37300000000000028</v>
      </c>
      <c r="N375" s="22">
        <f t="shared" si="10"/>
        <v>0.86077904663823512</v>
      </c>
    </row>
    <row r="376" spans="13:14" x14ac:dyDescent="0.25">
      <c r="M376" s="213">
        <f t="shared" si="11"/>
        <v>0.37400000000000028</v>
      </c>
      <c r="N376" s="22">
        <f t="shared" si="10"/>
        <v>0.86150419037496051</v>
      </c>
    </row>
    <row r="377" spans="13:14" x14ac:dyDescent="0.25">
      <c r="M377" s="213">
        <f t="shared" si="11"/>
        <v>0.37500000000000028</v>
      </c>
      <c r="N377" s="22">
        <f t="shared" si="10"/>
        <v>0.86222534179687527</v>
      </c>
    </row>
    <row r="378" spans="13:14" x14ac:dyDescent="0.25">
      <c r="M378" s="213">
        <f t="shared" si="11"/>
        <v>0.37600000000000028</v>
      </c>
      <c r="N378" s="22">
        <f t="shared" si="10"/>
        <v>0.86294252727296028</v>
      </c>
    </row>
    <row r="379" spans="13:14" x14ac:dyDescent="0.25">
      <c r="M379" s="213">
        <f t="shared" si="11"/>
        <v>0.37700000000000028</v>
      </c>
      <c r="N379" s="22">
        <f t="shared" si="10"/>
        <v>0.8636557730722354</v>
      </c>
    </row>
    <row r="380" spans="13:14" x14ac:dyDescent="0.25">
      <c r="M380" s="213">
        <f t="shared" si="11"/>
        <v>0.37800000000000028</v>
      </c>
      <c r="N380" s="22">
        <f t="shared" si="10"/>
        <v>0.86436510536376043</v>
      </c>
    </row>
    <row r="381" spans="13:14" x14ac:dyDescent="0.25">
      <c r="M381" s="213">
        <f t="shared" si="11"/>
        <v>0.37900000000000028</v>
      </c>
      <c r="N381" s="22">
        <f t="shared" si="10"/>
        <v>0.86507055021663515</v>
      </c>
    </row>
    <row r="382" spans="13:14" x14ac:dyDescent="0.25">
      <c r="M382" s="213">
        <f t="shared" si="11"/>
        <v>0.38000000000000028</v>
      </c>
      <c r="N382" s="22">
        <f t="shared" si="10"/>
        <v>0.86577213360000016</v>
      </c>
    </row>
    <row r="383" spans="13:14" x14ac:dyDescent="0.25">
      <c r="M383" s="213">
        <f t="shared" si="11"/>
        <v>0.38100000000000028</v>
      </c>
      <c r="N383" s="22">
        <f t="shared" si="10"/>
        <v>0.86646988138303538</v>
      </c>
    </row>
    <row r="384" spans="13:14" x14ac:dyDescent="0.25">
      <c r="M384" s="213">
        <f t="shared" si="11"/>
        <v>0.38200000000000028</v>
      </c>
      <c r="N384" s="22">
        <f t="shared" si="10"/>
        <v>0.86716381933496023</v>
      </c>
    </row>
    <row r="385" spans="13:14" x14ac:dyDescent="0.25">
      <c r="M385" s="213">
        <f t="shared" si="11"/>
        <v>0.38300000000000028</v>
      </c>
      <c r="N385" s="22">
        <f t="shared" si="10"/>
        <v>0.86785397312503543</v>
      </c>
    </row>
    <row r="386" spans="13:14" x14ac:dyDescent="0.25">
      <c r="M386" s="213">
        <f t="shared" si="11"/>
        <v>0.38400000000000029</v>
      </c>
      <c r="N386" s="22">
        <f t="shared" si="10"/>
        <v>0.86854036832256032</v>
      </c>
    </row>
    <row r="387" spans="13:14" x14ac:dyDescent="0.25">
      <c r="M387" s="213">
        <f t="shared" si="11"/>
        <v>0.38500000000000029</v>
      </c>
      <c r="N387" s="22">
        <f t="shared" ref="N387:N450" si="12">-4.165*M387^4+10.634*M387^3-10.432*M387^2+4.9355*M387</f>
        <v>0.86922303039687532</v>
      </c>
    </row>
    <row r="388" spans="13:14" x14ac:dyDescent="0.25">
      <c r="M388" s="213">
        <f t="shared" ref="M388:M451" si="13">M387+0.1%</f>
        <v>0.38600000000000029</v>
      </c>
      <c r="N388" s="22">
        <f t="shared" si="12"/>
        <v>0.86990198471736035</v>
      </c>
    </row>
    <row r="389" spans="13:14" x14ac:dyDescent="0.25">
      <c r="M389" s="213">
        <f t="shared" si="13"/>
        <v>0.38700000000000029</v>
      </c>
      <c r="N389" s="22">
        <f t="shared" si="12"/>
        <v>0.87057725655343532</v>
      </c>
    </row>
    <row r="390" spans="13:14" x14ac:dyDescent="0.25">
      <c r="M390" s="213">
        <f t="shared" si="13"/>
        <v>0.38800000000000029</v>
      </c>
      <c r="N390" s="22">
        <f t="shared" si="12"/>
        <v>0.87124887107456006</v>
      </c>
    </row>
    <row r="391" spans="13:14" x14ac:dyDescent="0.25">
      <c r="M391" s="213">
        <f t="shared" si="13"/>
        <v>0.38900000000000029</v>
      </c>
      <c r="N391" s="22">
        <f t="shared" si="12"/>
        <v>0.87191685335023528</v>
      </c>
    </row>
    <row r="392" spans="13:14" x14ac:dyDescent="0.25">
      <c r="M392" s="213">
        <f t="shared" si="13"/>
        <v>0.39000000000000029</v>
      </c>
      <c r="N392" s="22">
        <f t="shared" si="12"/>
        <v>0.87258122835000029</v>
      </c>
    </row>
    <row r="393" spans="13:14" x14ac:dyDescent="0.25">
      <c r="M393" s="213">
        <f t="shared" si="13"/>
        <v>0.39100000000000029</v>
      </c>
      <c r="N393" s="22">
        <f t="shared" si="12"/>
        <v>0.87324202094343506</v>
      </c>
    </row>
    <row r="394" spans="13:14" x14ac:dyDescent="0.25">
      <c r="M394" s="213">
        <f t="shared" si="13"/>
        <v>0.39200000000000029</v>
      </c>
      <c r="N394" s="22">
        <f t="shared" si="12"/>
        <v>0.87389925590016015</v>
      </c>
    </row>
    <row r="395" spans="13:14" x14ac:dyDescent="0.25">
      <c r="M395" s="213">
        <f t="shared" si="13"/>
        <v>0.39300000000000029</v>
      </c>
      <c r="N395" s="22">
        <f t="shared" si="12"/>
        <v>0.87455295788983567</v>
      </c>
    </row>
    <row r="396" spans="13:14" x14ac:dyDescent="0.25">
      <c r="M396" s="213">
        <f t="shared" si="13"/>
        <v>0.39400000000000029</v>
      </c>
      <c r="N396" s="22">
        <f t="shared" si="12"/>
        <v>0.8752031514821601</v>
      </c>
    </row>
    <row r="397" spans="13:14" x14ac:dyDescent="0.25">
      <c r="M397" s="213">
        <f t="shared" si="13"/>
        <v>0.3950000000000003</v>
      </c>
      <c r="N397" s="22">
        <f t="shared" si="12"/>
        <v>0.87584986114687524</v>
      </c>
    </row>
    <row r="398" spans="13:14" x14ac:dyDescent="0.25">
      <c r="M398" s="213">
        <f t="shared" si="13"/>
        <v>0.3960000000000003</v>
      </c>
      <c r="N398" s="22">
        <f t="shared" si="12"/>
        <v>0.87649311125376039</v>
      </c>
    </row>
    <row r="399" spans="13:14" x14ac:dyDescent="0.25">
      <c r="M399" s="213">
        <f t="shared" si="13"/>
        <v>0.3970000000000003</v>
      </c>
      <c r="N399" s="22">
        <f t="shared" si="12"/>
        <v>0.87713292607263527</v>
      </c>
    </row>
    <row r="400" spans="13:14" x14ac:dyDescent="0.25">
      <c r="M400" s="213">
        <f t="shared" si="13"/>
        <v>0.3980000000000003</v>
      </c>
      <c r="N400" s="22">
        <f t="shared" si="12"/>
        <v>0.87776932977336042</v>
      </c>
    </row>
    <row r="401" spans="13:14" x14ac:dyDescent="0.25">
      <c r="M401" s="213">
        <f t="shared" si="13"/>
        <v>0.3990000000000003</v>
      </c>
      <c r="N401" s="22">
        <f t="shared" si="12"/>
        <v>0.87840234642583526</v>
      </c>
    </row>
    <row r="402" spans="13:14" x14ac:dyDescent="0.25">
      <c r="M402" s="213">
        <f t="shared" si="13"/>
        <v>0.4000000000000003</v>
      </c>
      <c r="N402" s="22">
        <f t="shared" si="12"/>
        <v>0.87903200000000004</v>
      </c>
    </row>
    <row r="403" spans="13:14" x14ac:dyDescent="0.25">
      <c r="M403" s="213">
        <f t="shared" si="13"/>
        <v>0.4010000000000003</v>
      </c>
      <c r="N403" s="22">
        <f t="shared" si="12"/>
        <v>0.87965831436583519</v>
      </c>
    </row>
    <row r="404" spans="13:14" x14ac:dyDescent="0.25">
      <c r="M404" s="213">
        <f t="shared" si="13"/>
        <v>0.4020000000000003</v>
      </c>
      <c r="N404" s="22">
        <f t="shared" si="12"/>
        <v>0.88028131329336001</v>
      </c>
    </row>
    <row r="405" spans="13:14" x14ac:dyDescent="0.25">
      <c r="M405" s="213">
        <f t="shared" si="13"/>
        <v>0.4030000000000003</v>
      </c>
      <c r="N405" s="22">
        <f t="shared" si="12"/>
        <v>0.88090102045263552</v>
      </c>
    </row>
    <row r="406" spans="13:14" x14ac:dyDescent="0.25">
      <c r="M406" s="213">
        <f t="shared" si="13"/>
        <v>0.4040000000000003</v>
      </c>
      <c r="N406" s="22">
        <f t="shared" si="12"/>
        <v>0.88151745941376025</v>
      </c>
    </row>
    <row r="407" spans="13:14" x14ac:dyDescent="0.25">
      <c r="M407" s="213">
        <f t="shared" si="13"/>
        <v>0.4050000000000003</v>
      </c>
      <c r="N407" s="22">
        <f t="shared" si="12"/>
        <v>0.88213065364687515</v>
      </c>
    </row>
    <row r="408" spans="13:14" x14ac:dyDescent="0.25">
      <c r="M408" s="213">
        <f t="shared" si="13"/>
        <v>0.40600000000000031</v>
      </c>
      <c r="N408" s="22">
        <f t="shared" si="12"/>
        <v>0.88274062652216001</v>
      </c>
    </row>
    <row r="409" spans="13:14" x14ac:dyDescent="0.25">
      <c r="M409" s="213">
        <f t="shared" si="13"/>
        <v>0.40700000000000031</v>
      </c>
      <c r="N409" s="22">
        <f t="shared" si="12"/>
        <v>0.88334740130983525</v>
      </c>
    </row>
    <row r="410" spans="13:14" x14ac:dyDescent="0.25">
      <c r="M410" s="213">
        <f t="shared" si="13"/>
        <v>0.40800000000000031</v>
      </c>
      <c r="N410" s="22">
        <f t="shared" si="12"/>
        <v>0.88395100118016057</v>
      </c>
    </row>
    <row r="411" spans="13:14" x14ac:dyDescent="0.25">
      <c r="M411" s="213">
        <f t="shared" si="13"/>
        <v>0.40900000000000031</v>
      </c>
      <c r="N411" s="22">
        <f t="shared" si="12"/>
        <v>0.88455144920343498</v>
      </c>
    </row>
    <row r="412" spans="13:14" x14ac:dyDescent="0.25">
      <c r="M412" s="213">
        <f t="shared" si="13"/>
        <v>0.41000000000000031</v>
      </c>
      <c r="N412" s="22">
        <f t="shared" si="12"/>
        <v>0.88514876835000056</v>
      </c>
    </row>
    <row r="413" spans="13:14" x14ac:dyDescent="0.25">
      <c r="M413" s="213">
        <f t="shared" si="13"/>
        <v>0.41100000000000031</v>
      </c>
      <c r="N413" s="22">
        <f t="shared" si="12"/>
        <v>0.88574298149023489</v>
      </c>
    </row>
    <row r="414" spans="13:14" x14ac:dyDescent="0.25">
      <c r="M414" s="213">
        <f t="shared" si="13"/>
        <v>0.41200000000000031</v>
      </c>
      <c r="N414" s="22">
        <f t="shared" si="12"/>
        <v>0.88633411139456042</v>
      </c>
    </row>
    <row r="415" spans="13:14" x14ac:dyDescent="0.25">
      <c r="M415" s="213">
        <f t="shared" si="13"/>
        <v>0.41300000000000031</v>
      </c>
      <c r="N415" s="22">
        <f t="shared" si="12"/>
        <v>0.88692218073343509</v>
      </c>
    </row>
    <row r="416" spans="13:14" x14ac:dyDescent="0.25">
      <c r="M416" s="213">
        <f t="shared" si="13"/>
        <v>0.41400000000000031</v>
      </c>
      <c r="N416" s="22">
        <f t="shared" si="12"/>
        <v>0.88750721207736039</v>
      </c>
    </row>
    <row r="417" spans="13:14" x14ac:dyDescent="0.25">
      <c r="M417" s="213">
        <f t="shared" si="13"/>
        <v>0.41500000000000031</v>
      </c>
      <c r="N417" s="22">
        <f t="shared" si="12"/>
        <v>0.88808922789687506</v>
      </c>
    </row>
    <row r="418" spans="13:14" x14ac:dyDescent="0.25">
      <c r="M418" s="213">
        <f t="shared" si="13"/>
        <v>0.41600000000000031</v>
      </c>
      <c r="N418" s="22">
        <f t="shared" si="12"/>
        <v>0.88866825056256027</v>
      </c>
    </row>
    <row r="419" spans="13:14" x14ac:dyDescent="0.25">
      <c r="M419" s="213">
        <f t="shared" si="13"/>
        <v>0.41700000000000031</v>
      </c>
      <c r="N419" s="22">
        <f t="shared" si="12"/>
        <v>0.88924430234503538</v>
      </c>
    </row>
    <row r="420" spans="13:14" x14ac:dyDescent="0.25">
      <c r="M420" s="213">
        <f t="shared" si="13"/>
        <v>0.41800000000000032</v>
      </c>
      <c r="N420" s="22">
        <f t="shared" si="12"/>
        <v>0.88981740541496013</v>
      </c>
    </row>
    <row r="421" spans="13:14" x14ac:dyDescent="0.25">
      <c r="M421" s="213">
        <f t="shared" si="13"/>
        <v>0.41900000000000032</v>
      </c>
      <c r="N421" s="22">
        <f t="shared" si="12"/>
        <v>0.89038758184303513</v>
      </c>
    </row>
    <row r="422" spans="13:14" x14ac:dyDescent="0.25">
      <c r="M422" s="213">
        <f t="shared" si="13"/>
        <v>0.42000000000000032</v>
      </c>
      <c r="N422" s="22">
        <f t="shared" si="12"/>
        <v>0.89095485359999982</v>
      </c>
    </row>
    <row r="423" spans="13:14" x14ac:dyDescent="0.25">
      <c r="M423" s="213">
        <f t="shared" si="13"/>
        <v>0.42100000000000032</v>
      </c>
      <c r="N423" s="22">
        <f t="shared" si="12"/>
        <v>0.89151924255663539</v>
      </c>
    </row>
    <row r="424" spans="13:14" x14ac:dyDescent="0.25">
      <c r="M424" s="213">
        <f t="shared" si="13"/>
        <v>0.42200000000000032</v>
      </c>
      <c r="N424" s="22">
        <f t="shared" si="12"/>
        <v>0.89208077048376011</v>
      </c>
    </row>
    <row r="425" spans="13:14" x14ac:dyDescent="0.25">
      <c r="M425" s="213">
        <f t="shared" si="13"/>
        <v>0.42300000000000032</v>
      </c>
      <c r="N425" s="22">
        <f t="shared" si="12"/>
        <v>0.8926394590522353</v>
      </c>
    </row>
    <row r="426" spans="13:14" x14ac:dyDescent="0.25">
      <c r="M426" s="213">
        <f t="shared" si="13"/>
        <v>0.42400000000000032</v>
      </c>
      <c r="N426" s="22">
        <f t="shared" si="12"/>
        <v>0.89319532983296002</v>
      </c>
    </row>
    <row r="427" spans="13:14" x14ac:dyDescent="0.25">
      <c r="M427" s="213">
        <f t="shared" si="13"/>
        <v>0.42500000000000032</v>
      </c>
      <c r="N427" s="22">
        <f t="shared" si="12"/>
        <v>0.89374840429687508</v>
      </c>
    </row>
    <row r="428" spans="13:14" x14ac:dyDescent="0.25">
      <c r="M428" s="213">
        <f t="shared" si="13"/>
        <v>0.42600000000000032</v>
      </c>
      <c r="N428" s="22">
        <f t="shared" si="12"/>
        <v>0.89429870381496013</v>
      </c>
    </row>
    <row r="429" spans="13:14" x14ac:dyDescent="0.25">
      <c r="M429" s="213">
        <f t="shared" si="13"/>
        <v>0.42700000000000032</v>
      </c>
      <c r="N429" s="22">
        <f t="shared" si="12"/>
        <v>0.89484624965823523</v>
      </c>
    </row>
    <row r="430" spans="13:14" x14ac:dyDescent="0.25">
      <c r="M430" s="213">
        <f t="shared" si="13"/>
        <v>0.42800000000000032</v>
      </c>
      <c r="N430" s="22">
        <f t="shared" si="12"/>
        <v>0.89539106299776017</v>
      </c>
    </row>
    <row r="431" spans="13:14" x14ac:dyDescent="0.25">
      <c r="M431" s="213">
        <f t="shared" si="13"/>
        <v>0.42900000000000033</v>
      </c>
      <c r="N431" s="22">
        <f t="shared" si="12"/>
        <v>0.89593316490463515</v>
      </c>
    </row>
    <row r="432" spans="13:14" x14ac:dyDescent="0.25">
      <c r="M432" s="213">
        <f t="shared" si="13"/>
        <v>0.43000000000000033</v>
      </c>
      <c r="N432" s="22">
        <f t="shared" si="12"/>
        <v>0.89647257635000033</v>
      </c>
    </row>
    <row r="433" spans="13:14" x14ac:dyDescent="0.25">
      <c r="M433" s="213">
        <f t="shared" si="13"/>
        <v>0.43100000000000033</v>
      </c>
      <c r="N433" s="22">
        <f t="shared" si="12"/>
        <v>0.89700931820503493</v>
      </c>
    </row>
    <row r="434" spans="13:14" x14ac:dyDescent="0.25">
      <c r="M434" s="213">
        <f t="shared" si="13"/>
        <v>0.43200000000000033</v>
      </c>
      <c r="N434" s="22">
        <f t="shared" si="12"/>
        <v>0.89754341124096038</v>
      </c>
    </row>
    <row r="435" spans="13:14" x14ac:dyDescent="0.25">
      <c r="M435" s="213">
        <f t="shared" si="13"/>
        <v>0.43300000000000033</v>
      </c>
      <c r="N435" s="22">
        <f t="shared" si="12"/>
        <v>0.89807487612903492</v>
      </c>
    </row>
    <row r="436" spans="13:14" x14ac:dyDescent="0.25">
      <c r="M436" s="213">
        <f t="shared" si="13"/>
        <v>0.43400000000000033</v>
      </c>
      <c r="N436" s="22">
        <f t="shared" si="12"/>
        <v>0.89860373344056033</v>
      </c>
    </row>
    <row r="437" spans="13:14" x14ac:dyDescent="0.25">
      <c r="M437" s="213">
        <f t="shared" si="13"/>
        <v>0.43500000000000033</v>
      </c>
      <c r="N437" s="22">
        <f t="shared" si="12"/>
        <v>0.89913000364687523</v>
      </c>
    </row>
    <row r="438" spans="13:14" x14ac:dyDescent="0.25">
      <c r="M438" s="213">
        <f t="shared" si="13"/>
        <v>0.43600000000000033</v>
      </c>
      <c r="N438" s="22">
        <f t="shared" si="12"/>
        <v>0.89965370711936021</v>
      </c>
    </row>
    <row r="439" spans="13:14" x14ac:dyDescent="0.25">
      <c r="M439" s="213">
        <f t="shared" si="13"/>
        <v>0.43700000000000033</v>
      </c>
      <c r="N439" s="22">
        <f t="shared" si="12"/>
        <v>0.90017486412943581</v>
      </c>
    </row>
    <row r="440" spans="13:14" x14ac:dyDescent="0.25">
      <c r="M440" s="213">
        <f t="shared" si="13"/>
        <v>0.43800000000000033</v>
      </c>
      <c r="N440" s="22">
        <f t="shared" si="12"/>
        <v>0.90069349484855987</v>
      </c>
    </row>
    <row r="441" spans="13:14" x14ac:dyDescent="0.25">
      <c r="M441" s="213">
        <f t="shared" si="13"/>
        <v>0.43900000000000033</v>
      </c>
      <c r="N441" s="22">
        <f t="shared" si="12"/>
        <v>0.90120961934823551</v>
      </c>
    </row>
    <row r="442" spans="13:14" x14ac:dyDescent="0.25">
      <c r="M442" s="213">
        <f t="shared" si="13"/>
        <v>0.44000000000000034</v>
      </c>
      <c r="N442" s="22">
        <f t="shared" si="12"/>
        <v>0.90172325759999983</v>
      </c>
    </row>
    <row r="443" spans="13:14" x14ac:dyDescent="0.25">
      <c r="M443" s="213">
        <f t="shared" si="13"/>
        <v>0.44100000000000034</v>
      </c>
      <c r="N443" s="22">
        <f t="shared" si="12"/>
        <v>0.9022344294754352</v>
      </c>
    </row>
    <row r="444" spans="13:14" x14ac:dyDescent="0.25">
      <c r="M444" s="213">
        <f t="shared" si="13"/>
        <v>0.44200000000000034</v>
      </c>
      <c r="N444" s="22">
        <f t="shared" si="12"/>
        <v>0.9027431547461604</v>
      </c>
    </row>
    <row r="445" spans="13:14" x14ac:dyDescent="0.25">
      <c r="M445" s="213">
        <f t="shared" si="13"/>
        <v>0.44300000000000034</v>
      </c>
      <c r="N445" s="22">
        <f t="shared" si="12"/>
        <v>0.90324945308383509</v>
      </c>
    </row>
    <row r="446" spans="13:14" x14ac:dyDescent="0.25">
      <c r="M446" s="213">
        <f t="shared" si="13"/>
        <v>0.44400000000000034</v>
      </c>
      <c r="N446" s="22">
        <f t="shared" si="12"/>
        <v>0.90375334406015995</v>
      </c>
    </row>
    <row r="447" spans="13:14" x14ac:dyDescent="0.25">
      <c r="M447" s="213">
        <f t="shared" si="13"/>
        <v>0.44500000000000034</v>
      </c>
      <c r="N447" s="22">
        <f t="shared" si="12"/>
        <v>0.90425484714687521</v>
      </c>
    </row>
    <row r="448" spans="13:14" x14ac:dyDescent="0.25">
      <c r="M448" s="213">
        <f t="shared" si="13"/>
        <v>0.44600000000000034</v>
      </c>
      <c r="N448" s="22">
        <f t="shared" si="12"/>
        <v>0.90475398171576016</v>
      </c>
    </row>
    <row r="449" spans="13:14" x14ac:dyDescent="0.25">
      <c r="M449" s="213">
        <f t="shared" si="13"/>
        <v>0.44700000000000034</v>
      </c>
      <c r="N449" s="22">
        <f t="shared" si="12"/>
        <v>0.90525076703863538</v>
      </c>
    </row>
    <row r="450" spans="13:14" x14ac:dyDescent="0.25">
      <c r="M450" s="213">
        <f t="shared" si="13"/>
        <v>0.44800000000000034</v>
      </c>
      <c r="N450" s="22">
        <f t="shared" si="12"/>
        <v>0.90574522228736054</v>
      </c>
    </row>
    <row r="451" spans="13:14" x14ac:dyDescent="0.25">
      <c r="M451" s="213">
        <f t="shared" si="13"/>
        <v>0.44900000000000034</v>
      </c>
      <c r="N451" s="22">
        <f t="shared" ref="N451:N514" si="14">-4.165*M451^4+10.634*M451^3-10.432*M451^2+4.9355*M451</f>
        <v>0.90623736653383524</v>
      </c>
    </row>
    <row r="452" spans="13:14" x14ac:dyDescent="0.25">
      <c r="M452" s="213">
        <f t="shared" ref="M452:M515" si="15">M451+0.1%</f>
        <v>0.45000000000000034</v>
      </c>
      <c r="N452" s="22">
        <f t="shared" si="14"/>
        <v>0.9067272187500004</v>
      </c>
    </row>
    <row r="453" spans="13:14" x14ac:dyDescent="0.25">
      <c r="M453" s="213">
        <f t="shared" si="15"/>
        <v>0.45100000000000035</v>
      </c>
      <c r="N453" s="22">
        <f t="shared" si="14"/>
        <v>0.90721479780783554</v>
      </c>
    </row>
    <row r="454" spans="13:14" x14ac:dyDescent="0.25">
      <c r="M454" s="213">
        <f t="shared" si="15"/>
        <v>0.45200000000000035</v>
      </c>
      <c r="N454" s="22">
        <f t="shared" si="14"/>
        <v>0.90770012247936016</v>
      </c>
    </row>
    <row r="455" spans="13:14" x14ac:dyDescent="0.25">
      <c r="M455" s="213">
        <f t="shared" si="15"/>
        <v>0.45300000000000035</v>
      </c>
      <c r="N455" s="22">
        <f t="shared" si="14"/>
        <v>0.90818321143663483</v>
      </c>
    </row>
    <row r="456" spans="13:14" x14ac:dyDescent="0.25">
      <c r="M456" s="213">
        <f t="shared" si="15"/>
        <v>0.45400000000000035</v>
      </c>
      <c r="N456" s="22">
        <f t="shared" si="14"/>
        <v>0.90866408325176007</v>
      </c>
    </row>
    <row r="457" spans="13:14" x14ac:dyDescent="0.25">
      <c r="M457" s="213">
        <f t="shared" si="15"/>
        <v>0.45500000000000035</v>
      </c>
      <c r="N457" s="22">
        <f t="shared" si="14"/>
        <v>0.90914275639687503</v>
      </c>
    </row>
    <row r="458" spans="13:14" x14ac:dyDescent="0.25">
      <c r="M458" s="213">
        <f t="shared" si="15"/>
        <v>0.45600000000000035</v>
      </c>
      <c r="N458" s="22">
        <f t="shared" si="14"/>
        <v>0.90961924924416016</v>
      </c>
    </row>
    <row r="459" spans="13:14" x14ac:dyDescent="0.25">
      <c r="M459" s="213">
        <f t="shared" si="15"/>
        <v>0.45700000000000035</v>
      </c>
      <c r="N459" s="22">
        <f t="shared" si="14"/>
        <v>0.91009358006583563</v>
      </c>
    </row>
    <row r="460" spans="13:14" x14ac:dyDescent="0.25">
      <c r="M460" s="213">
        <f t="shared" si="15"/>
        <v>0.45800000000000035</v>
      </c>
      <c r="N460" s="22">
        <f t="shared" si="14"/>
        <v>0.91056576703416026</v>
      </c>
    </row>
    <row r="461" spans="13:14" x14ac:dyDescent="0.25">
      <c r="M461" s="213">
        <f t="shared" si="15"/>
        <v>0.45900000000000035</v>
      </c>
      <c r="N461" s="22">
        <f t="shared" si="14"/>
        <v>0.91103582822143547</v>
      </c>
    </row>
    <row r="462" spans="13:14" x14ac:dyDescent="0.25">
      <c r="M462" s="213">
        <f t="shared" si="15"/>
        <v>0.46000000000000035</v>
      </c>
      <c r="N462" s="22">
        <f t="shared" si="14"/>
        <v>0.91150378160000023</v>
      </c>
    </row>
    <row r="463" spans="13:14" x14ac:dyDescent="0.25">
      <c r="M463" s="213">
        <f t="shared" si="15"/>
        <v>0.46100000000000035</v>
      </c>
      <c r="N463" s="22">
        <f t="shared" si="14"/>
        <v>0.91196964504223543</v>
      </c>
    </row>
    <row r="464" spans="13:14" x14ac:dyDescent="0.25">
      <c r="M464" s="213">
        <f t="shared" si="15"/>
        <v>0.46200000000000035</v>
      </c>
      <c r="N464" s="22">
        <f t="shared" si="14"/>
        <v>0.91243343632056018</v>
      </c>
    </row>
    <row r="465" spans="13:14" x14ac:dyDescent="0.25">
      <c r="M465" s="213">
        <f t="shared" si="15"/>
        <v>0.46300000000000036</v>
      </c>
      <c r="N465" s="22">
        <f t="shared" si="14"/>
        <v>0.91289517310743529</v>
      </c>
    </row>
    <row r="466" spans="13:14" x14ac:dyDescent="0.25">
      <c r="M466" s="213">
        <f t="shared" si="15"/>
        <v>0.46400000000000036</v>
      </c>
      <c r="N466" s="22">
        <f t="shared" si="14"/>
        <v>0.91335487297536</v>
      </c>
    </row>
    <row r="467" spans="13:14" x14ac:dyDescent="0.25">
      <c r="M467" s="213">
        <f t="shared" si="15"/>
        <v>0.46500000000000036</v>
      </c>
      <c r="N467" s="22">
        <f t="shared" si="14"/>
        <v>0.91381255339687506</v>
      </c>
    </row>
    <row r="468" spans="13:14" x14ac:dyDescent="0.25">
      <c r="M468" s="213">
        <f t="shared" si="15"/>
        <v>0.46600000000000036</v>
      </c>
      <c r="N468" s="22">
        <f t="shared" si="14"/>
        <v>0.91426823174456029</v>
      </c>
    </row>
    <row r="469" spans="13:14" x14ac:dyDescent="0.25">
      <c r="M469" s="213">
        <f t="shared" si="15"/>
        <v>0.46700000000000036</v>
      </c>
      <c r="N469" s="22">
        <f t="shared" si="14"/>
        <v>0.91472192529103524</v>
      </c>
    </row>
    <row r="470" spans="13:14" x14ac:dyDescent="0.25">
      <c r="M470" s="213">
        <f t="shared" si="15"/>
        <v>0.46800000000000036</v>
      </c>
      <c r="N470" s="22">
        <f t="shared" si="14"/>
        <v>0.91517365120896033</v>
      </c>
    </row>
    <row r="471" spans="13:14" x14ac:dyDescent="0.25">
      <c r="M471" s="213">
        <f t="shared" si="15"/>
        <v>0.46900000000000036</v>
      </c>
      <c r="N471" s="22">
        <f t="shared" si="14"/>
        <v>0.91562342657103502</v>
      </c>
    </row>
    <row r="472" spans="13:14" x14ac:dyDescent="0.25">
      <c r="M472" s="213">
        <f t="shared" si="15"/>
        <v>0.47000000000000036</v>
      </c>
      <c r="N472" s="22">
        <f t="shared" si="14"/>
        <v>0.9160712683500003</v>
      </c>
    </row>
    <row r="473" spans="13:14" x14ac:dyDescent="0.25">
      <c r="M473" s="213">
        <f t="shared" si="15"/>
        <v>0.47100000000000036</v>
      </c>
      <c r="N473" s="22">
        <f t="shared" si="14"/>
        <v>0.91651719341863513</v>
      </c>
    </row>
    <row r="474" spans="13:14" x14ac:dyDescent="0.25">
      <c r="M474" s="213">
        <f t="shared" si="15"/>
        <v>0.47200000000000036</v>
      </c>
      <c r="N474" s="22">
        <f t="shared" si="14"/>
        <v>0.9169612185497602</v>
      </c>
    </row>
    <row r="475" spans="13:14" x14ac:dyDescent="0.25">
      <c r="M475" s="213">
        <f t="shared" si="15"/>
        <v>0.47300000000000036</v>
      </c>
      <c r="N475" s="22">
        <f t="shared" si="14"/>
        <v>0.91740336041623527</v>
      </c>
    </row>
    <row r="476" spans="13:14" x14ac:dyDescent="0.25">
      <c r="M476" s="213">
        <f t="shared" si="15"/>
        <v>0.47400000000000037</v>
      </c>
      <c r="N476" s="22">
        <f t="shared" si="14"/>
        <v>0.91784363559096027</v>
      </c>
    </row>
    <row r="477" spans="13:14" x14ac:dyDescent="0.25">
      <c r="M477" s="213">
        <f t="shared" si="15"/>
        <v>0.47500000000000037</v>
      </c>
      <c r="N477" s="22">
        <f t="shared" si="14"/>
        <v>0.91828206054687556</v>
      </c>
    </row>
    <row r="478" spans="13:14" x14ac:dyDescent="0.25">
      <c r="M478" s="213">
        <f t="shared" si="15"/>
        <v>0.47600000000000037</v>
      </c>
      <c r="N478" s="22">
        <f t="shared" si="14"/>
        <v>0.91871865165696009</v>
      </c>
    </row>
    <row r="479" spans="13:14" x14ac:dyDescent="0.25">
      <c r="M479" s="213">
        <f t="shared" si="15"/>
        <v>0.47700000000000037</v>
      </c>
      <c r="N479" s="22">
        <f t="shared" si="14"/>
        <v>0.91915342519423548</v>
      </c>
    </row>
    <row r="480" spans="13:14" x14ac:dyDescent="0.25">
      <c r="M480" s="213">
        <f t="shared" si="15"/>
        <v>0.47800000000000037</v>
      </c>
      <c r="N480" s="22">
        <f t="shared" si="14"/>
        <v>0.91958639733175995</v>
      </c>
    </row>
    <row r="481" spans="13:14" x14ac:dyDescent="0.25">
      <c r="M481" s="213">
        <f t="shared" si="15"/>
        <v>0.47900000000000037</v>
      </c>
      <c r="N481" s="22">
        <f t="shared" si="14"/>
        <v>0.92001758414263501</v>
      </c>
    </row>
    <row r="482" spans="13:14" x14ac:dyDescent="0.25">
      <c r="M482" s="213">
        <f t="shared" si="15"/>
        <v>0.48000000000000037</v>
      </c>
      <c r="N482" s="22">
        <f t="shared" si="14"/>
        <v>0.92044700160000015</v>
      </c>
    </row>
    <row r="483" spans="13:14" x14ac:dyDescent="0.25">
      <c r="M483" s="213">
        <f t="shared" si="15"/>
        <v>0.48100000000000037</v>
      </c>
      <c r="N483" s="22">
        <f t="shared" si="14"/>
        <v>0.92087466557703546</v>
      </c>
    </row>
    <row r="484" spans="13:14" x14ac:dyDescent="0.25">
      <c r="M484" s="213">
        <f t="shared" si="15"/>
        <v>0.48200000000000037</v>
      </c>
      <c r="N484" s="22">
        <f t="shared" si="14"/>
        <v>0.92130059184696034</v>
      </c>
    </row>
    <row r="485" spans="13:14" x14ac:dyDescent="0.25">
      <c r="M485" s="213">
        <f t="shared" si="15"/>
        <v>0.48300000000000037</v>
      </c>
      <c r="N485" s="22">
        <f t="shared" si="14"/>
        <v>0.92172479608303526</v>
      </c>
    </row>
    <row r="486" spans="13:14" x14ac:dyDescent="0.25">
      <c r="M486" s="213">
        <f t="shared" si="15"/>
        <v>0.48400000000000037</v>
      </c>
      <c r="N486" s="22">
        <f t="shared" si="14"/>
        <v>0.9221472938585602</v>
      </c>
    </row>
    <row r="487" spans="13:14" x14ac:dyDescent="0.25">
      <c r="M487" s="213">
        <f t="shared" si="15"/>
        <v>0.48500000000000038</v>
      </c>
      <c r="N487" s="22">
        <f t="shared" si="14"/>
        <v>0.92256810064687511</v>
      </c>
    </row>
    <row r="488" spans="13:14" x14ac:dyDescent="0.25">
      <c r="M488" s="213">
        <f t="shared" si="15"/>
        <v>0.48600000000000038</v>
      </c>
      <c r="N488" s="22">
        <f t="shared" si="14"/>
        <v>0.92298723182136033</v>
      </c>
    </row>
    <row r="489" spans="13:14" x14ac:dyDescent="0.25">
      <c r="M489" s="213">
        <f t="shared" si="15"/>
        <v>0.48700000000000038</v>
      </c>
      <c r="N489" s="22">
        <f t="shared" si="14"/>
        <v>0.92340470265543506</v>
      </c>
    </row>
    <row r="490" spans="13:14" x14ac:dyDescent="0.25">
      <c r="M490" s="213">
        <f t="shared" si="15"/>
        <v>0.48800000000000038</v>
      </c>
      <c r="N490" s="22">
        <f t="shared" si="14"/>
        <v>0.92382052832256045</v>
      </c>
    </row>
    <row r="491" spans="13:14" x14ac:dyDescent="0.25">
      <c r="M491" s="213">
        <f t="shared" si="15"/>
        <v>0.48900000000000038</v>
      </c>
      <c r="N491" s="22">
        <f t="shared" si="14"/>
        <v>0.92423472389623518</v>
      </c>
    </row>
    <row r="492" spans="13:14" x14ac:dyDescent="0.25">
      <c r="M492" s="213">
        <f t="shared" si="15"/>
        <v>0.49000000000000038</v>
      </c>
      <c r="N492" s="22">
        <f t="shared" si="14"/>
        <v>0.92464730435000031</v>
      </c>
    </row>
    <row r="493" spans="13:14" x14ac:dyDescent="0.25">
      <c r="M493" s="213">
        <f t="shared" si="15"/>
        <v>0.49100000000000038</v>
      </c>
      <c r="N493" s="22">
        <f t="shared" si="14"/>
        <v>0.92505828455743488</v>
      </c>
    </row>
    <row r="494" spans="13:14" x14ac:dyDescent="0.25">
      <c r="M494" s="213">
        <f t="shared" si="15"/>
        <v>0.49200000000000038</v>
      </c>
      <c r="N494" s="22">
        <f t="shared" si="14"/>
        <v>0.92546767929216034</v>
      </c>
    </row>
    <row r="495" spans="13:14" x14ac:dyDescent="0.25">
      <c r="M495" s="213">
        <f t="shared" si="15"/>
        <v>0.49300000000000038</v>
      </c>
      <c r="N495" s="22">
        <f t="shared" si="14"/>
        <v>0.92587550322783518</v>
      </c>
    </row>
    <row r="496" spans="13:14" x14ac:dyDescent="0.25">
      <c r="M496" s="213">
        <f t="shared" si="15"/>
        <v>0.49400000000000038</v>
      </c>
      <c r="N496" s="22">
        <f t="shared" si="14"/>
        <v>0.92628177093816033</v>
      </c>
    </row>
    <row r="497" spans="13:14" x14ac:dyDescent="0.25">
      <c r="M497" s="213">
        <f t="shared" si="15"/>
        <v>0.49500000000000038</v>
      </c>
      <c r="N497" s="22">
        <f t="shared" si="14"/>
        <v>0.9266864968968751</v>
      </c>
    </row>
    <row r="498" spans="13:14" x14ac:dyDescent="0.25">
      <c r="M498" s="213">
        <f t="shared" si="15"/>
        <v>0.49600000000000039</v>
      </c>
      <c r="N498" s="22">
        <f t="shared" si="14"/>
        <v>0.9270896954777601</v>
      </c>
    </row>
    <row r="499" spans="13:14" x14ac:dyDescent="0.25">
      <c r="M499" s="213">
        <f t="shared" si="15"/>
        <v>0.49700000000000039</v>
      </c>
      <c r="N499" s="22">
        <f t="shared" si="14"/>
        <v>0.92749138095463524</v>
      </c>
    </row>
    <row r="500" spans="13:14" x14ac:dyDescent="0.25">
      <c r="M500" s="213">
        <f t="shared" si="15"/>
        <v>0.49800000000000039</v>
      </c>
      <c r="N500" s="22">
        <f t="shared" si="14"/>
        <v>0.92789156750135993</v>
      </c>
    </row>
    <row r="501" spans="13:14" x14ac:dyDescent="0.25">
      <c r="M501" s="213">
        <f t="shared" si="15"/>
        <v>0.49900000000000039</v>
      </c>
      <c r="N501" s="22">
        <f t="shared" si="14"/>
        <v>0.9282902691918351</v>
      </c>
    </row>
    <row r="502" spans="13:14" x14ac:dyDescent="0.25">
      <c r="M502" s="213">
        <f t="shared" si="15"/>
        <v>0.50000000000000033</v>
      </c>
      <c r="N502" s="22">
        <f t="shared" si="14"/>
        <v>0.92868750000000033</v>
      </c>
    </row>
    <row r="503" spans="13:14" x14ac:dyDescent="0.25">
      <c r="M503" s="213">
        <f t="shared" si="15"/>
        <v>0.50100000000000033</v>
      </c>
      <c r="N503" s="22">
        <f t="shared" si="14"/>
        <v>0.92908327379983513</v>
      </c>
    </row>
    <row r="504" spans="13:14" x14ac:dyDescent="0.25">
      <c r="M504" s="213">
        <f t="shared" si="15"/>
        <v>0.50200000000000033</v>
      </c>
      <c r="N504" s="22">
        <f t="shared" si="14"/>
        <v>0.92947760436536031</v>
      </c>
    </row>
    <row r="505" spans="13:14" x14ac:dyDescent="0.25">
      <c r="M505" s="213">
        <f t="shared" si="15"/>
        <v>0.50300000000000034</v>
      </c>
      <c r="N505" s="22">
        <f t="shared" si="14"/>
        <v>0.92987050537063531</v>
      </c>
    </row>
    <row r="506" spans="13:14" x14ac:dyDescent="0.25">
      <c r="M506" s="213">
        <f t="shared" si="15"/>
        <v>0.50400000000000034</v>
      </c>
      <c r="N506" s="22">
        <f t="shared" si="14"/>
        <v>0.93026199038976043</v>
      </c>
    </row>
    <row r="507" spans="13:14" x14ac:dyDescent="0.25">
      <c r="M507" s="213">
        <f t="shared" si="15"/>
        <v>0.50500000000000034</v>
      </c>
      <c r="N507" s="22">
        <f t="shared" si="14"/>
        <v>0.93065207289687502</v>
      </c>
    </row>
    <row r="508" spans="13:14" x14ac:dyDescent="0.25">
      <c r="M508" s="213">
        <f t="shared" si="15"/>
        <v>0.50600000000000034</v>
      </c>
      <c r="N508" s="22">
        <f t="shared" si="14"/>
        <v>0.93104076626616039</v>
      </c>
    </row>
    <row r="509" spans="13:14" x14ac:dyDescent="0.25">
      <c r="M509" s="213">
        <f t="shared" si="15"/>
        <v>0.50700000000000034</v>
      </c>
      <c r="N509" s="22">
        <f t="shared" si="14"/>
        <v>0.93142808377183517</v>
      </c>
    </row>
    <row r="510" spans="13:14" x14ac:dyDescent="0.25">
      <c r="M510" s="213">
        <f t="shared" si="15"/>
        <v>0.50800000000000034</v>
      </c>
      <c r="N510" s="22">
        <f t="shared" si="14"/>
        <v>0.93181403858815992</v>
      </c>
    </row>
    <row r="511" spans="13:14" x14ac:dyDescent="0.25">
      <c r="M511" s="213">
        <f t="shared" si="15"/>
        <v>0.50900000000000034</v>
      </c>
      <c r="N511" s="22">
        <f t="shared" si="14"/>
        <v>0.9321986437894354</v>
      </c>
    </row>
    <row r="512" spans="13:14" x14ac:dyDescent="0.25">
      <c r="M512" s="213">
        <f t="shared" si="15"/>
        <v>0.51000000000000034</v>
      </c>
      <c r="N512" s="22">
        <f t="shared" si="14"/>
        <v>0.93258191235000032</v>
      </c>
    </row>
    <row r="513" spans="13:14" x14ac:dyDescent="0.25">
      <c r="M513" s="213">
        <f t="shared" si="15"/>
        <v>0.51100000000000034</v>
      </c>
      <c r="N513" s="22">
        <f t="shared" si="14"/>
        <v>0.93296385714423558</v>
      </c>
    </row>
    <row r="514" spans="13:14" x14ac:dyDescent="0.25">
      <c r="M514" s="213">
        <f t="shared" si="15"/>
        <v>0.51200000000000034</v>
      </c>
      <c r="N514" s="22">
        <f t="shared" si="14"/>
        <v>0.93334449094656002</v>
      </c>
    </row>
    <row r="515" spans="13:14" x14ac:dyDescent="0.25">
      <c r="M515" s="213">
        <f t="shared" si="15"/>
        <v>0.51300000000000034</v>
      </c>
      <c r="N515" s="22">
        <f t="shared" ref="N515:N578" si="16">-4.165*M515^4+10.634*M515^3-10.432*M515^2+4.9355*M515</f>
        <v>0.93372382643143492</v>
      </c>
    </row>
    <row r="516" spans="13:14" x14ac:dyDescent="0.25">
      <c r="M516" s="213">
        <f t="shared" ref="M516:M579" si="17">M515+0.1%</f>
        <v>0.51400000000000035</v>
      </c>
      <c r="N516" s="22">
        <f t="shared" si="16"/>
        <v>0.93410187617335994</v>
      </c>
    </row>
    <row r="517" spans="13:14" x14ac:dyDescent="0.25">
      <c r="M517" s="213">
        <f t="shared" si="17"/>
        <v>0.51500000000000035</v>
      </c>
      <c r="N517" s="22">
        <f t="shared" si="16"/>
        <v>0.93447865264687513</v>
      </c>
    </row>
    <row r="518" spans="13:14" x14ac:dyDescent="0.25">
      <c r="M518" s="213">
        <f t="shared" si="17"/>
        <v>0.51600000000000035</v>
      </c>
      <c r="N518" s="22">
        <f t="shared" si="16"/>
        <v>0.93485416822656053</v>
      </c>
    </row>
    <row r="519" spans="13:14" x14ac:dyDescent="0.25">
      <c r="M519" s="213">
        <f t="shared" si="17"/>
        <v>0.51700000000000035</v>
      </c>
      <c r="N519" s="22">
        <f t="shared" si="16"/>
        <v>0.93522843518703502</v>
      </c>
    </row>
    <row r="520" spans="13:14" x14ac:dyDescent="0.25">
      <c r="M520" s="213">
        <f t="shared" si="17"/>
        <v>0.51800000000000035</v>
      </c>
      <c r="N520" s="22">
        <f t="shared" si="16"/>
        <v>0.93560146570296032</v>
      </c>
    </row>
    <row r="521" spans="13:14" x14ac:dyDescent="0.25">
      <c r="M521" s="213">
        <f t="shared" si="17"/>
        <v>0.51900000000000035</v>
      </c>
      <c r="N521" s="22">
        <f t="shared" si="16"/>
        <v>0.93597327184903545</v>
      </c>
    </row>
    <row r="522" spans="13:14" x14ac:dyDescent="0.25">
      <c r="M522" s="213">
        <f t="shared" si="17"/>
        <v>0.52000000000000035</v>
      </c>
      <c r="N522" s="22">
        <f t="shared" si="16"/>
        <v>0.93634386560000049</v>
      </c>
    </row>
    <row r="523" spans="13:14" x14ac:dyDescent="0.25">
      <c r="M523" s="213">
        <f t="shared" si="17"/>
        <v>0.52100000000000035</v>
      </c>
      <c r="N523" s="22">
        <f t="shared" si="16"/>
        <v>0.93671325883063483</v>
      </c>
    </row>
    <row r="524" spans="13:14" x14ac:dyDescent="0.25">
      <c r="M524" s="213">
        <f t="shared" si="17"/>
        <v>0.52200000000000035</v>
      </c>
      <c r="N524" s="22">
        <f t="shared" si="16"/>
        <v>0.93708146331576003</v>
      </c>
    </row>
    <row r="525" spans="13:14" x14ac:dyDescent="0.25">
      <c r="M525" s="213">
        <f t="shared" si="17"/>
        <v>0.52300000000000035</v>
      </c>
      <c r="N525" s="22">
        <f t="shared" si="16"/>
        <v>0.93744849073023495</v>
      </c>
    </row>
    <row r="526" spans="13:14" x14ac:dyDescent="0.25">
      <c r="M526" s="213">
        <f t="shared" si="17"/>
        <v>0.52400000000000035</v>
      </c>
      <c r="N526" s="22">
        <f t="shared" si="16"/>
        <v>0.93781435264896018</v>
      </c>
    </row>
    <row r="527" spans="13:14" x14ac:dyDescent="0.25">
      <c r="M527" s="213">
        <f t="shared" si="17"/>
        <v>0.52500000000000036</v>
      </c>
      <c r="N527" s="22">
        <f t="shared" si="16"/>
        <v>0.9381790605468745</v>
      </c>
    </row>
    <row r="528" spans="13:14" x14ac:dyDescent="0.25">
      <c r="M528" s="213">
        <f t="shared" si="17"/>
        <v>0.52600000000000036</v>
      </c>
      <c r="N528" s="22">
        <f t="shared" si="16"/>
        <v>0.93854262579896064</v>
      </c>
    </row>
    <row r="529" spans="13:14" x14ac:dyDescent="0.25">
      <c r="M529" s="213">
        <f t="shared" si="17"/>
        <v>0.52700000000000036</v>
      </c>
      <c r="N529" s="22">
        <f t="shared" si="16"/>
        <v>0.93890505968023508</v>
      </c>
    </row>
    <row r="530" spans="13:14" x14ac:dyDescent="0.25">
      <c r="M530" s="213">
        <f t="shared" si="17"/>
        <v>0.52800000000000036</v>
      </c>
      <c r="N530" s="22">
        <f t="shared" si="16"/>
        <v>0.93926637336576002</v>
      </c>
    </row>
    <row r="531" spans="13:14" x14ac:dyDescent="0.25">
      <c r="M531" s="213">
        <f t="shared" si="17"/>
        <v>0.52900000000000036</v>
      </c>
      <c r="N531" s="22">
        <f t="shared" si="16"/>
        <v>0.93962657793063498</v>
      </c>
    </row>
    <row r="532" spans="13:14" x14ac:dyDescent="0.25">
      <c r="M532" s="213">
        <f t="shared" si="17"/>
        <v>0.53000000000000036</v>
      </c>
      <c r="N532" s="22">
        <f t="shared" si="16"/>
        <v>0.93998568435000007</v>
      </c>
    </row>
    <row r="533" spans="13:14" x14ac:dyDescent="0.25">
      <c r="M533" s="213">
        <f t="shared" si="17"/>
        <v>0.53100000000000036</v>
      </c>
      <c r="N533" s="22">
        <f t="shared" si="16"/>
        <v>0.94034370349903496</v>
      </c>
    </row>
    <row r="534" spans="13:14" x14ac:dyDescent="0.25">
      <c r="M534" s="213">
        <f t="shared" si="17"/>
        <v>0.53200000000000036</v>
      </c>
      <c r="N534" s="22">
        <f t="shared" si="16"/>
        <v>0.94070064615295967</v>
      </c>
    </row>
    <row r="535" spans="13:14" x14ac:dyDescent="0.25">
      <c r="M535" s="213">
        <f t="shared" si="17"/>
        <v>0.53300000000000036</v>
      </c>
      <c r="N535" s="22">
        <f t="shared" si="16"/>
        <v>0.94105652298703535</v>
      </c>
    </row>
    <row r="536" spans="13:14" x14ac:dyDescent="0.25">
      <c r="M536" s="213">
        <f t="shared" si="17"/>
        <v>0.53400000000000036</v>
      </c>
      <c r="N536" s="22">
        <f t="shared" si="16"/>
        <v>0.94141134457656017</v>
      </c>
    </row>
    <row r="537" spans="13:14" x14ac:dyDescent="0.25">
      <c r="M537" s="213">
        <f t="shared" si="17"/>
        <v>0.53500000000000036</v>
      </c>
      <c r="N537" s="22">
        <f t="shared" si="16"/>
        <v>0.94176512139687496</v>
      </c>
    </row>
    <row r="538" spans="13:14" x14ac:dyDescent="0.25">
      <c r="M538" s="213">
        <f t="shared" si="17"/>
        <v>0.53600000000000037</v>
      </c>
      <c r="N538" s="22">
        <f t="shared" si="16"/>
        <v>0.94211786382336027</v>
      </c>
    </row>
    <row r="539" spans="13:14" x14ac:dyDescent="0.25">
      <c r="M539" s="213">
        <f t="shared" si="17"/>
        <v>0.53700000000000037</v>
      </c>
      <c r="N539" s="22">
        <f t="shared" si="16"/>
        <v>0.94246958213143506</v>
      </c>
    </row>
    <row r="540" spans="13:14" x14ac:dyDescent="0.25">
      <c r="M540" s="213">
        <f t="shared" si="17"/>
        <v>0.53800000000000037</v>
      </c>
      <c r="N540" s="22">
        <f t="shared" si="16"/>
        <v>0.94282028649656091</v>
      </c>
    </row>
    <row r="541" spans="13:14" x14ac:dyDescent="0.25">
      <c r="M541" s="213">
        <f t="shared" si="17"/>
        <v>0.53900000000000037</v>
      </c>
      <c r="N541" s="22">
        <f t="shared" si="16"/>
        <v>0.94316998699423493</v>
      </c>
    </row>
    <row r="542" spans="13:14" x14ac:dyDescent="0.25">
      <c r="M542" s="213">
        <f t="shared" si="17"/>
        <v>0.54000000000000037</v>
      </c>
      <c r="N542" s="22">
        <f t="shared" si="16"/>
        <v>0.94351869360000018</v>
      </c>
    </row>
    <row r="543" spans="13:14" x14ac:dyDescent="0.25">
      <c r="M543" s="213">
        <f t="shared" si="17"/>
        <v>0.54100000000000037</v>
      </c>
      <c r="N543" s="22">
        <f t="shared" si="16"/>
        <v>0.94386641618943501</v>
      </c>
    </row>
    <row r="544" spans="13:14" x14ac:dyDescent="0.25">
      <c r="M544" s="213">
        <f t="shared" si="17"/>
        <v>0.54200000000000037</v>
      </c>
      <c r="N544" s="22">
        <f t="shared" si="16"/>
        <v>0.9442131645381604</v>
      </c>
    </row>
    <row r="545" spans="13:14" x14ac:dyDescent="0.25">
      <c r="M545" s="213">
        <f t="shared" si="17"/>
        <v>0.54300000000000037</v>
      </c>
      <c r="N545" s="22">
        <f t="shared" si="16"/>
        <v>0.94455894832183462</v>
      </c>
    </row>
    <row r="546" spans="13:14" x14ac:dyDescent="0.25">
      <c r="M546" s="213">
        <f t="shared" si="17"/>
        <v>0.54400000000000037</v>
      </c>
      <c r="N546" s="22">
        <f t="shared" si="16"/>
        <v>0.94490377711616014</v>
      </c>
    </row>
    <row r="547" spans="13:14" x14ac:dyDescent="0.25">
      <c r="M547" s="213">
        <f t="shared" si="17"/>
        <v>0.54500000000000037</v>
      </c>
      <c r="N547" s="22">
        <f t="shared" si="16"/>
        <v>0.94524766039687513</v>
      </c>
    </row>
    <row r="548" spans="13:14" x14ac:dyDescent="0.25">
      <c r="M548" s="213">
        <f t="shared" si="17"/>
        <v>0.54600000000000037</v>
      </c>
      <c r="N548" s="22">
        <f t="shared" si="16"/>
        <v>0.94559060753976021</v>
      </c>
    </row>
    <row r="549" spans="13:14" x14ac:dyDescent="0.25">
      <c r="M549" s="213">
        <f t="shared" si="17"/>
        <v>0.54700000000000037</v>
      </c>
      <c r="N549" s="22">
        <f t="shared" si="16"/>
        <v>0.9459326278206357</v>
      </c>
    </row>
    <row r="550" spans="13:14" x14ac:dyDescent="0.25">
      <c r="M550" s="213">
        <f t="shared" si="17"/>
        <v>0.54800000000000038</v>
      </c>
      <c r="N550" s="22">
        <f t="shared" si="16"/>
        <v>0.94627373041536011</v>
      </c>
    </row>
    <row r="551" spans="13:14" x14ac:dyDescent="0.25">
      <c r="M551" s="213">
        <f t="shared" si="17"/>
        <v>0.54900000000000038</v>
      </c>
      <c r="N551" s="22">
        <f t="shared" si="16"/>
        <v>0.94661392439983527</v>
      </c>
    </row>
    <row r="552" spans="13:14" x14ac:dyDescent="0.25">
      <c r="M552" s="213">
        <f t="shared" si="17"/>
        <v>0.55000000000000038</v>
      </c>
      <c r="N552" s="22">
        <f t="shared" si="16"/>
        <v>0.94695321875000005</v>
      </c>
    </row>
    <row r="553" spans="13:14" x14ac:dyDescent="0.25">
      <c r="M553" s="213">
        <f t="shared" si="17"/>
        <v>0.55100000000000038</v>
      </c>
      <c r="N553" s="22">
        <f t="shared" si="16"/>
        <v>0.9472916223418355</v>
      </c>
    </row>
    <row r="554" spans="13:14" x14ac:dyDescent="0.25">
      <c r="M554" s="213">
        <f t="shared" si="17"/>
        <v>0.55200000000000038</v>
      </c>
      <c r="N554" s="22">
        <f t="shared" si="16"/>
        <v>0.94762914395136022</v>
      </c>
    </row>
    <row r="555" spans="13:14" x14ac:dyDescent="0.25">
      <c r="M555" s="213">
        <f t="shared" si="17"/>
        <v>0.55300000000000038</v>
      </c>
      <c r="N555" s="22">
        <f t="shared" si="16"/>
        <v>0.9479657922546354</v>
      </c>
    </row>
    <row r="556" spans="13:14" x14ac:dyDescent="0.25">
      <c r="M556" s="213">
        <f t="shared" si="17"/>
        <v>0.55400000000000038</v>
      </c>
      <c r="N556" s="22">
        <f t="shared" si="16"/>
        <v>0.94830157582776065</v>
      </c>
    </row>
    <row r="557" spans="13:14" x14ac:dyDescent="0.25">
      <c r="M557" s="213">
        <f t="shared" si="17"/>
        <v>0.55500000000000038</v>
      </c>
      <c r="N557" s="22">
        <f t="shared" si="16"/>
        <v>0.94863650314687509</v>
      </c>
    </row>
    <row r="558" spans="13:14" x14ac:dyDescent="0.25">
      <c r="M558" s="213">
        <f t="shared" si="17"/>
        <v>0.55600000000000038</v>
      </c>
      <c r="N558" s="22">
        <f t="shared" si="16"/>
        <v>0.94897058258816047</v>
      </c>
    </row>
    <row r="559" spans="13:14" x14ac:dyDescent="0.25">
      <c r="M559" s="213">
        <f t="shared" si="17"/>
        <v>0.55700000000000038</v>
      </c>
      <c r="N559" s="22">
        <f t="shared" si="16"/>
        <v>0.94930382242783473</v>
      </c>
    </row>
    <row r="560" spans="13:14" x14ac:dyDescent="0.25">
      <c r="M560" s="213">
        <f t="shared" si="17"/>
        <v>0.55800000000000038</v>
      </c>
      <c r="N560" s="22">
        <f t="shared" si="16"/>
        <v>0.94963623084216087</v>
      </c>
    </row>
    <row r="561" spans="13:14" x14ac:dyDescent="0.25">
      <c r="M561" s="213">
        <f t="shared" si="17"/>
        <v>0.55900000000000039</v>
      </c>
      <c r="N561" s="22">
        <f t="shared" si="16"/>
        <v>0.94996781590743518</v>
      </c>
    </row>
    <row r="562" spans="13:14" x14ac:dyDescent="0.25">
      <c r="M562" s="213">
        <f t="shared" si="17"/>
        <v>0.56000000000000039</v>
      </c>
      <c r="N562" s="22">
        <f t="shared" si="16"/>
        <v>0.95029858560000013</v>
      </c>
    </row>
    <row r="563" spans="13:14" x14ac:dyDescent="0.25">
      <c r="M563" s="213">
        <f t="shared" si="17"/>
        <v>0.56100000000000039</v>
      </c>
      <c r="N563" s="22">
        <f t="shared" si="16"/>
        <v>0.95062854779623507</v>
      </c>
    </row>
    <row r="564" spans="13:14" x14ac:dyDescent="0.25">
      <c r="M564" s="213">
        <f t="shared" si="17"/>
        <v>0.56200000000000039</v>
      </c>
      <c r="N564" s="22">
        <f t="shared" si="16"/>
        <v>0.95095771027256015</v>
      </c>
    </row>
    <row r="565" spans="13:14" x14ac:dyDescent="0.25">
      <c r="M565" s="213">
        <f t="shared" si="17"/>
        <v>0.56300000000000039</v>
      </c>
      <c r="N565" s="22">
        <f t="shared" si="16"/>
        <v>0.95128608070543508</v>
      </c>
    </row>
    <row r="566" spans="13:14" x14ac:dyDescent="0.25">
      <c r="M566" s="213">
        <f t="shared" si="17"/>
        <v>0.56400000000000039</v>
      </c>
      <c r="N566" s="22">
        <f t="shared" si="16"/>
        <v>0.95161366667136016</v>
      </c>
    </row>
    <row r="567" spans="13:14" x14ac:dyDescent="0.25">
      <c r="M567" s="213">
        <f t="shared" si="17"/>
        <v>0.56500000000000039</v>
      </c>
      <c r="N567" s="22">
        <f t="shared" si="16"/>
        <v>0.95194047564687545</v>
      </c>
    </row>
    <row r="568" spans="13:14" x14ac:dyDescent="0.25">
      <c r="M568" s="213">
        <f t="shared" si="17"/>
        <v>0.56600000000000039</v>
      </c>
      <c r="N568" s="22">
        <f t="shared" si="16"/>
        <v>0.9522665150085603</v>
      </c>
    </row>
    <row r="569" spans="13:14" x14ac:dyDescent="0.25">
      <c r="M569" s="213">
        <f t="shared" si="17"/>
        <v>0.56700000000000039</v>
      </c>
      <c r="N569" s="22">
        <f t="shared" si="16"/>
        <v>0.95259179203303534</v>
      </c>
    </row>
    <row r="570" spans="13:14" x14ac:dyDescent="0.25">
      <c r="M570" s="213">
        <f t="shared" si="17"/>
        <v>0.56800000000000039</v>
      </c>
      <c r="N570" s="22">
        <f t="shared" si="16"/>
        <v>0.95291631389695985</v>
      </c>
    </row>
    <row r="571" spans="13:14" x14ac:dyDescent="0.25">
      <c r="M571" s="213">
        <f t="shared" si="17"/>
        <v>0.56900000000000039</v>
      </c>
      <c r="N571" s="22">
        <f t="shared" si="16"/>
        <v>0.95324008767703505</v>
      </c>
    </row>
    <row r="572" spans="13:14" x14ac:dyDescent="0.25">
      <c r="M572" s="213">
        <f t="shared" si="17"/>
        <v>0.5700000000000004</v>
      </c>
      <c r="N572" s="22">
        <f t="shared" si="16"/>
        <v>0.95356312034999968</v>
      </c>
    </row>
    <row r="573" spans="13:14" x14ac:dyDescent="0.25">
      <c r="M573" s="213">
        <f t="shared" si="17"/>
        <v>0.5710000000000004</v>
      </c>
      <c r="N573" s="22">
        <f t="shared" si="16"/>
        <v>0.95388541879263489</v>
      </c>
    </row>
    <row r="574" spans="13:14" x14ac:dyDescent="0.25">
      <c r="M574" s="213">
        <f t="shared" si="17"/>
        <v>0.5720000000000004</v>
      </c>
      <c r="N574" s="22">
        <f t="shared" si="16"/>
        <v>0.95420698978176</v>
      </c>
    </row>
    <row r="575" spans="13:14" x14ac:dyDescent="0.25">
      <c r="M575" s="213">
        <f t="shared" si="17"/>
        <v>0.5730000000000004</v>
      </c>
      <c r="N575" s="22">
        <f t="shared" si="16"/>
        <v>0.95452783999423518</v>
      </c>
    </row>
    <row r="576" spans="13:14" x14ac:dyDescent="0.25">
      <c r="M576" s="213">
        <f t="shared" si="17"/>
        <v>0.5740000000000004</v>
      </c>
      <c r="N576" s="22">
        <f t="shared" si="16"/>
        <v>0.95484797600696036</v>
      </c>
    </row>
    <row r="577" spans="13:14" x14ac:dyDescent="0.25">
      <c r="M577" s="213">
        <f t="shared" si="17"/>
        <v>0.5750000000000004</v>
      </c>
      <c r="N577" s="22">
        <f t="shared" si="16"/>
        <v>0.95516740429687519</v>
      </c>
    </row>
    <row r="578" spans="13:14" x14ac:dyDescent="0.25">
      <c r="M578" s="213">
        <f t="shared" si="17"/>
        <v>0.5760000000000004</v>
      </c>
      <c r="N578" s="22">
        <f t="shared" si="16"/>
        <v>0.95548613124096038</v>
      </c>
    </row>
    <row r="579" spans="13:14" x14ac:dyDescent="0.25">
      <c r="M579" s="213">
        <f t="shared" si="17"/>
        <v>0.5770000000000004</v>
      </c>
      <c r="N579" s="22">
        <f t="shared" ref="N579:N642" si="18">-4.165*M579^4+10.634*M579^3-10.432*M579^2+4.9355*M579</f>
        <v>0.95580416311623528</v>
      </c>
    </row>
    <row r="580" spans="13:14" x14ac:dyDescent="0.25">
      <c r="M580" s="213">
        <f t="shared" ref="M580:M643" si="19">M579+0.1%</f>
        <v>0.5780000000000004</v>
      </c>
      <c r="N580" s="22">
        <f t="shared" si="18"/>
        <v>0.9561215060997601</v>
      </c>
    </row>
    <row r="581" spans="13:14" x14ac:dyDescent="0.25">
      <c r="M581" s="213">
        <f t="shared" si="19"/>
        <v>0.5790000000000004</v>
      </c>
      <c r="N581" s="22">
        <f t="shared" si="18"/>
        <v>0.9564381662686352</v>
      </c>
    </row>
    <row r="582" spans="13:14" x14ac:dyDescent="0.25">
      <c r="M582" s="213">
        <f t="shared" si="19"/>
        <v>0.5800000000000004</v>
      </c>
      <c r="N582" s="22">
        <f t="shared" si="18"/>
        <v>0.95675414960000027</v>
      </c>
    </row>
    <row r="583" spans="13:14" x14ac:dyDescent="0.25">
      <c r="M583" s="213">
        <f t="shared" si="19"/>
        <v>0.58100000000000041</v>
      </c>
      <c r="N583" s="22">
        <f t="shared" si="18"/>
        <v>0.95706946197103515</v>
      </c>
    </row>
    <row r="584" spans="13:14" x14ac:dyDescent="0.25">
      <c r="M584" s="213">
        <f t="shared" si="19"/>
        <v>0.58200000000000041</v>
      </c>
      <c r="N584" s="22">
        <f t="shared" si="18"/>
        <v>0.95738410915896011</v>
      </c>
    </row>
    <row r="585" spans="13:14" x14ac:dyDescent="0.25">
      <c r="M585" s="213">
        <f t="shared" si="19"/>
        <v>0.58300000000000041</v>
      </c>
      <c r="N585" s="22">
        <f t="shared" si="18"/>
        <v>0.95769809684103535</v>
      </c>
    </row>
    <row r="586" spans="13:14" x14ac:dyDescent="0.25">
      <c r="M586" s="213">
        <f t="shared" si="19"/>
        <v>0.58400000000000041</v>
      </c>
      <c r="N586" s="22">
        <f t="shared" si="18"/>
        <v>0.95801143059456018</v>
      </c>
    </row>
    <row r="587" spans="13:14" x14ac:dyDescent="0.25">
      <c r="M587" s="213">
        <f t="shared" si="19"/>
        <v>0.58500000000000041</v>
      </c>
      <c r="N587" s="22">
        <f t="shared" si="18"/>
        <v>0.95832411589687494</v>
      </c>
    </row>
    <row r="588" spans="13:14" x14ac:dyDescent="0.25">
      <c r="M588" s="213">
        <f t="shared" si="19"/>
        <v>0.58600000000000041</v>
      </c>
      <c r="N588" s="22">
        <f t="shared" si="18"/>
        <v>0.95863615812536018</v>
      </c>
    </row>
    <row r="589" spans="13:14" x14ac:dyDescent="0.25">
      <c r="M589" s="213">
        <f t="shared" si="19"/>
        <v>0.58700000000000041</v>
      </c>
      <c r="N589" s="22">
        <f t="shared" si="18"/>
        <v>0.95894756255743552</v>
      </c>
    </row>
    <row r="590" spans="13:14" x14ac:dyDescent="0.25">
      <c r="M590" s="213">
        <f t="shared" si="19"/>
        <v>0.58800000000000041</v>
      </c>
      <c r="N590" s="22">
        <f t="shared" si="18"/>
        <v>0.95925833437055985</v>
      </c>
    </row>
    <row r="591" spans="13:14" x14ac:dyDescent="0.25">
      <c r="M591" s="213">
        <f t="shared" si="19"/>
        <v>0.58900000000000041</v>
      </c>
      <c r="N591" s="22">
        <f t="shared" si="18"/>
        <v>0.95956847864223516</v>
      </c>
    </row>
    <row r="592" spans="13:14" x14ac:dyDescent="0.25">
      <c r="M592" s="213">
        <f t="shared" si="19"/>
        <v>0.59000000000000041</v>
      </c>
      <c r="N592" s="22">
        <f t="shared" si="18"/>
        <v>0.95987800035000048</v>
      </c>
    </row>
    <row r="593" spans="13:14" x14ac:dyDescent="0.25">
      <c r="M593" s="213">
        <f t="shared" si="19"/>
        <v>0.59100000000000041</v>
      </c>
      <c r="N593" s="22">
        <f t="shared" si="18"/>
        <v>0.96018690437143484</v>
      </c>
    </row>
    <row r="594" spans="13:14" x14ac:dyDescent="0.25">
      <c r="M594" s="213">
        <f t="shared" si="19"/>
        <v>0.59200000000000041</v>
      </c>
      <c r="N594" s="22">
        <f t="shared" si="18"/>
        <v>0.9604951954841594</v>
      </c>
    </row>
    <row r="595" spans="13:14" x14ac:dyDescent="0.25">
      <c r="M595" s="213">
        <f t="shared" si="19"/>
        <v>0.59300000000000042</v>
      </c>
      <c r="N595" s="22">
        <f t="shared" si="18"/>
        <v>0.96080287836583533</v>
      </c>
    </row>
    <row r="596" spans="13:14" x14ac:dyDescent="0.25">
      <c r="M596" s="213">
        <f t="shared" si="19"/>
        <v>0.59400000000000042</v>
      </c>
      <c r="N596" s="22">
        <f t="shared" si="18"/>
        <v>0.9611099575941604</v>
      </c>
    </row>
    <row r="597" spans="13:14" x14ac:dyDescent="0.25">
      <c r="M597" s="213">
        <f t="shared" si="19"/>
        <v>0.59500000000000042</v>
      </c>
      <c r="N597" s="22">
        <f t="shared" si="18"/>
        <v>0.96141643764687523</v>
      </c>
    </row>
    <row r="598" spans="13:14" x14ac:dyDescent="0.25">
      <c r="M598" s="213">
        <f t="shared" si="19"/>
        <v>0.59600000000000042</v>
      </c>
      <c r="N598" s="22">
        <f t="shared" si="18"/>
        <v>0.96172232290176041</v>
      </c>
    </row>
    <row r="599" spans="13:14" x14ac:dyDescent="0.25">
      <c r="M599" s="213">
        <f t="shared" si="19"/>
        <v>0.59700000000000042</v>
      </c>
      <c r="N599" s="22">
        <f t="shared" si="18"/>
        <v>0.96202761763663558</v>
      </c>
    </row>
    <row r="600" spans="13:14" x14ac:dyDescent="0.25">
      <c r="M600" s="213">
        <f t="shared" si="19"/>
        <v>0.59800000000000042</v>
      </c>
      <c r="N600" s="22">
        <f t="shared" si="18"/>
        <v>0.96233232602935992</v>
      </c>
    </row>
    <row r="601" spans="13:14" x14ac:dyDescent="0.25">
      <c r="M601" s="213">
        <f t="shared" si="19"/>
        <v>0.59900000000000042</v>
      </c>
      <c r="N601" s="22">
        <f t="shared" si="18"/>
        <v>0.962636452157835</v>
      </c>
    </row>
    <row r="602" spans="13:14" x14ac:dyDescent="0.25">
      <c r="M602" s="213">
        <f t="shared" si="19"/>
        <v>0.60000000000000042</v>
      </c>
      <c r="N602" s="22">
        <f t="shared" si="18"/>
        <v>0.96294000000000057</v>
      </c>
    </row>
    <row r="603" spans="13:14" x14ac:dyDescent="0.25">
      <c r="M603" s="213">
        <f t="shared" si="19"/>
        <v>0.60100000000000042</v>
      </c>
      <c r="N603" s="22">
        <f t="shared" si="18"/>
        <v>0.96324297343383547</v>
      </c>
    </row>
    <row r="604" spans="13:14" x14ac:dyDescent="0.25">
      <c r="M604" s="213">
        <f t="shared" si="19"/>
        <v>0.60200000000000042</v>
      </c>
      <c r="N604" s="22">
        <f t="shared" si="18"/>
        <v>0.96354537623735981</v>
      </c>
    </row>
    <row r="605" spans="13:14" x14ac:dyDescent="0.25">
      <c r="M605" s="213">
        <f t="shared" si="19"/>
        <v>0.60300000000000042</v>
      </c>
      <c r="N605" s="22">
        <f t="shared" si="18"/>
        <v>0.96384721208863589</v>
      </c>
    </row>
    <row r="606" spans="13:14" x14ac:dyDescent="0.25">
      <c r="M606" s="213">
        <f t="shared" si="19"/>
        <v>0.60400000000000043</v>
      </c>
      <c r="N606" s="22">
        <f t="shared" si="18"/>
        <v>0.96414848456575974</v>
      </c>
    </row>
    <row r="607" spans="13:14" x14ac:dyDescent="0.25">
      <c r="M607" s="213">
        <f t="shared" si="19"/>
        <v>0.60500000000000043</v>
      </c>
      <c r="N607" s="22">
        <f t="shared" si="18"/>
        <v>0.96444919714687538</v>
      </c>
    </row>
    <row r="608" spans="13:14" x14ac:dyDescent="0.25">
      <c r="M608" s="213">
        <f t="shared" si="19"/>
        <v>0.60600000000000043</v>
      </c>
      <c r="N608" s="22">
        <f t="shared" si="18"/>
        <v>0.96474935321016053</v>
      </c>
    </row>
    <row r="609" spans="13:14" x14ac:dyDescent="0.25">
      <c r="M609" s="213">
        <f t="shared" si="19"/>
        <v>0.60700000000000043</v>
      </c>
      <c r="N609" s="22">
        <f t="shared" si="18"/>
        <v>0.96504895603383511</v>
      </c>
    </row>
    <row r="610" spans="13:14" x14ac:dyDescent="0.25">
      <c r="M610" s="213">
        <f t="shared" si="19"/>
        <v>0.60800000000000043</v>
      </c>
      <c r="N610" s="22">
        <f t="shared" si="18"/>
        <v>0.9653480087961599</v>
      </c>
    </row>
    <row r="611" spans="13:14" x14ac:dyDescent="0.25">
      <c r="M611" s="213">
        <f t="shared" si="19"/>
        <v>0.60900000000000043</v>
      </c>
      <c r="N611" s="22">
        <f t="shared" si="18"/>
        <v>0.96564651457543516</v>
      </c>
    </row>
    <row r="612" spans="13:14" x14ac:dyDescent="0.25">
      <c r="M612" s="213">
        <f t="shared" si="19"/>
        <v>0.61000000000000043</v>
      </c>
      <c r="N612" s="22">
        <f t="shared" si="18"/>
        <v>0.9659444763499998</v>
      </c>
    </row>
    <row r="613" spans="13:14" x14ac:dyDescent="0.25">
      <c r="M613" s="213">
        <f t="shared" si="19"/>
        <v>0.61100000000000043</v>
      </c>
      <c r="N613" s="22">
        <f t="shared" si="18"/>
        <v>0.96624189699823537</v>
      </c>
    </row>
    <row r="614" spans="13:14" x14ac:dyDescent="0.25">
      <c r="M614" s="213">
        <f t="shared" si="19"/>
        <v>0.61200000000000043</v>
      </c>
      <c r="N614" s="22">
        <f t="shared" si="18"/>
        <v>0.96653877929856025</v>
      </c>
    </row>
    <row r="615" spans="13:14" x14ac:dyDescent="0.25">
      <c r="M615" s="213">
        <f t="shared" si="19"/>
        <v>0.61300000000000043</v>
      </c>
      <c r="N615" s="22">
        <f t="shared" si="18"/>
        <v>0.96683512592943543</v>
      </c>
    </row>
    <row r="616" spans="13:14" x14ac:dyDescent="0.25">
      <c r="M616" s="213">
        <f t="shared" si="19"/>
        <v>0.61400000000000043</v>
      </c>
      <c r="N616" s="22">
        <f t="shared" si="18"/>
        <v>0.96713093946936057</v>
      </c>
    </row>
    <row r="617" spans="13:14" x14ac:dyDescent="0.25">
      <c r="M617" s="213">
        <f t="shared" si="19"/>
        <v>0.61500000000000044</v>
      </c>
      <c r="N617" s="22">
        <f t="shared" si="18"/>
        <v>0.96742622239687526</v>
      </c>
    </row>
    <row r="618" spans="13:14" x14ac:dyDescent="0.25">
      <c r="M618" s="213">
        <f t="shared" si="19"/>
        <v>0.61600000000000044</v>
      </c>
      <c r="N618" s="22">
        <f t="shared" si="18"/>
        <v>0.96772097709056037</v>
      </c>
    </row>
    <row r="619" spans="13:14" x14ac:dyDescent="0.25">
      <c r="M619" s="213">
        <f t="shared" si="19"/>
        <v>0.61700000000000044</v>
      </c>
      <c r="N619" s="22">
        <f t="shared" si="18"/>
        <v>0.968015205829035</v>
      </c>
    </row>
    <row r="620" spans="13:14" x14ac:dyDescent="0.25">
      <c r="M620" s="213">
        <f t="shared" si="19"/>
        <v>0.61800000000000044</v>
      </c>
      <c r="N620" s="22">
        <f t="shared" si="18"/>
        <v>0.96830891079096038</v>
      </c>
    </row>
    <row r="621" spans="13:14" x14ac:dyDescent="0.25">
      <c r="M621" s="213">
        <f t="shared" si="19"/>
        <v>0.61900000000000044</v>
      </c>
      <c r="N621" s="22">
        <f t="shared" si="18"/>
        <v>0.96860209405503506</v>
      </c>
    </row>
    <row r="622" spans="13:14" x14ac:dyDescent="0.25">
      <c r="M622" s="213">
        <f t="shared" si="19"/>
        <v>0.62000000000000044</v>
      </c>
      <c r="N622" s="22">
        <f t="shared" si="18"/>
        <v>0.96889475760000021</v>
      </c>
    </row>
    <row r="623" spans="13:14" x14ac:dyDescent="0.25">
      <c r="M623" s="213">
        <f t="shared" si="19"/>
        <v>0.62100000000000044</v>
      </c>
      <c r="N623" s="22">
        <f t="shared" si="18"/>
        <v>0.96918690330463519</v>
      </c>
    </row>
    <row r="624" spans="13:14" x14ac:dyDescent="0.25">
      <c r="M624" s="213">
        <f t="shared" si="19"/>
        <v>0.62200000000000044</v>
      </c>
      <c r="N624" s="22">
        <f t="shared" si="18"/>
        <v>0.96947853294776021</v>
      </c>
    </row>
    <row r="625" spans="13:14" x14ac:dyDescent="0.25">
      <c r="M625" s="213">
        <f t="shared" si="19"/>
        <v>0.62300000000000044</v>
      </c>
      <c r="N625" s="22">
        <f t="shared" si="18"/>
        <v>0.96976964820823497</v>
      </c>
    </row>
    <row r="626" spans="13:14" x14ac:dyDescent="0.25">
      <c r="M626" s="213">
        <f t="shared" si="19"/>
        <v>0.62400000000000044</v>
      </c>
      <c r="N626" s="22">
        <f t="shared" si="18"/>
        <v>0.97006025066496004</v>
      </c>
    </row>
    <row r="627" spans="13:14" x14ac:dyDescent="0.25">
      <c r="M627" s="213">
        <f t="shared" si="19"/>
        <v>0.62500000000000044</v>
      </c>
      <c r="N627" s="22">
        <f t="shared" si="18"/>
        <v>0.97035034179687596</v>
      </c>
    </row>
    <row r="628" spans="13:14" x14ac:dyDescent="0.25">
      <c r="M628" s="213">
        <f t="shared" si="19"/>
        <v>0.62600000000000044</v>
      </c>
      <c r="N628" s="22">
        <f t="shared" si="18"/>
        <v>0.97063992298295965</v>
      </c>
    </row>
    <row r="629" spans="13:14" x14ac:dyDescent="0.25">
      <c r="M629" s="213">
        <f t="shared" si="19"/>
        <v>0.62700000000000045</v>
      </c>
      <c r="N629" s="22">
        <f t="shared" si="18"/>
        <v>0.9709289955022351</v>
      </c>
    </row>
    <row r="630" spans="13:14" x14ac:dyDescent="0.25">
      <c r="M630" s="213">
        <f t="shared" si="19"/>
        <v>0.62800000000000045</v>
      </c>
      <c r="N630" s="22">
        <f t="shared" si="18"/>
        <v>0.97121756053375963</v>
      </c>
    </row>
    <row r="631" spans="13:14" x14ac:dyDescent="0.25">
      <c r="M631" s="213">
        <f t="shared" si="19"/>
        <v>0.62900000000000045</v>
      </c>
      <c r="N631" s="22">
        <f t="shared" si="18"/>
        <v>0.97150561915663536</v>
      </c>
    </row>
    <row r="632" spans="13:14" x14ac:dyDescent="0.25">
      <c r="M632" s="213">
        <f t="shared" si="19"/>
        <v>0.63000000000000045</v>
      </c>
      <c r="N632" s="22">
        <f t="shared" si="18"/>
        <v>0.97179317235000084</v>
      </c>
    </row>
    <row r="633" spans="13:14" x14ac:dyDescent="0.25">
      <c r="M633" s="213">
        <f t="shared" si="19"/>
        <v>0.63100000000000045</v>
      </c>
      <c r="N633" s="22">
        <f t="shared" si="18"/>
        <v>0.97208022099303548</v>
      </c>
    </row>
    <row r="634" spans="13:14" x14ac:dyDescent="0.25">
      <c r="M634" s="213">
        <f t="shared" si="19"/>
        <v>0.63200000000000045</v>
      </c>
      <c r="N634" s="22">
        <f t="shared" si="18"/>
        <v>0.9723667658649604</v>
      </c>
    </row>
    <row r="635" spans="13:14" x14ac:dyDescent="0.25">
      <c r="M635" s="213">
        <f t="shared" si="19"/>
        <v>0.63300000000000045</v>
      </c>
      <c r="N635" s="22">
        <f t="shared" si="18"/>
        <v>0.97265280764503492</v>
      </c>
    </row>
    <row r="636" spans="13:14" x14ac:dyDescent="0.25">
      <c r="M636" s="213">
        <f t="shared" si="19"/>
        <v>0.63400000000000045</v>
      </c>
      <c r="N636" s="22">
        <f t="shared" si="18"/>
        <v>0.97293834691256009</v>
      </c>
    </row>
    <row r="637" spans="13:14" x14ac:dyDescent="0.25">
      <c r="M637" s="213">
        <f t="shared" si="19"/>
        <v>0.63500000000000045</v>
      </c>
      <c r="N637" s="22">
        <f t="shared" si="18"/>
        <v>0.97322338414687515</v>
      </c>
    </row>
    <row r="638" spans="13:14" x14ac:dyDescent="0.25">
      <c r="M638" s="213">
        <f t="shared" si="19"/>
        <v>0.63600000000000045</v>
      </c>
      <c r="N638" s="22">
        <f t="shared" si="18"/>
        <v>0.97350791972736017</v>
      </c>
    </row>
    <row r="639" spans="13:14" x14ac:dyDescent="0.25">
      <c r="M639" s="213">
        <f t="shared" si="19"/>
        <v>0.63700000000000045</v>
      </c>
      <c r="N639" s="22">
        <f t="shared" si="18"/>
        <v>0.97379195393343476</v>
      </c>
    </row>
    <row r="640" spans="13:14" x14ac:dyDescent="0.25">
      <c r="M640" s="213">
        <f t="shared" si="19"/>
        <v>0.63800000000000046</v>
      </c>
      <c r="N640" s="22">
        <f t="shared" si="18"/>
        <v>0.97407548694456025</v>
      </c>
    </row>
    <row r="641" spans="13:14" x14ac:dyDescent="0.25">
      <c r="M641" s="213">
        <f t="shared" si="19"/>
        <v>0.63900000000000046</v>
      </c>
      <c r="N641" s="22">
        <f t="shared" si="18"/>
        <v>0.97435851884023528</v>
      </c>
    </row>
    <row r="642" spans="13:14" x14ac:dyDescent="0.25">
      <c r="M642" s="213">
        <f t="shared" si="19"/>
        <v>0.64000000000000046</v>
      </c>
      <c r="N642" s="22">
        <f t="shared" si="18"/>
        <v>0.9746410496000002</v>
      </c>
    </row>
    <row r="643" spans="13:14" x14ac:dyDescent="0.25">
      <c r="M643" s="213">
        <f t="shared" si="19"/>
        <v>0.64100000000000046</v>
      </c>
      <c r="N643" s="22">
        <f t="shared" ref="N643:N706" si="20">-4.165*M643^4+10.634*M643^3-10.432*M643^2+4.9355*M643</f>
        <v>0.9749230791034349</v>
      </c>
    </row>
    <row r="644" spans="13:14" x14ac:dyDescent="0.25">
      <c r="M644" s="213">
        <f>M643+0.1%</f>
        <v>0.64200000000000046</v>
      </c>
      <c r="N644" s="22">
        <f t="shared" si="20"/>
        <v>0.97520460713016055</v>
      </c>
    </row>
    <row r="645" spans="13:14" x14ac:dyDescent="0.25">
      <c r="M645" s="213">
        <f t="shared" ref="M645:M657" si="21">M644+0.1%</f>
        <v>0.64300000000000046</v>
      </c>
      <c r="N645" s="22">
        <f t="shared" si="20"/>
        <v>0.97548563335983562</v>
      </c>
    </row>
    <row r="646" spans="13:14" x14ac:dyDescent="0.25">
      <c r="M646" s="213">
        <f t="shared" si="21"/>
        <v>0.64400000000000046</v>
      </c>
      <c r="N646" s="22">
        <f t="shared" si="20"/>
        <v>0.97576615737215988</v>
      </c>
    </row>
    <row r="647" spans="13:14" x14ac:dyDescent="0.25">
      <c r="M647" s="213">
        <f t="shared" si="21"/>
        <v>0.64500000000000046</v>
      </c>
      <c r="N647" s="22">
        <f t="shared" si="20"/>
        <v>0.97604617864687571</v>
      </c>
    </row>
    <row r="648" spans="13:14" x14ac:dyDescent="0.25">
      <c r="M648" s="213">
        <f t="shared" si="21"/>
        <v>0.64600000000000046</v>
      </c>
      <c r="N648" s="22">
        <f t="shared" si="20"/>
        <v>0.976325696563761</v>
      </c>
    </row>
    <row r="649" spans="13:14" x14ac:dyDescent="0.25">
      <c r="M649" s="213">
        <f t="shared" si="21"/>
        <v>0.64700000000000046</v>
      </c>
      <c r="N649" s="22">
        <f t="shared" si="20"/>
        <v>0.97660471040263541</v>
      </c>
    </row>
    <row r="650" spans="13:14" x14ac:dyDescent="0.25">
      <c r="M650" s="213">
        <f t="shared" si="21"/>
        <v>0.64800000000000046</v>
      </c>
      <c r="N650" s="22">
        <f t="shared" si="20"/>
        <v>0.97688321934336031</v>
      </c>
    </row>
    <row r="651" spans="13:14" x14ac:dyDescent="0.25">
      <c r="M651" s="213">
        <f t="shared" si="21"/>
        <v>0.64900000000000047</v>
      </c>
      <c r="N651" s="22">
        <f t="shared" si="20"/>
        <v>0.97716122246583481</v>
      </c>
    </row>
    <row r="652" spans="13:14" x14ac:dyDescent="0.25">
      <c r="M652" s="213">
        <f t="shared" si="21"/>
        <v>0.65000000000000047</v>
      </c>
      <c r="N652" s="22">
        <f t="shared" si="20"/>
        <v>0.97743871874999977</v>
      </c>
    </row>
    <row r="653" spans="13:14" x14ac:dyDescent="0.25">
      <c r="M653" s="213">
        <f t="shared" si="21"/>
        <v>0.65100000000000047</v>
      </c>
      <c r="N653" s="22">
        <f t="shared" si="20"/>
        <v>0.97771570707583599</v>
      </c>
    </row>
    <row r="654" spans="13:14" x14ac:dyDescent="0.25">
      <c r="M654" s="213">
        <f t="shared" si="21"/>
        <v>0.65200000000000047</v>
      </c>
      <c r="N654" s="22">
        <f t="shared" si="20"/>
        <v>0.97799218622336026</v>
      </c>
    </row>
    <row r="655" spans="13:14" x14ac:dyDescent="0.25">
      <c r="M655" s="213">
        <f t="shared" si="21"/>
        <v>0.65300000000000047</v>
      </c>
      <c r="N655" s="22">
        <f t="shared" si="20"/>
        <v>0.97826815487263463</v>
      </c>
    </row>
    <row r="656" spans="13:14" x14ac:dyDescent="0.25">
      <c r="M656" s="213">
        <f t="shared" si="21"/>
        <v>0.65400000000000047</v>
      </c>
      <c r="N656" s="22">
        <f t="shared" si="20"/>
        <v>0.97854361160376069</v>
      </c>
    </row>
    <row r="657" spans="13:14" x14ac:dyDescent="0.25">
      <c r="M657" s="213">
        <f t="shared" si="21"/>
        <v>0.65500000000000047</v>
      </c>
      <c r="N657" s="22">
        <f t="shared" si="20"/>
        <v>0.97881855489687508</v>
      </c>
    </row>
    <row r="658" spans="13:14" x14ac:dyDescent="0.25">
      <c r="M658" s="213">
        <f>M657+0.1%</f>
        <v>0.65600000000000047</v>
      </c>
      <c r="N658" s="22">
        <f t="shared" si="20"/>
        <v>0.9790929831321602</v>
      </c>
    </row>
    <row r="659" spans="13:14" x14ac:dyDescent="0.25">
      <c r="M659" s="213">
        <f t="shared" ref="M659:M722" si="22">M658+0.1%</f>
        <v>0.65700000000000047</v>
      </c>
      <c r="N659" s="22">
        <f t="shared" si="20"/>
        <v>0.97936689458983484</v>
      </c>
    </row>
    <row r="660" spans="13:14" x14ac:dyDescent="0.25">
      <c r="M660" s="213">
        <f t="shared" si="22"/>
        <v>0.65800000000000047</v>
      </c>
      <c r="N660" s="22">
        <f t="shared" si="20"/>
        <v>0.97964028745015996</v>
      </c>
    </row>
    <row r="661" spans="13:14" x14ac:dyDescent="0.25">
      <c r="M661" s="213">
        <f t="shared" si="22"/>
        <v>0.65900000000000047</v>
      </c>
      <c r="N661" s="22">
        <f t="shared" si="20"/>
        <v>0.97991315979343474</v>
      </c>
    </row>
    <row r="662" spans="13:14" x14ac:dyDescent="0.25">
      <c r="M662" s="213">
        <f t="shared" si="22"/>
        <v>0.66000000000000048</v>
      </c>
      <c r="N662" s="22">
        <f t="shared" si="20"/>
        <v>0.98018550959999962</v>
      </c>
    </row>
    <row r="663" spans="13:14" x14ac:dyDescent="0.25">
      <c r="M663" s="213">
        <f t="shared" si="22"/>
        <v>0.66100000000000048</v>
      </c>
      <c r="N663" s="22">
        <f t="shared" si="20"/>
        <v>0.98045733475023544</v>
      </c>
    </row>
    <row r="664" spans="13:14" x14ac:dyDescent="0.25">
      <c r="M664" s="213">
        <f t="shared" si="22"/>
        <v>0.66200000000000048</v>
      </c>
      <c r="N664" s="22">
        <f t="shared" si="20"/>
        <v>0.98072863302456037</v>
      </c>
    </row>
    <row r="665" spans="13:14" x14ac:dyDescent="0.25">
      <c r="M665" s="213">
        <f t="shared" si="22"/>
        <v>0.66300000000000048</v>
      </c>
      <c r="N665" s="22">
        <f t="shared" si="20"/>
        <v>0.98099940210343517</v>
      </c>
    </row>
    <row r="666" spans="13:14" x14ac:dyDescent="0.25">
      <c r="M666" s="213">
        <f t="shared" si="22"/>
        <v>0.66400000000000048</v>
      </c>
      <c r="N666" s="22">
        <f t="shared" si="20"/>
        <v>0.98126963956736057</v>
      </c>
    </row>
    <row r="667" spans="13:14" x14ac:dyDescent="0.25">
      <c r="M667" s="213">
        <f t="shared" si="22"/>
        <v>0.66500000000000048</v>
      </c>
      <c r="N667" s="22">
        <f t="shared" si="20"/>
        <v>0.98153934289687506</v>
      </c>
    </row>
    <row r="668" spans="13:14" x14ac:dyDescent="0.25">
      <c r="M668" s="213">
        <f t="shared" si="22"/>
        <v>0.66600000000000048</v>
      </c>
      <c r="N668" s="22">
        <f t="shared" si="20"/>
        <v>0.98180850947256015</v>
      </c>
    </row>
    <row r="669" spans="13:14" x14ac:dyDescent="0.25">
      <c r="M669" s="213">
        <f t="shared" si="22"/>
        <v>0.66700000000000048</v>
      </c>
      <c r="N669" s="22">
        <f t="shared" si="20"/>
        <v>0.98207713657503559</v>
      </c>
    </row>
    <row r="670" spans="13:14" x14ac:dyDescent="0.25">
      <c r="M670" s="213">
        <f t="shared" si="22"/>
        <v>0.66800000000000048</v>
      </c>
      <c r="N670" s="22">
        <f t="shared" si="20"/>
        <v>0.98234522138496061</v>
      </c>
    </row>
    <row r="671" spans="13:14" x14ac:dyDescent="0.25">
      <c r="M671" s="213">
        <f t="shared" si="22"/>
        <v>0.66900000000000048</v>
      </c>
      <c r="N671" s="22">
        <f t="shared" si="20"/>
        <v>0.98261276098303574</v>
      </c>
    </row>
    <row r="672" spans="13:14" x14ac:dyDescent="0.25">
      <c r="M672" s="213">
        <f t="shared" si="22"/>
        <v>0.67000000000000048</v>
      </c>
      <c r="N672" s="22">
        <f t="shared" si="20"/>
        <v>0.98287975235000014</v>
      </c>
    </row>
    <row r="673" spans="13:14" x14ac:dyDescent="0.25">
      <c r="M673" s="213">
        <f t="shared" si="22"/>
        <v>0.67100000000000048</v>
      </c>
      <c r="N673" s="22">
        <f t="shared" si="20"/>
        <v>0.98314619236663514</v>
      </c>
    </row>
    <row r="674" spans="13:14" x14ac:dyDescent="0.25">
      <c r="M674" s="213">
        <f t="shared" si="22"/>
        <v>0.67200000000000049</v>
      </c>
      <c r="N674" s="22">
        <f t="shared" si="20"/>
        <v>0.98341207781375983</v>
      </c>
    </row>
    <row r="675" spans="13:14" x14ac:dyDescent="0.25">
      <c r="M675" s="213">
        <f t="shared" si="22"/>
        <v>0.67300000000000049</v>
      </c>
      <c r="N675" s="22">
        <f t="shared" si="20"/>
        <v>0.98367740537223458</v>
      </c>
    </row>
    <row r="676" spans="13:14" x14ac:dyDescent="0.25">
      <c r="M676" s="213">
        <f t="shared" si="22"/>
        <v>0.67400000000000049</v>
      </c>
      <c r="N676" s="22">
        <f t="shared" si="20"/>
        <v>0.98394217162295972</v>
      </c>
    </row>
    <row r="677" spans="13:14" x14ac:dyDescent="0.25">
      <c r="M677" s="213">
        <f t="shared" si="22"/>
        <v>0.67500000000000049</v>
      </c>
      <c r="N677" s="22">
        <f t="shared" si="20"/>
        <v>0.98420637304687508</v>
      </c>
    </row>
    <row r="678" spans="13:14" x14ac:dyDescent="0.25">
      <c r="M678" s="213">
        <f t="shared" si="22"/>
        <v>0.67600000000000049</v>
      </c>
      <c r="N678" s="22">
        <f t="shared" si="20"/>
        <v>0.98447000602496093</v>
      </c>
    </row>
    <row r="679" spans="13:14" x14ac:dyDescent="0.25">
      <c r="M679" s="213">
        <f t="shared" si="22"/>
        <v>0.67700000000000049</v>
      </c>
      <c r="N679" s="22">
        <f t="shared" si="20"/>
        <v>0.98473306683823436</v>
      </c>
    </row>
    <row r="680" spans="13:14" x14ac:dyDescent="0.25">
      <c r="M680" s="213">
        <f t="shared" si="22"/>
        <v>0.67800000000000049</v>
      </c>
      <c r="N680" s="22">
        <f t="shared" si="20"/>
        <v>0.98499555166776043</v>
      </c>
    </row>
    <row r="681" spans="13:14" x14ac:dyDescent="0.25">
      <c r="M681" s="213">
        <f t="shared" si="22"/>
        <v>0.67900000000000049</v>
      </c>
      <c r="N681" s="22">
        <f t="shared" si="20"/>
        <v>0.98525745659463571</v>
      </c>
    </row>
    <row r="682" spans="13:14" x14ac:dyDescent="0.25">
      <c r="M682" s="213">
        <f t="shared" si="22"/>
        <v>0.68000000000000049</v>
      </c>
      <c r="N682" s="22">
        <f t="shared" si="20"/>
        <v>0.98551877760000028</v>
      </c>
    </row>
    <row r="683" spans="13:14" x14ac:dyDescent="0.25">
      <c r="M683" s="213">
        <f t="shared" si="22"/>
        <v>0.68100000000000049</v>
      </c>
      <c r="N683" s="22">
        <f t="shared" si="20"/>
        <v>0.98577951056503554</v>
      </c>
    </row>
    <row r="684" spans="13:14" x14ac:dyDescent="0.25">
      <c r="M684" s="213">
        <f t="shared" si="22"/>
        <v>0.68200000000000049</v>
      </c>
      <c r="N684" s="22">
        <f t="shared" si="20"/>
        <v>0.98603965127096105</v>
      </c>
    </row>
    <row r="685" spans="13:14" x14ac:dyDescent="0.25">
      <c r="M685" s="213">
        <f t="shared" si="22"/>
        <v>0.6830000000000005</v>
      </c>
      <c r="N685" s="22">
        <f t="shared" si="20"/>
        <v>0.98629919539903543</v>
      </c>
    </row>
    <row r="686" spans="13:14" x14ac:dyDescent="0.25">
      <c r="M686" s="213">
        <f t="shared" si="22"/>
        <v>0.6840000000000005</v>
      </c>
      <c r="N686" s="22">
        <f t="shared" si="20"/>
        <v>0.98655813853056085</v>
      </c>
    </row>
    <row r="687" spans="13:14" x14ac:dyDescent="0.25">
      <c r="M687" s="213">
        <f t="shared" si="22"/>
        <v>0.6850000000000005</v>
      </c>
      <c r="N687" s="22">
        <f t="shared" si="20"/>
        <v>0.9868164761468754</v>
      </c>
    </row>
    <row r="688" spans="13:14" x14ac:dyDescent="0.25">
      <c r="M688" s="213">
        <f t="shared" si="22"/>
        <v>0.6860000000000005</v>
      </c>
      <c r="N688" s="22">
        <f t="shared" si="20"/>
        <v>0.98707420362936027</v>
      </c>
    </row>
    <row r="689" spans="13:14" x14ac:dyDescent="0.25">
      <c r="M689" s="213">
        <f t="shared" si="22"/>
        <v>0.6870000000000005</v>
      </c>
      <c r="N689" s="22">
        <f t="shared" si="20"/>
        <v>0.98733131625943527</v>
      </c>
    </row>
    <row r="690" spans="13:14" x14ac:dyDescent="0.25">
      <c r="M690" s="213">
        <f t="shared" si="22"/>
        <v>0.6880000000000005</v>
      </c>
      <c r="N690" s="22">
        <f t="shared" si="20"/>
        <v>0.98758780921856015</v>
      </c>
    </row>
    <row r="691" spans="13:14" x14ac:dyDescent="0.25">
      <c r="M691" s="213">
        <f t="shared" si="22"/>
        <v>0.6890000000000005</v>
      </c>
      <c r="N691" s="22">
        <f t="shared" si="20"/>
        <v>0.9878436775882351</v>
      </c>
    </row>
    <row r="692" spans="13:14" x14ac:dyDescent="0.25">
      <c r="M692" s="213">
        <f t="shared" si="22"/>
        <v>0.6900000000000005</v>
      </c>
      <c r="N692" s="22">
        <f t="shared" si="20"/>
        <v>0.98809891635000113</v>
      </c>
    </row>
    <row r="693" spans="13:14" x14ac:dyDescent="0.25">
      <c r="M693" s="213">
        <f t="shared" si="22"/>
        <v>0.6910000000000005</v>
      </c>
      <c r="N693" s="22">
        <f t="shared" si="20"/>
        <v>0.98835352038543567</v>
      </c>
    </row>
    <row r="694" spans="13:14" x14ac:dyDescent="0.25">
      <c r="M694" s="213">
        <f t="shared" si="22"/>
        <v>0.6920000000000005</v>
      </c>
      <c r="N694" s="22">
        <f t="shared" si="20"/>
        <v>0.98860748447616054</v>
      </c>
    </row>
    <row r="695" spans="13:14" x14ac:dyDescent="0.25">
      <c r="M695" s="213">
        <f t="shared" si="22"/>
        <v>0.6930000000000005</v>
      </c>
      <c r="N695" s="22">
        <f t="shared" si="20"/>
        <v>0.98886080330383441</v>
      </c>
    </row>
    <row r="696" spans="13:14" x14ac:dyDescent="0.25">
      <c r="M696" s="213">
        <f t="shared" si="22"/>
        <v>0.69400000000000051</v>
      </c>
      <c r="N696" s="22">
        <f t="shared" si="20"/>
        <v>0.98911347145016038</v>
      </c>
    </row>
    <row r="697" spans="13:14" x14ac:dyDescent="0.25">
      <c r="M697" s="213">
        <f t="shared" si="22"/>
        <v>0.69500000000000051</v>
      </c>
      <c r="N697" s="22">
        <f t="shared" si="20"/>
        <v>0.98936548339687436</v>
      </c>
    </row>
    <row r="698" spans="13:14" x14ac:dyDescent="0.25">
      <c r="M698" s="213">
        <f t="shared" si="22"/>
        <v>0.69600000000000051</v>
      </c>
      <c r="N698" s="22">
        <f t="shared" si="20"/>
        <v>0.9896168335257598</v>
      </c>
    </row>
    <row r="699" spans="13:14" x14ac:dyDescent="0.25">
      <c r="M699" s="213">
        <f t="shared" si="22"/>
        <v>0.69700000000000051</v>
      </c>
      <c r="N699" s="22">
        <f t="shared" si="20"/>
        <v>0.98986751611863522</v>
      </c>
    </row>
    <row r="700" spans="13:14" x14ac:dyDescent="0.25">
      <c r="M700" s="213">
        <f t="shared" si="22"/>
        <v>0.69800000000000051</v>
      </c>
      <c r="N700" s="22">
        <f t="shared" si="20"/>
        <v>0.99011752535736042</v>
      </c>
    </row>
    <row r="701" spans="13:14" x14ac:dyDescent="0.25">
      <c r="M701" s="213">
        <f t="shared" si="22"/>
        <v>0.69900000000000051</v>
      </c>
      <c r="N701" s="22">
        <f t="shared" si="20"/>
        <v>0.99036685532383517</v>
      </c>
    </row>
    <row r="702" spans="13:14" x14ac:dyDescent="0.25">
      <c r="M702" s="213">
        <f t="shared" si="22"/>
        <v>0.70000000000000051</v>
      </c>
      <c r="N702" s="22">
        <f t="shared" si="20"/>
        <v>0.99061550000000009</v>
      </c>
    </row>
    <row r="703" spans="13:14" x14ac:dyDescent="0.25">
      <c r="M703" s="213">
        <f t="shared" si="22"/>
        <v>0.70100000000000051</v>
      </c>
      <c r="N703" s="22">
        <f t="shared" si="20"/>
        <v>0.99086345326783531</v>
      </c>
    </row>
    <row r="704" spans="13:14" x14ac:dyDescent="0.25">
      <c r="M704" s="213">
        <f t="shared" si="22"/>
        <v>0.70200000000000051</v>
      </c>
      <c r="N704" s="22">
        <f t="shared" si="20"/>
        <v>0.99111070890936048</v>
      </c>
    </row>
    <row r="705" spans="13:14" x14ac:dyDescent="0.25">
      <c r="M705" s="213">
        <f t="shared" si="22"/>
        <v>0.70300000000000051</v>
      </c>
      <c r="N705" s="22">
        <f t="shared" si="20"/>
        <v>0.99135726060663565</v>
      </c>
    </row>
    <row r="706" spans="13:14" x14ac:dyDescent="0.25">
      <c r="M706" s="213">
        <f t="shared" si="22"/>
        <v>0.70400000000000051</v>
      </c>
      <c r="N706" s="22">
        <f t="shared" si="20"/>
        <v>0.99160310194176082</v>
      </c>
    </row>
    <row r="707" spans="13:14" x14ac:dyDescent="0.25">
      <c r="M707" s="213">
        <f t="shared" si="22"/>
        <v>0.70500000000000052</v>
      </c>
      <c r="N707" s="22">
        <f t="shared" ref="N707:N770" si="23">-4.165*M707^4+10.634*M707^3-10.432*M707^2+4.9355*M707</f>
        <v>0.99184822639687509</v>
      </c>
    </row>
    <row r="708" spans="13:14" x14ac:dyDescent="0.25">
      <c r="M708" s="213">
        <f t="shared" si="22"/>
        <v>0.70600000000000052</v>
      </c>
      <c r="N708" s="22">
        <f t="shared" si="23"/>
        <v>0.99209262735416059</v>
      </c>
    </row>
    <row r="709" spans="13:14" x14ac:dyDescent="0.25">
      <c r="M709" s="213">
        <f t="shared" si="22"/>
        <v>0.70700000000000052</v>
      </c>
      <c r="N709" s="22">
        <f t="shared" si="23"/>
        <v>0.99233629809583501</v>
      </c>
    </row>
    <row r="710" spans="13:14" x14ac:dyDescent="0.25">
      <c r="M710" s="213">
        <f t="shared" si="22"/>
        <v>0.70800000000000052</v>
      </c>
      <c r="N710" s="22">
        <f t="shared" si="23"/>
        <v>0.99257923180415997</v>
      </c>
    </row>
    <row r="711" spans="13:14" x14ac:dyDescent="0.25">
      <c r="M711" s="213">
        <f t="shared" si="22"/>
        <v>0.70900000000000052</v>
      </c>
      <c r="N711" s="22">
        <f t="shared" si="23"/>
        <v>0.99282142156143527</v>
      </c>
    </row>
    <row r="712" spans="13:14" x14ac:dyDescent="0.25">
      <c r="M712" s="213">
        <f t="shared" si="22"/>
        <v>0.71000000000000052</v>
      </c>
      <c r="N712" s="22">
        <f t="shared" si="23"/>
        <v>0.99306286035000069</v>
      </c>
    </row>
    <row r="713" spans="13:14" x14ac:dyDescent="0.25">
      <c r="M713" s="213">
        <f t="shared" si="22"/>
        <v>0.71100000000000052</v>
      </c>
      <c r="N713" s="22">
        <f t="shared" si="23"/>
        <v>0.99330354105223506</v>
      </c>
    </row>
    <row r="714" spans="13:14" x14ac:dyDescent="0.25">
      <c r="M714" s="213">
        <f t="shared" si="22"/>
        <v>0.71200000000000052</v>
      </c>
      <c r="N714" s="22">
        <f t="shared" si="23"/>
        <v>0.99354345645056075</v>
      </c>
    </row>
    <row r="715" spans="13:14" x14ac:dyDescent="0.25">
      <c r="M715" s="213">
        <f t="shared" si="22"/>
        <v>0.71300000000000052</v>
      </c>
      <c r="N715" s="22">
        <f t="shared" si="23"/>
        <v>0.99378259922743517</v>
      </c>
    </row>
    <row r="716" spans="13:14" x14ac:dyDescent="0.25">
      <c r="M716" s="213">
        <f t="shared" si="22"/>
        <v>0.71400000000000052</v>
      </c>
      <c r="N716" s="22">
        <f t="shared" si="23"/>
        <v>0.99402096196536105</v>
      </c>
    </row>
    <row r="717" spans="13:14" x14ac:dyDescent="0.25">
      <c r="M717" s="213">
        <f t="shared" si="22"/>
        <v>0.71500000000000052</v>
      </c>
      <c r="N717" s="22">
        <f t="shared" si="23"/>
        <v>0.99425853714687529</v>
      </c>
    </row>
    <row r="718" spans="13:14" x14ac:dyDescent="0.25">
      <c r="M718" s="213">
        <f t="shared" si="22"/>
        <v>0.71600000000000052</v>
      </c>
      <c r="N718" s="22">
        <f t="shared" si="23"/>
        <v>0.99449531715456008</v>
      </c>
    </row>
    <row r="719" spans="13:14" x14ac:dyDescent="0.25">
      <c r="M719" s="213">
        <f t="shared" si="22"/>
        <v>0.71700000000000053</v>
      </c>
      <c r="N719" s="22">
        <f t="shared" si="23"/>
        <v>0.99473129427103446</v>
      </c>
    </row>
    <row r="720" spans="13:14" x14ac:dyDescent="0.25">
      <c r="M720" s="213">
        <f t="shared" si="22"/>
        <v>0.71800000000000053</v>
      </c>
      <c r="N720" s="22">
        <f t="shared" si="23"/>
        <v>0.99496646067896011</v>
      </c>
    </row>
    <row r="721" spans="13:14" x14ac:dyDescent="0.25">
      <c r="M721" s="213">
        <f t="shared" si="22"/>
        <v>0.71900000000000053</v>
      </c>
      <c r="N721" s="22">
        <f t="shared" si="23"/>
        <v>0.99520080846103598</v>
      </c>
    </row>
    <row r="722" spans="13:14" x14ac:dyDescent="0.25">
      <c r="M722" s="213">
        <f t="shared" si="22"/>
        <v>0.72000000000000053</v>
      </c>
      <c r="N722" s="222">
        <f t="shared" si="23"/>
        <v>0.99543432960000011</v>
      </c>
    </row>
    <row r="723" spans="13:14" x14ac:dyDescent="0.25">
      <c r="M723" s="213">
        <f t="shared" ref="M723:M785" si="24">M722+0.1%</f>
        <v>0.72100000000000053</v>
      </c>
      <c r="N723" s="22">
        <f t="shared" si="23"/>
        <v>0.99566701597863538</v>
      </c>
    </row>
    <row r="724" spans="13:14" x14ac:dyDescent="0.25">
      <c r="M724" s="213">
        <f t="shared" si="24"/>
        <v>0.72200000000000053</v>
      </c>
      <c r="N724" s="22">
        <f t="shared" si="23"/>
        <v>0.99589885937976019</v>
      </c>
    </row>
    <row r="725" spans="13:14" x14ac:dyDescent="0.25">
      <c r="M725" s="213">
        <f t="shared" si="24"/>
        <v>0.72300000000000053</v>
      </c>
      <c r="N725" s="22">
        <f t="shared" si="23"/>
        <v>0.99612985148623512</v>
      </c>
    </row>
    <row r="726" spans="13:14" x14ac:dyDescent="0.25">
      <c r="M726" s="213">
        <f t="shared" si="24"/>
        <v>0.72400000000000053</v>
      </c>
      <c r="N726" s="22">
        <f t="shared" si="23"/>
        <v>0.99635998388095981</v>
      </c>
    </row>
    <row r="727" spans="13:14" x14ac:dyDescent="0.25">
      <c r="M727" s="213">
        <f t="shared" si="24"/>
        <v>0.72500000000000053</v>
      </c>
      <c r="N727" s="22">
        <f t="shared" si="23"/>
        <v>0.99658924804687521</v>
      </c>
    </row>
    <row r="728" spans="13:14" x14ac:dyDescent="0.25">
      <c r="M728" s="213">
        <f t="shared" si="24"/>
        <v>0.72600000000000053</v>
      </c>
      <c r="N728" s="22">
        <f t="shared" si="23"/>
        <v>0.99681763536695955</v>
      </c>
    </row>
    <row r="729" spans="13:14" x14ac:dyDescent="0.25">
      <c r="M729" s="213">
        <f t="shared" si="24"/>
        <v>0.72700000000000053</v>
      </c>
      <c r="N729" s="22">
        <f t="shared" si="23"/>
        <v>0.99704513712423504</v>
      </c>
    </row>
    <row r="730" spans="13:14" x14ac:dyDescent="0.25">
      <c r="M730" s="213">
        <f t="shared" si="24"/>
        <v>0.72800000000000054</v>
      </c>
      <c r="N730" s="22">
        <f t="shared" si="23"/>
        <v>0.99727174450175982</v>
      </c>
    </row>
    <row r="731" spans="13:14" x14ac:dyDescent="0.25">
      <c r="M731" s="213">
        <f t="shared" si="24"/>
        <v>0.72900000000000054</v>
      </c>
      <c r="N731" s="22">
        <f t="shared" si="23"/>
        <v>0.99749744858263423</v>
      </c>
    </row>
    <row r="732" spans="13:14" x14ac:dyDescent="0.25">
      <c r="M732" s="213">
        <f t="shared" si="24"/>
        <v>0.73000000000000054</v>
      </c>
      <c r="N732" s="22">
        <f t="shared" si="23"/>
        <v>0.9977222403499999</v>
      </c>
    </row>
    <row r="733" spans="13:14" x14ac:dyDescent="0.25">
      <c r="M733" s="213">
        <f t="shared" si="24"/>
        <v>0.73100000000000054</v>
      </c>
      <c r="N733" s="22">
        <f t="shared" si="23"/>
        <v>0.99794611068703576</v>
      </c>
    </row>
    <row r="734" spans="13:14" x14ac:dyDescent="0.25">
      <c r="M734" s="213">
        <f t="shared" si="24"/>
        <v>0.73200000000000054</v>
      </c>
      <c r="N734" s="22">
        <f t="shared" si="23"/>
        <v>0.99816905037696069</v>
      </c>
    </row>
    <row r="735" spans="13:14" x14ac:dyDescent="0.25">
      <c r="M735" s="213">
        <f t="shared" si="24"/>
        <v>0.73300000000000054</v>
      </c>
      <c r="N735" s="22">
        <f t="shared" si="23"/>
        <v>0.9983910501030353</v>
      </c>
    </row>
    <row r="736" spans="13:14" x14ac:dyDescent="0.25">
      <c r="M736" s="213">
        <f t="shared" si="24"/>
        <v>0.73400000000000054</v>
      </c>
      <c r="N736" s="22">
        <f t="shared" si="23"/>
        <v>0.99861210044856019</v>
      </c>
    </row>
    <row r="737" spans="13:14" x14ac:dyDescent="0.25">
      <c r="M737" s="213">
        <f t="shared" si="24"/>
        <v>0.73500000000000054</v>
      </c>
      <c r="N737" s="22">
        <f t="shared" si="23"/>
        <v>0.99883219189687411</v>
      </c>
    </row>
    <row r="738" spans="13:14" x14ac:dyDescent="0.25">
      <c r="M738" s="213">
        <f t="shared" si="24"/>
        <v>0.73600000000000054</v>
      </c>
      <c r="N738" s="22">
        <f t="shared" si="23"/>
        <v>0.99905131483135978</v>
      </c>
    </row>
    <row r="739" spans="13:14" x14ac:dyDescent="0.25">
      <c r="M739" s="213">
        <f t="shared" si="24"/>
        <v>0.73700000000000054</v>
      </c>
      <c r="N739" s="22">
        <f t="shared" si="23"/>
        <v>0.99926945953543544</v>
      </c>
    </row>
    <row r="740" spans="13:14" x14ac:dyDescent="0.25">
      <c r="M740" s="213">
        <f t="shared" si="24"/>
        <v>0.73800000000000054</v>
      </c>
      <c r="N740" s="22">
        <f t="shared" si="23"/>
        <v>0.99948661619256063</v>
      </c>
    </row>
    <row r="741" spans="13:14" x14ac:dyDescent="0.25">
      <c r="M741" s="213">
        <f t="shared" si="24"/>
        <v>0.73900000000000055</v>
      </c>
      <c r="N741" s="22">
        <f t="shared" si="23"/>
        <v>0.99970277488623527</v>
      </c>
    </row>
    <row r="742" spans="13:14" x14ac:dyDescent="0.25">
      <c r="M742" s="213">
        <f t="shared" si="24"/>
        <v>0.74000000000000055</v>
      </c>
      <c r="N742" s="22">
        <f t="shared" si="23"/>
        <v>0.99991792560000059</v>
      </c>
    </row>
    <row r="743" spans="13:14" x14ac:dyDescent="0.25">
      <c r="M743" s="213">
        <f t="shared" si="24"/>
        <v>0.74100000000000055</v>
      </c>
      <c r="N743" s="22">
        <f t="shared" si="23"/>
        <v>1.0001320582174356</v>
      </c>
    </row>
    <row r="744" spans="13:14" x14ac:dyDescent="0.25">
      <c r="M744" s="213">
        <f t="shared" si="24"/>
        <v>0.74200000000000055</v>
      </c>
      <c r="N744" s="22">
        <f t="shared" si="23"/>
        <v>1.0003451625221595</v>
      </c>
    </row>
    <row r="745" spans="13:14" x14ac:dyDescent="0.25">
      <c r="M745" s="213">
        <f t="shared" si="24"/>
        <v>0.74300000000000055</v>
      </c>
      <c r="N745" s="22">
        <f t="shared" si="23"/>
        <v>1.0005572281978363</v>
      </c>
    </row>
    <row r="746" spans="13:14" x14ac:dyDescent="0.25">
      <c r="M746" s="213">
        <f t="shared" si="24"/>
        <v>0.74400000000000055</v>
      </c>
      <c r="N746" s="22">
        <f t="shared" si="23"/>
        <v>1.0007682448281598</v>
      </c>
    </row>
    <row r="747" spans="13:14" x14ac:dyDescent="0.25">
      <c r="M747" s="213">
        <f t="shared" si="24"/>
        <v>0.74500000000000055</v>
      </c>
      <c r="N747" s="22">
        <f t="shared" si="23"/>
        <v>1.0009782018968756</v>
      </c>
    </row>
    <row r="748" spans="13:14" x14ac:dyDescent="0.25">
      <c r="M748" s="213">
        <f t="shared" si="24"/>
        <v>0.74600000000000055</v>
      </c>
      <c r="N748" s="22">
        <f t="shared" si="23"/>
        <v>1.0011870887877601</v>
      </c>
    </row>
    <row r="749" spans="13:14" x14ac:dyDescent="0.25">
      <c r="M749" s="213">
        <f t="shared" si="24"/>
        <v>0.74700000000000055</v>
      </c>
      <c r="N749" s="22">
        <f t="shared" si="23"/>
        <v>1.0013948947846343</v>
      </c>
    </row>
    <row r="750" spans="13:14" x14ac:dyDescent="0.25">
      <c r="M750" s="213">
        <f t="shared" si="24"/>
        <v>0.74800000000000055</v>
      </c>
      <c r="N750" s="22">
        <f t="shared" si="23"/>
        <v>1.0016016090713613</v>
      </c>
    </row>
    <row r="751" spans="13:14" x14ac:dyDescent="0.25">
      <c r="M751" s="213">
        <f t="shared" si="24"/>
        <v>0.74900000000000055</v>
      </c>
      <c r="N751" s="22">
        <f t="shared" si="23"/>
        <v>1.0018072207318345</v>
      </c>
    </row>
    <row r="752" spans="13:14" x14ac:dyDescent="0.25">
      <c r="M752" s="213">
        <f t="shared" si="24"/>
        <v>0.75000000000000056</v>
      </c>
      <c r="N752" s="22">
        <f t="shared" si="23"/>
        <v>1.0020117187499999</v>
      </c>
    </row>
    <row r="753" spans="13:14" x14ac:dyDescent="0.25">
      <c r="M753" s="213">
        <f t="shared" si="24"/>
        <v>0.75100000000000056</v>
      </c>
      <c r="N753" s="22">
        <f t="shared" si="23"/>
        <v>1.0022150920098345</v>
      </c>
    </row>
    <row r="754" spans="13:14" x14ac:dyDescent="0.25">
      <c r="M754" s="213">
        <f t="shared" si="24"/>
        <v>0.75200000000000056</v>
      </c>
      <c r="N754" s="22">
        <f t="shared" si="23"/>
        <v>1.0024173292953602</v>
      </c>
    </row>
    <row r="755" spans="13:14" x14ac:dyDescent="0.25">
      <c r="M755" s="213">
        <f t="shared" si="24"/>
        <v>0.75300000000000056</v>
      </c>
      <c r="N755" s="22">
        <f t="shared" si="23"/>
        <v>1.0026184192906351</v>
      </c>
    </row>
    <row r="756" spans="13:14" x14ac:dyDescent="0.25">
      <c r="M756" s="213">
        <f t="shared" si="24"/>
        <v>0.75400000000000056</v>
      </c>
      <c r="N756" s="22">
        <f t="shared" si="23"/>
        <v>1.0028183505797608</v>
      </c>
    </row>
    <row r="757" spans="13:14" x14ac:dyDescent="0.25">
      <c r="M757" s="213">
        <f t="shared" si="24"/>
        <v>0.75500000000000056</v>
      </c>
      <c r="N757" s="22">
        <f t="shared" si="23"/>
        <v>1.0030171116468747</v>
      </c>
    </row>
    <row r="758" spans="13:14" x14ac:dyDescent="0.25">
      <c r="M758" s="213">
        <f t="shared" si="24"/>
        <v>0.75600000000000056</v>
      </c>
      <c r="N758" s="22">
        <f t="shared" si="23"/>
        <v>1.0032146908761606</v>
      </c>
    </row>
    <row r="759" spans="13:14" x14ac:dyDescent="0.25">
      <c r="M759" s="213">
        <f t="shared" si="24"/>
        <v>0.75700000000000056</v>
      </c>
      <c r="N759" s="22">
        <f t="shared" si="23"/>
        <v>1.0034110765518358</v>
      </c>
    </row>
    <row r="760" spans="13:14" x14ac:dyDescent="0.25">
      <c r="M760" s="213">
        <f t="shared" si="24"/>
        <v>0.75800000000000056</v>
      </c>
      <c r="N760" s="22">
        <f t="shared" si="23"/>
        <v>1.0036062568581596</v>
      </c>
    </row>
    <row r="761" spans="13:14" x14ac:dyDescent="0.25">
      <c r="M761" s="213">
        <f t="shared" si="24"/>
        <v>0.75900000000000056</v>
      </c>
      <c r="N761" s="22">
        <f t="shared" si="23"/>
        <v>1.0038002198794351</v>
      </c>
    </row>
    <row r="762" spans="13:14" x14ac:dyDescent="0.25">
      <c r="M762" s="213">
        <f t="shared" si="24"/>
        <v>0.76000000000000056</v>
      </c>
      <c r="N762" s="22">
        <f t="shared" si="23"/>
        <v>1.0039929536000001</v>
      </c>
    </row>
    <row r="763" spans="13:14" x14ac:dyDescent="0.25">
      <c r="M763" s="213">
        <f t="shared" si="24"/>
        <v>0.76100000000000056</v>
      </c>
      <c r="N763" s="22">
        <f t="shared" si="23"/>
        <v>1.0041844459042348</v>
      </c>
    </row>
    <row r="764" spans="13:14" x14ac:dyDescent="0.25">
      <c r="M764" s="213">
        <f t="shared" si="24"/>
        <v>0.76200000000000057</v>
      </c>
      <c r="N764" s="22">
        <f t="shared" si="23"/>
        <v>1.0043746845765607</v>
      </c>
    </row>
    <row r="765" spans="13:14" x14ac:dyDescent="0.25">
      <c r="M765" s="213">
        <f t="shared" si="24"/>
        <v>0.76300000000000057</v>
      </c>
      <c r="N765" s="22">
        <f t="shared" si="23"/>
        <v>1.0045636573014356</v>
      </c>
    </row>
    <row r="766" spans="13:14" x14ac:dyDescent="0.25">
      <c r="M766" s="213">
        <f t="shared" si="24"/>
        <v>0.76400000000000057</v>
      </c>
      <c r="N766" s="22">
        <f t="shared" si="23"/>
        <v>1.0047513516633604</v>
      </c>
    </row>
    <row r="767" spans="13:14" x14ac:dyDescent="0.25">
      <c r="M767" s="213">
        <f t="shared" si="24"/>
        <v>0.76500000000000057</v>
      </c>
      <c r="N767" s="22">
        <f t="shared" si="23"/>
        <v>1.0049377551468757</v>
      </c>
    </row>
    <row r="768" spans="13:14" x14ac:dyDescent="0.25">
      <c r="M768" s="213">
        <f t="shared" si="24"/>
        <v>0.76600000000000057</v>
      </c>
      <c r="N768" s="22">
        <f t="shared" si="23"/>
        <v>1.0051228551365612</v>
      </c>
    </row>
    <row r="769" spans="13:14" x14ac:dyDescent="0.25">
      <c r="M769" s="213">
        <f t="shared" si="24"/>
        <v>0.76700000000000057</v>
      </c>
      <c r="N769" s="22">
        <f t="shared" si="23"/>
        <v>1.0053066389170353</v>
      </c>
    </row>
    <row r="770" spans="13:14" x14ac:dyDescent="0.25">
      <c r="M770" s="213">
        <f t="shared" si="24"/>
        <v>0.76800000000000057</v>
      </c>
      <c r="N770" s="22">
        <f t="shared" si="23"/>
        <v>1.0054890936729599</v>
      </c>
    </row>
    <row r="771" spans="13:14" x14ac:dyDescent="0.25">
      <c r="M771" s="213">
        <f t="shared" si="24"/>
        <v>0.76900000000000057</v>
      </c>
      <c r="N771" s="22">
        <f t="shared" ref="N771:N785" si="25">-4.165*M771^4+10.634*M771^3-10.432*M771^2+4.9355*M771</f>
        <v>1.005670206489035</v>
      </c>
    </row>
    <row r="772" spans="13:14" x14ac:dyDescent="0.25">
      <c r="M772" s="213">
        <f t="shared" si="24"/>
        <v>0.77000000000000057</v>
      </c>
      <c r="N772" s="22">
        <f t="shared" si="25"/>
        <v>1.0058499643500003</v>
      </c>
    </row>
    <row r="773" spans="13:14" x14ac:dyDescent="0.25">
      <c r="M773" s="213">
        <f t="shared" si="24"/>
        <v>0.77100000000000057</v>
      </c>
      <c r="N773" s="22">
        <f t="shared" si="25"/>
        <v>1.0060283541406352</v>
      </c>
    </row>
    <row r="774" spans="13:14" x14ac:dyDescent="0.25">
      <c r="M774" s="213">
        <f t="shared" si="24"/>
        <v>0.77200000000000057</v>
      </c>
      <c r="N774" s="22">
        <f t="shared" si="25"/>
        <v>1.0062053626457605</v>
      </c>
    </row>
    <row r="775" spans="13:14" x14ac:dyDescent="0.25">
      <c r="M775" s="213">
        <f t="shared" si="24"/>
        <v>0.77300000000000058</v>
      </c>
      <c r="N775" s="22">
        <f t="shared" si="25"/>
        <v>1.0063809765502354</v>
      </c>
    </row>
    <row r="776" spans="13:14" x14ac:dyDescent="0.25">
      <c r="M776" s="213">
        <f t="shared" si="24"/>
        <v>0.77400000000000058</v>
      </c>
      <c r="N776" s="22">
        <f t="shared" si="25"/>
        <v>1.0065551824389596</v>
      </c>
    </row>
    <row r="777" spans="13:14" x14ac:dyDescent="0.25">
      <c r="M777" s="213">
        <f t="shared" si="24"/>
        <v>0.77500000000000058</v>
      </c>
      <c r="N777" s="22">
        <f t="shared" si="25"/>
        <v>1.0067279667968756</v>
      </c>
    </row>
    <row r="778" spans="13:14" x14ac:dyDescent="0.25">
      <c r="M778" s="213">
        <f t="shared" si="24"/>
        <v>0.77600000000000058</v>
      </c>
      <c r="N778" s="22">
        <f t="shared" si="25"/>
        <v>1.0068993160089597</v>
      </c>
    </row>
    <row r="779" spans="13:14" x14ac:dyDescent="0.25">
      <c r="M779" s="213">
        <f t="shared" si="24"/>
        <v>0.77700000000000058</v>
      </c>
      <c r="N779" s="22">
        <f t="shared" si="25"/>
        <v>1.0070692163602355</v>
      </c>
    </row>
    <row r="780" spans="13:14" x14ac:dyDescent="0.25">
      <c r="M780" s="213">
        <f t="shared" si="24"/>
        <v>0.77800000000000058</v>
      </c>
      <c r="N780" s="22">
        <f t="shared" si="25"/>
        <v>1.0072376540357606</v>
      </c>
    </row>
    <row r="781" spans="13:14" x14ac:dyDescent="0.25">
      <c r="M781" s="213">
        <f t="shared" si="24"/>
        <v>0.77900000000000058</v>
      </c>
      <c r="N781" s="22">
        <f t="shared" si="25"/>
        <v>1.0074046151206364</v>
      </c>
    </row>
    <row r="782" spans="13:14" x14ac:dyDescent="0.25">
      <c r="M782" s="213">
        <f t="shared" si="24"/>
        <v>0.78000000000000058</v>
      </c>
      <c r="N782" s="22">
        <f t="shared" si="25"/>
        <v>1.0075700855999998</v>
      </c>
    </row>
    <row r="783" spans="13:14" x14ac:dyDescent="0.25">
      <c r="M783" s="213">
        <f t="shared" si="24"/>
        <v>0.78100000000000058</v>
      </c>
      <c r="N783" s="22">
        <f t="shared" si="25"/>
        <v>1.0077340513590358</v>
      </c>
    </row>
    <row r="784" spans="13:14" x14ac:dyDescent="0.25">
      <c r="M784" s="213">
        <f t="shared" si="24"/>
        <v>0.78200000000000058</v>
      </c>
      <c r="N784" s="22">
        <f t="shared" si="25"/>
        <v>1.0078964981829595</v>
      </c>
    </row>
    <row r="785" spans="13:14" x14ac:dyDescent="0.25">
      <c r="M785" s="213">
        <f t="shared" si="24"/>
        <v>0.78300000000000058</v>
      </c>
      <c r="N785" s="22">
        <f t="shared" si="25"/>
        <v>1.0080574117570356</v>
      </c>
    </row>
  </sheetData>
  <mergeCells count="1">
    <mergeCell ref="J5:K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Forecast</vt:lpstr>
      <vt:lpstr>Savings Model</vt:lpstr>
      <vt:lpstr>Peak Breakdown</vt:lpstr>
      <vt:lpstr>% savings achievable</vt:lpstr>
      <vt:lpstr>GTA </vt:lpstr>
      <vt:lpstr>Apartment</vt:lpstr>
      <vt:lpstr>Commercial</vt:lpstr>
      <vt:lpstr>Industrial</vt:lpstr>
      <vt:lpstr>Residential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Wilson</dc:creator>
  <cp:lastModifiedBy>Wen Jie Li</cp:lastModifiedBy>
  <cp:lastPrinted>2013-04-11T17:48:51Z</cp:lastPrinted>
  <dcterms:created xsi:type="dcterms:W3CDTF">2013-04-10T11:51:03Z</dcterms:created>
  <dcterms:modified xsi:type="dcterms:W3CDTF">2013-07-19T20:37:30Z</dcterms:modified>
</cp:coreProperties>
</file>