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Summary" sheetId="7" r:id="rId1"/>
    <sheet name="Residential" sheetId="1" r:id="rId2"/>
    <sheet name="GS &lt; 50 kW" sheetId="4" r:id="rId3"/>
  </sheets>
  <externalReferences>
    <externalReference r:id="rId4"/>
  </externalReferences>
  <definedNames>
    <definedName name="EBNUMBER">'[1]LDC Info'!$E$16</definedName>
  </definedNames>
  <calcPr calcId="145621"/>
</workbook>
</file>

<file path=xl/calcChain.xml><?xml version="1.0" encoding="utf-8"?>
<calcChain xmlns="http://schemas.openxmlformats.org/spreadsheetml/2006/main">
  <c r="K5" i="7" l="1"/>
  <c r="J5" i="7"/>
  <c r="H5" i="7"/>
  <c r="G5" i="7"/>
  <c r="E5" i="7"/>
  <c r="D5" i="7"/>
  <c r="K4" i="7"/>
  <c r="J4" i="7"/>
  <c r="H4" i="7"/>
  <c r="G4" i="7"/>
  <c r="C5" i="7"/>
  <c r="B5" i="7"/>
  <c r="E4" i="7"/>
  <c r="D4" i="7"/>
  <c r="B4" i="7"/>
  <c r="O1" i="4"/>
  <c r="O7" i="1"/>
  <c r="O7" i="4" s="1"/>
  <c r="G59" i="4"/>
  <c r="H59" i="4" s="1"/>
  <c r="G58" i="4"/>
  <c r="K58" i="4" s="1"/>
  <c r="L58" i="4" s="1"/>
  <c r="K57" i="4"/>
  <c r="L57" i="4" s="1"/>
  <c r="G57" i="4"/>
  <c r="H57" i="4" s="1"/>
  <c r="G56" i="4"/>
  <c r="K56" i="4" s="1"/>
  <c r="L56" i="4" s="1"/>
  <c r="G55" i="4"/>
  <c r="H55" i="4" s="1"/>
  <c r="K54" i="4"/>
  <c r="L54" i="4" s="1"/>
  <c r="G54" i="4"/>
  <c r="H54" i="4" s="1"/>
  <c r="L53" i="4"/>
  <c r="H53" i="4"/>
  <c r="K48" i="4"/>
  <c r="L48" i="4" s="1"/>
  <c r="G48" i="4"/>
  <c r="G49" i="4" s="1"/>
  <c r="L46" i="4"/>
  <c r="N46" i="4" s="1"/>
  <c r="H46" i="4"/>
  <c r="K45" i="4"/>
  <c r="J45" i="4"/>
  <c r="G45" i="4"/>
  <c r="H45" i="4" s="1"/>
  <c r="F45" i="4"/>
  <c r="L44" i="4"/>
  <c r="N44" i="4" s="1"/>
  <c r="K44" i="4"/>
  <c r="H44" i="4"/>
  <c r="G44" i="4"/>
  <c r="L43" i="4"/>
  <c r="N43" i="4" s="1"/>
  <c r="K43" i="4"/>
  <c r="H43" i="4"/>
  <c r="O43" i="4" s="1"/>
  <c r="G43" i="4"/>
  <c r="L42" i="4"/>
  <c r="N42" i="4" s="1"/>
  <c r="K42" i="4"/>
  <c r="H42" i="4"/>
  <c r="O42" i="4" s="1"/>
  <c r="G42" i="4"/>
  <c r="L41" i="4"/>
  <c r="N41" i="4" s="1"/>
  <c r="K41" i="4"/>
  <c r="H41" i="4"/>
  <c r="G41" i="4"/>
  <c r="L40" i="4"/>
  <c r="N40" i="4" s="1"/>
  <c r="K40" i="4"/>
  <c r="H40" i="4"/>
  <c r="G40" i="4"/>
  <c r="L38" i="4"/>
  <c r="N38" i="4" s="1"/>
  <c r="K38" i="4"/>
  <c r="H38" i="4"/>
  <c r="O38" i="4" s="1"/>
  <c r="G38" i="4"/>
  <c r="L37" i="4"/>
  <c r="N37" i="4" s="1"/>
  <c r="K37" i="4"/>
  <c r="H37" i="4"/>
  <c r="O37" i="4" s="1"/>
  <c r="G37" i="4"/>
  <c r="L36" i="4"/>
  <c r="N36" i="4" s="1"/>
  <c r="K36" i="4"/>
  <c r="H36" i="4"/>
  <c r="O36" i="4" s="1"/>
  <c r="G36" i="4"/>
  <c r="L35" i="4"/>
  <c r="N35" i="4" s="1"/>
  <c r="K35" i="4"/>
  <c r="H35" i="4"/>
  <c r="O35" i="4" s="1"/>
  <c r="G35" i="4"/>
  <c r="L34" i="4"/>
  <c r="K34" i="4"/>
  <c r="H34" i="4"/>
  <c r="O34" i="4" s="1"/>
  <c r="G34" i="4"/>
  <c r="L33" i="4"/>
  <c r="K33" i="4"/>
  <c r="H33" i="4"/>
  <c r="O33" i="4" s="1"/>
  <c r="G33" i="4"/>
  <c r="L32" i="4"/>
  <c r="K32" i="4"/>
  <c r="H32" i="4"/>
  <c r="G32" i="4"/>
  <c r="L31" i="4"/>
  <c r="K31" i="4"/>
  <c r="H31" i="4"/>
  <c r="O31" i="4" s="1"/>
  <c r="G31" i="4"/>
  <c r="L30" i="4"/>
  <c r="K30" i="4"/>
  <c r="H30" i="4"/>
  <c r="O30" i="4" s="1"/>
  <c r="G30" i="4"/>
  <c r="L29" i="4"/>
  <c r="K29" i="4"/>
  <c r="H29" i="4"/>
  <c r="G29" i="4"/>
  <c r="O28" i="4"/>
  <c r="L28" i="4"/>
  <c r="N28" i="4" s="1"/>
  <c r="H28" i="4"/>
  <c r="O27" i="4"/>
  <c r="L27" i="4"/>
  <c r="N27" i="4" s="1"/>
  <c r="H27" i="4"/>
  <c r="O26" i="4"/>
  <c r="L26" i="4"/>
  <c r="N26" i="4" s="1"/>
  <c r="H26" i="4"/>
  <c r="O25" i="4"/>
  <c r="L25" i="4"/>
  <c r="N25" i="4" s="1"/>
  <c r="H25" i="4"/>
  <c r="O24" i="4"/>
  <c r="L24" i="4"/>
  <c r="N24" i="4" s="1"/>
  <c r="H24" i="4"/>
  <c r="L23" i="4"/>
  <c r="H23" i="4"/>
  <c r="H39" i="4" s="1"/>
  <c r="K59" i="1"/>
  <c r="L59" i="1" s="1"/>
  <c r="N59" i="1" s="1"/>
  <c r="G59" i="1"/>
  <c r="H59" i="1" s="1"/>
  <c r="G58" i="1"/>
  <c r="K58" i="1" s="1"/>
  <c r="L58" i="1" s="1"/>
  <c r="K57" i="1"/>
  <c r="L57" i="1" s="1"/>
  <c r="N57" i="1" s="1"/>
  <c r="G57" i="1"/>
  <c r="H57" i="1" s="1"/>
  <c r="G56" i="1"/>
  <c r="H56" i="1" s="1"/>
  <c r="K55" i="1"/>
  <c r="L55" i="1" s="1"/>
  <c r="G55" i="1"/>
  <c r="H55" i="1" s="1"/>
  <c r="K54" i="1"/>
  <c r="L54" i="1" s="1"/>
  <c r="G54" i="1"/>
  <c r="H54" i="1" s="1"/>
  <c r="L53" i="1"/>
  <c r="H53" i="1"/>
  <c r="K49" i="1"/>
  <c r="L49" i="1" s="1"/>
  <c r="K48" i="1"/>
  <c r="L48" i="1" s="1"/>
  <c r="G48" i="1"/>
  <c r="H48" i="1" s="1"/>
  <c r="L46" i="1"/>
  <c r="N46" i="1" s="1"/>
  <c r="H46" i="1"/>
  <c r="K45" i="1"/>
  <c r="L45" i="1" s="1"/>
  <c r="J45" i="1"/>
  <c r="G45" i="1"/>
  <c r="H45" i="1" s="1"/>
  <c r="F45" i="1"/>
  <c r="K44" i="1"/>
  <c r="L44" i="1" s="1"/>
  <c r="H44" i="1"/>
  <c r="G44" i="1"/>
  <c r="L43" i="1"/>
  <c r="K43" i="1"/>
  <c r="G43" i="1"/>
  <c r="H43" i="1" s="1"/>
  <c r="O43" i="1" s="1"/>
  <c r="K42" i="1"/>
  <c r="L42" i="1" s="1"/>
  <c r="N42" i="1" s="1"/>
  <c r="H42" i="1"/>
  <c r="O42" i="1" s="1"/>
  <c r="G42" i="1"/>
  <c r="L41" i="1"/>
  <c r="K41" i="1"/>
  <c r="G41" i="1"/>
  <c r="H41" i="1" s="1"/>
  <c r="K40" i="1"/>
  <c r="L40" i="1" s="1"/>
  <c r="H40" i="1"/>
  <c r="G40" i="1"/>
  <c r="L38" i="1"/>
  <c r="K38" i="1"/>
  <c r="G38" i="1"/>
  <c r="H38" i="1" s="1"/>
  <c r="O38" i="1" s="1"/>
  <c r="K37" i="1"/>
  <c r="L37" i="1" s="1"/>
  <c r="N37" i="1" s="1"/>
  <c r="H37" i="1"/>
  <c r="O37" i="1" s="1"/>
  <c r="G37" i="1"/>
  <c r="L36" i="1"/>
  <c r="N36" i="1" s="1"/>
  <c r="K36" i="1"/>
  <c r="G36" i="1"/>
  <c r="H36" i="1" s="1"/>
  <c r="O36" i="1" s="1"/>
  <c r="K35" i="1"/>
  <c r="L35" i="1" s="1"/>
  <c r="N35" i="1" s="1"/>
  <c r="H35" i="1"/>
  <c r="O35" i="1" s="1"/>
  <c r="G35" i="1"/>
  <c r="L34" i="1"/>
  <c r="K34" i="1"/>
  <c r="G34" i="1"/>
  <c r="H34" i="1" s="1"/>
  <c r="O34" i="1" s="1"/>
  <c r="K33" i="1"/>
  <c r="L33" i="1" s="1"/>
  <c r="N33" i="1" s="1"/>
  <c r="H33" i="1"/>
  <c r="O33" i="1" s="1"/>
  <c r="G33" i="1"/>
  <c r="L32" i="1"/>
  <c r="K32" i="1"/>
  <c r="G32" i="1"/>
  <c r="H32" i="1" s="1"/>
  <c r="K31" i="1"/>
  <c r="L31" i="1" s="1"/>
  <c r="N31" i="1" s="1"/>
  <c r="H31" i="1"/>
  <c r="O31" i="1" s="1"/>
  <c r="G31" i="1"/>
  <c r="L30" i="1"/>
  <c r="K30" i="1"/>
  <c r="G30" i="1"/>
  <c r="H30" i="1" s="1"/>
  <c r="O30" i="1" s="1"/>
  <c r="K29" i="1"/>
  <c r="L29" i="1" s="1"/>
  <c r="H29" i="1"/>
  <c r="G29" i="1"/>
  <c r="O28" i="1"/>
  <c r="L28" i="1"/>
  <c r="N28" i="1" s="1"/>
  <c r="H28" i="1"/>
  <c r="O27" i="1"/>
  <c r="L27" i="1"/>
  <c r="N27" i="1" s="1"/>
  <c r="H27" i="1"/>
  <c r="O26" i="1"/>
  <c r="L26" i="1"/>
  <c r="N26" i="1" s="1"/>
  <c r="H26" i="1"/>
  <c r="O25" i="1"/>
  <c r="L25" i="1"/>
  <c r="N25" i="1" s="1"/>
  <c r="H25" i="1"/>
  <c r="O24" i="1"/>
  <c r="L24" i="1"/>
  <c r="N24" i="1" s="1"/>
  <c r="H24" i="1"/>
  <c r="L23" i="1"/>
  <c r="H23" i="1"/>
  <c r="N23" i="4" l="1"/>
  <c r="O23" i="4" s="1"/>
  <c r="L45" i="4"/>
  <c r="N45" i="4" s="1"/>
  <c r="O45" i="4" s="1"/>
  <c r="K55" i="4"/>
  <c r="L55" i="4" s="1"/>
  <c r="N55" i="4" s="1"/>
  <c r="O55" i="4" s="1"/>
  <c r="N29" i="4"/>
  <c r="N30" i="4"/>
  <c r="N31" i="4"/>
  <c r="N32" i="4"/>
  <c r="O32" i="4" s="1"/>
  <c r="N33" i="4"/>
  <c r="N34" i="4"/>
  <c r="K49" i="4"/>
  <c r="K51" i="4" s="1"/>
  <c r="L51" i="4" s="1"/>
  <c r="K59" i="4"/>
  <c r="L59" i="4" s="1"/>
  <c r="N59" i="4" s="1"/>
  <c r="O59" i="4" s="1"/>
  <c r="H47" i="4"/>
  <c r="O29" i="4"/>
  <c r="O40" i="4"/>
  <c r="O41" i="4"/>
  <c r="O44" i="4"/>
  <c r="N57" i="4"/>
  <c r="O57" i="4" s="1"/>
  <c r="H49" i="4"/>
  <c r="G52" i="4"/>
  <c r="H52" i="4" s="1"/>
  <c r="G51" i="4"/>
  <c r="H51" i="4" s="1"/>
  <c r="N51" i="4" s="1"/>
  <c r="N58" i="4"/>
  <c r="N54" i="4"/>
  <c r="O54" i="4" s="1"/>
  <c r="L39" i="4"/>
  <c r="H48" i="4"/>
  <c r="N48" i="4" s="1"/>
  <c r="L49" i="4"/>
  <c r="N49" i="4" s="1"/>
  <c r="H56" i="4"/>
  <c r="H58" i="4"/>
  <c r="N53" i="4"/>
  <c r="O53" i="4" s="1"/>
  <c r="N54" i="1"/>
  <c r="O54" i="1" s="1"/>
  <c r="N53" i="1"/>
  <c r="O53" i="1" s="1"/>
  <c r="N41" i="1"/>
  <c r="O41" i="1"/>
  <c r="N40" i="1"/>
  <c r="O40" i="1" s="1"/>
  <c r="N44" i="1"/>
  <c r="O44" i="1" s="1"/>
  <c r="N29" i="1"/>
  <c r="O29" i="1" s="1"/>
  <c r="H39" i="1"/>
  <c r="H47" i="1" s="1"/>
  <c r="N23" i="1"/>
  <c r="O23" i="1" s="1"/>
  <c r="O45" i="1"/>
  <c r="N32" i="1"/>
  <c r="O32" i="1" s="1"/>
  <c r="N55" i="1"/>
  <c r="O55" i="1" s="1"/>
  <c r="N45" i="1"/>
  <c r="N48" i="1"/>
  <c r="O48" i="1" s="1"/>
  <c r="O59" i="1"/>
  <c r="N30" i="1"/>
  <c r="N34" i="1"/>
  <c r="N38" i="1"/>
  <c r="N43" i="1"/>
  <c r="O57" i="1"/>
  <c r="L39" i="1"/>
  <c r="K52" i="1"/>
  <c r="L52" i="1" s="1"/>
  <c r="H58" i="1"/>
  <c r="G49" i="1"/>
  <c r="K51" i="1"/>
  <c r="L51" i="1" s="1"/>
  <c r="K56" i="1"/>
  <c r="L56" i="1" s="1"/>
  <c r="N56" i="1" s="1"/>
  <c r="O56" i="1" s="1"/>
  <c r="K52" i="4" l="1"/>
  <c r="L52" i="4" s="1"/>
  <c r="H50" i="4"/>
  <c r="H67" i="4" s="1"/>
  <c r="L47" i="4"/>
  <c r="N39" i="4"/>
  <c r="O39" i="4" s="1"/>
  <c r="O51" i="4"/>
  <c r="H61" i="4"/>
  <c r="O48" i="4"/>
  <c r="O58" i="4"/>
  <c r="N52" i="4"/>
  <c r="O52" i="4" s="1"/>
  <c r="N56" i="4"/>
  <c r="O56" i="4" s="1"/>
  <c r="O49" i="4"/>
  <c r="O58" i="1"/>
  <c r="N58" i="1"/>
  <c r="L47" i="1"/>
  <c r="N39" i="1"/>
  <c r="O39" i="1" s="1"/>
  <c r="H49" i="1"/>
  <c r="H50" i="1" s="1"/>
  <c r="G51" i="1"/>
  <c r="H51" i="1" s="1"/>
  <c r="G52" i="1"/>
  <c r="H52" i="1" s="1"/>
  <c r="N47" i="4" l="1"/>
  <c r="O47" i="4" s="1"/>
  <c r="L50" i="4"/>
  <c r="H68" i="4"/>
  <c r="H69" i="4" s="1"/>
  <c r="H62" i="4"/>
  <c r="N52" i="1"/>
  <c r="O52" i="1" s="1"/>
  <c r="H67" i="1"/>
  <c r="H61" i="1"/>
  <c r="N51" i="1"/>
  <c r="O51" i="1" s="1"/>
  <c r="N47" i="1"/>
  <c r="O47" i="1" s="1"/>
  <c r="L50" i="1"/>
  <c r="N49" i="1"/>
  <c r="O49" i="1" s="1"/>
  <c r="H70" i="4" l="1"/>
  <c r="H71" i="4" s="1"/>
  <c r="N50" i="4"/>
  <c r="O50" i="4" s="1"/>
  <c r="L67" i="4"/>
  <c r="L61" i="4"/>
  <c r="H63" i="4"/>
  <c r="H62" i="1"/>
  <c r="H63" i="1" s="1"/>
  <c r="N50" i="1"/>
  <c r="O50" i="1" s="1"/>
  <c r="L67" i="1"/>
  <c r="L61" i="1"/>
  <c r="H68" i="1"/>
  <c r="H64" i="4" l="1"/>
  <c r="H65" i="4" s="1"/>
  <c r="N61" i="4"/>
  <c r="O61" i="4" s="1"/>
  <c r="L62" i="4"/>
  <c r="N62" i="4" s="1"/>
  <c r="O62" i="4" s="1"/>
  <c r="N67" i="4"/>
  <c r="O67" i="4" s="1"/>
  <c r="L68" i="4"/>
  <c r="N68" i="4" s="1"/>
  <c r="O68" i="4" s="1"/>
  <c r="H64" i="1"/>
  <c r="H65" i="1" s="1"/>
  <c r="L62" i="1"/>
  <c r="N62" i="1" s="1"/>
  <c r="O62" i="1" s="1"/>
  <c r="N61" i="1"/>
  <c r="O61" i="1" s="1"/>
  <c r="L68" i="1"/>
  <c r="N68" i="1" s="1"/>
  <c r="O68" i="1" s="1"/>
  <c r="N67" i="1"/>
  <c r="O67" i="1" s="1"/>
  <c r="H69" i="1"/>
  <c r="L63" i="4" l="1"/>
  <c r="N63" i="4" s="1"/>
  <c r="O63" i="4" s="1"/>
  <c r="L69" i="4"/>
  <c r="N69" i="4" s="1"/>
  <c r="O69" i="4" s="1"/>
  <c r="L69" i="1"/>
  <c r="L63" i="1"/>
  <c r="H70" i="1"/>
  <c r="L64" i="4" l="1"/>
  <c r="N64" i="4" s="1"/>
  <c r="O64" i="4" s="1"/>
  <c r="L70" i="4"/>
  <c r="N70" i="4" s="1"/>
  <c r="O70" i="4" s="1"/>
  <c r="L70" i="1"/>
  <c r="N70" i="1" s="1"/>
  <c r="O70" i="1" s="1"/>
  <c r="N69" i="1"/>
  <c r="O69" i="1" s="1"/>
  <c r="H71" i="1"/>
  <c r="L64" i="1"/>
  <c r="N64" i="1" s="1"/>
  <c r="O64" i="1" s="1"/>
  <c r="N63" i="1"/>
  <c r="O63" i="1" s="1"/>
  <c r="L65" i="4" l="1"/>
  <c r="N65" i="4" s="1"/>
  <c r="O65" i="4" s="1"/>
  <c r="L71" i="4"/>
  <c r="N71" i="4" s="1"/>
  <c r="O71" i="4" s="1"/>
  <c r="L65" i="1"/>
  <c r="N65" i="1" s="1"/>
  <c r="O65" i="1" s="1"/>
  <c r="L71" i="1"/>
  <c r="N71" i="1" s="1"/>
  <c r="O71" i="1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<sst xmlns="http://schemas.openxmlformats.org/spreadsheetml/2006/main" count="203" uniqueCount="79">
  <si>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</si>
  <si>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</si>
  <si>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</si>
  <si>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</si>
  <si>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</si>
  <si>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</si>
  <si>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</si>
  <si>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</si>
  <si>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</si>
  <si>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</si>
  <si>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</si>
  <si>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</si>
  <si>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</si>
  <si>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</si>
  <si>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</si>
  <si>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</si>
  <si>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</si>
  <si>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</si>
  <si>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</si>
  <si>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</si>
  <si>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</si>
  <si>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</si>
  <si>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</si>
  <si>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</si>
  <si>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</si>
  <si>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</si>
  <si>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</si>
  <si>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</si>
  <si>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</si>
  <si>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</si>
  <si>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</si>
  <si>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</si>
  <si>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</si>
  <si>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</si>
  <si>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</si>
  <si>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</si>
  <si>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</si>
  <si>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</si>
  <si>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</si>
  <si>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</si>
  <si>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</si>
  <si>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</si>
  <si>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</si>
  <si>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</si>
  <si>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</si>
  <si>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</si>
  <si>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</si>
  <si>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</si>
  <si>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</si>
  <si>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</si>
  <si>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</si>
  <si>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</si>
  <si>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</si>
  <si>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</si>
  <si>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</si>
  <si>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</si>
  <si>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</si>
  <si>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</si>
  <si>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</si>
  <si>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</si>
  <si>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</si>
  <si>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</si>
  <si>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</si>
  <si>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</si>
  <si>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</si>
  <si>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</si>
  <si>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</si>
  <si>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per kWh</t>
  </si>
  <si>
    <t>Shared Tax Savings</t>
  </si>
  <si>
    <t>Billing Adjustment Rate Rider</t>
  </si>
  <si>
    <t>General Service Less than 50 kW</t>
  </si>
  <si>
    <t>EB-2013-0270</t>
  </si>
  <si>
    <t>Rate Class</t>
  </si>
  <si>
    <t>Distribution</t>
  </si>
  <si>
    <t>$</t>
  </si>
  <si>
    <t>%</t>
  </si>
  <si>
    <t>Delivery</t>
  </si>
  <si>
    <t>Total Bill - TOU</t>
  </si>
  <si>
    <t>Summary of Bill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</si>
</sst>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7" formatCode="0.0000%"/>
    <numFmt numFmtId="169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07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0" borderId="0" xfId="0" applyFont="1"/>
    <xf numFmtId="0" fontId="5" fillId="0" borderId="0" xfId="0" applyFont="1" applyAlignment="1">
      <alignment horizontal="right" vertical="top"/>
    </xf>
    <xf numFmtId="0" fontId="6" fillId="2" borderId="0" xfId="0" applyFont="1" applyFill="1" applyBorder="1" applyAlignment="1" applyProtection="1"/>
    <xf numFmtId="0" fontId="5" fillId="3" borderId="1" xfId="0" applyFont="1" applyFill="1" applyBorder="1" applyAlignment="1">
      <alignment horizontal="right" vertical="top"/>
    </xf>
    <xf numFmtId="0" fontId="6" fillId="2" borderId="0" xfId="0" applyFont="1" applyFill="1" applyBorder="1" applyAlignment="1" applyProtection="1">
      <alignment horizontal="left" indent="7"/>
    </xf>
    <xf numFmtId="0" fontId="0" fillId="2" borderId="0" xfId="0" applyFill="1" applyBorder="1" applyAlignment="1" applyProtection="1">
      <alignment horizontal="left" indent="1"/>
    </xf>
    <xf numFmtId="0" fontId="7" fillId="2" borderId="0" xfId="0" applyFont="1" applyFill="1" applyBorder="1" applyAlignment="1" applyProtection="1"/>
    <xf numFmtId="0" fontId="5" fillId="3" borderId="0" xfId="0" applyFont="1" applyFill="1" applyAlignment="1">
      <alignment horizontal="right" vertical="top"/>
    </xf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7" fillId="3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9" fillId="0" borderId="0" xfId="0" applyFont="1" applyProtection="1"/>
    <xf numFmtId="0" fontId="4" fillId="0" borderId="0" xfId="0" applyFont="1" applyProtection="1"/>
    <xf numFmtId="164" fontId="4" fillId="3" borderId="2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0" xfId="0" quotePrefix="1" applyFont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4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4" fillId="5" borderId="2" xfId="0" applyNumberFormat="1" applyFont="1" applyFill="1" applyBorder="1" applyAlignment="1" applyProtection="1">
      <alignment vertical="center"/>
    </xf>
    <xf numFmtId="10" fontId="4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9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4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9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9" fillId="0" borderId="0" xfId="4" applyFont="1" applyAlignment="1" applyProtection="1">
      <alignment vertical="top"/>
    </xf>
    <xf numFmtId="0" fontId="9" fillId="0" borderId="0" xfId="4" applyAlignment="1" applyProtection="1">
      <alignment vertical="top"/>
    </xf>
    <xf numFmtId="0" fontId="9" fillId="4" borderId="0" xfId="4" applyFill="1" applyAlignment="1" applyProtection="1">
      <alignment vertical="top"/>
      <protection locked="0"/>
    </xf>
    <xf numFmtId="0" fontId="9" fillId="0" borderId="0" xfId="4" applyFill="1" applyAlignment="1" applyProtection="1">
      <alignment vertical="top"/>
    </xf>
    <xf numFmtId="1" fontId="9" fillId="6" borderId="9" xfId="4" applyNumberFormat="1" applyFill="1" applyBorder="1" applyAlignment="1" applyProtection="1">
      <alignment vertical="center"/>
    </xf>
    <xf numFmtId="0" fontId="9" fillId="0" borderId="0" xfId="4" applyAlignment="1" applyProtection="1">
      <alignment vertical="center"/>
    </xf>
    <xf numFmtId="44" fontId="9" fillId="0" borderId="9" xfId="4" applyNumberFormat="1" applyBorder="1" applyAlignment="1" applyProtection="1">
      <alignment vertical="center"/>
    </xf>
    <xf numFmtId="0" fontId="9" fillId="0" borderId="0" xfId="4" applyProtection="1"/>
    <xf numFmtId="0" fontId="9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4" fillId="0" borderId="12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4" fillId="0" borderId="9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9" xfId="0" applyNumberFormat="1" applyFont="1" applyFill="1" applyBorder="1" applyAlignment="1" applyProtection="1">
      <alignment vertical="center"/>
    </xf>
    <xf numFmtId="10" fontId="4" fillId="0" borderId="7" xfId="3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9" fillId="0" borderId="12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9" fontId="9" fillId="0" borderId="9" xfId="0" applyNumberFormat="1" applyFont="1" applyFill="1" applyBorder="1" applyAlignment="1" applyProtection="1">
      <alignment vertical="center"/>
      <protection locked="0"/>
    </xf>
    <xf numFmtId="44" fontId="9" fillId="0" borderId="7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44" fontId="9" fillId="0" borderId="9" xfId="0" applyNumberFormat="1" applyFont="1" applyFill="1" applyBorder="1" applyAlignment="1" applyProtection="1">
      <alignment vertical="center"/>
    </xf>
    <xf numFmtId="10" fontId="9" fillId="0" borderId="7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0" fontId="11" fillId="0" borderId="0" xfId="0" applyFont="1" applyAlignment="1" applyProtection="1">
      <alignment horizontal="left" vertical="top" wrapText="1" indent="1"/>
    </xf>
    <xf numFmtId="44" fontId="13" fillId="0" borderId="12" xfId="0" applyNumberFormat="1" applyFont="1" applyFill="1" applyBorder="1" applyAlignment="1" applyProtection="1">
      <alignment vertical="center"/>
    </xf>
    <xf numFmtId="44" fontId="13" fillId="0" borderId="7" xfId="0" applyNumberFormat="1" applyFont="1" applyFill="1" applyBorder="1" applyAlignment="1" applyProtection="1">
      <alignment vertical="center"/>
    </xf>
    <xf numFmtId="44" fontId="13" fillId="0" borderId="9" xfId="0" applyNumberFormat="1" applyFont="1" applyFill="1" applyBorder="1" applyAlignment="1" applyProtection="1">
      <alignment vertical="center"/>
    </xf>
    <xf numFmtId="10" fontId="13" fillId="0" borderId="7" xfId="3" applyNumberFormat="1" applyFont="1" applyFill="1" applyBorder="1" applyAlignment="1" applyProtection="1">
      <alignment vertical="center"/>
    </xf>
    <xf numFmtId="0" fontId="4" fillId="9" borderId="0" xfId="0" applyFont="1" applyFill="1" applyAlignment="1" applyProtection="1">
      <alignment horizontal="left" vertical="top" wrapText="1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4" fillId="9" borderId="19" xfId="0" applyNumberFormat="1" applyFont="1" applyFill="1" applyBorder="1" applyAlignment="1" applyProtection="1">
      <alignment vertical="center"/>
    </xf>
    <xf numFmtId="0" fontId="4" fillId="9" borderId="10" xfId="0" applyFont="1" applyFill="1" applyBorder="1" applyAlignment="1" applyProtection="1">
      <alignment vertical="center"/>
    </xf>
    <xf numFmtId="44" fontId="4" fillId="9" borderId="11" xfId="0" applyNumberFormat="1" applyFont="1" applyFill="1" applyBorder="1" applyAlignment="1" applyProtection="1">
      <alignment vertical="center"/>
    </xf>
    <xf numFmtId="0" fontId="4" fillId="9" borderId="18" xfId="0" applyFont="1" applyFill="1" applyBorder="1" applyAlignment="1" applyProtection="1">
      <alignment vertical="center"/>
    </xf>
    <xf numFmtId="44" fontId="4" fillId="9" borderId="10" xfId="0" applyNumberFormat="1" applyFont="1" applyFill="1" applyBorder="1" applyAlignment="1" applyProtection="1">
      <alignment vertical="center"/>
    </xf>
    <xf numFmtId="10" fontId="4" fillId="9" borderId="11" xfId="3" applyNumberFormat="1" applyFont="1" applyFill="1" applyBorder="1" applyAlignment="1" applyProtection="1">
      <alignment vertical="center"/>
    </xf>
    <xf numFmtId="0" fontId="9" fillId="8" borderId="13" xfId="4" applyFont="1" applyFill="1" applyBorder="1" applyProtection="1"/>
    <xf numFmtId="0" fontId="9" fillId="8" borderId="14" xfId="4" applyFill="1" applyBorder="1" applyAlignment="1" applyProtection="1">
      <alignment vertical="top"/>
    </xf>
    <xf numFmtId="0" fontId="9" fillId="8" borderId="14" xfId="4" applyFill="1" applyBorder="1" applyAlignment="1" applyProtection="1">
      <alignment vertical="top"/>
      <protection locked="0"/>
    </xf>
    <xf numFmtId="0" fontId="9" fillId="8" borderId="16" xfId="4" applyFill="1" applyBorder="1" applyAlignment="1" applyProtection="1">
      <alignment vertical="center"/>
      <protection locked="0"/>
    </xf>
    <xf numFmtId="0" fontId="9" fillId="8" borderId="14" xfId="4" applyFill="1" applyBorder="1" applyAlignment="1" applyProtection="1">
      <alignment vertical="center"/>
    </xf>
    <xf numFmtId="0" fontId="9" fillId="8" borderId="15" xfId="4" applyFill="1" applyBorder="1" applyAlignment="1" applyProtection="1">
      <alignment vertical="center"/>
      <protection locked="0"/>
    </xf>
    <xf numFmtId="44" fontId="9" fillId="8" borderId="15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9" fillId="0" borderId="9" xfId="4" applyNumberFormat="1" applyFill="1" applyBorder="1" applyAlignment="1" applyProtection="1">
      <alignment vertical="top"/>
    </xf>
    <xf numFmtId="9" fontId="9" fillId="0" borderId="0" xfId="4" applyNumberFormat="1" applyFill="1" applyBorder="1" applyAlignment="1" applyProtection="1">
      <alignment vertical="center"/>
    </xf>
    <xf numFmtId="44" fontId="4" fillId="0" borderId="12" xfId="4" applyNumberFormat="1" applyFont="1" applyFill="1" applyBorder="1" applyAlignment="1" applyProtection="1">
      <alignment vertical="center"/>
    </xf>
    <xf numFmtId="0" fontId="4" fillId="0" borderId="9" xfId="4" applyFont="1" applyFill="1" applyBorder="1" applyAlignment="1" applyProtection="1">
      <alignment vertical="center"/>
    </xf>
    <xf numFmtId="9" fontId="4" fillId="0" borderId="9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 applyProtection="1">
      <alignment vertical="center"/>
    </xf>
    <xf numFmtId="44" fontId="4" fillId="0" borderId="9" xfId="4" applyNumberFormat="1" applyFont="1" applyFill="1" applyBorder="1" applyAlignment="1" applyProtection="1">
      <alignment vertical="center"/>
    </xf>
    <xf numFmtId="0" fontId="9" fillId="0" borderId="0" xfId="4" applyFont="1" applyFill="1" applyAlignment="1" applyProtection="1">
      <alignment horizontal="left" vertical="top" indent="1"/>
    </xf>
    <xf numFmtId="9" fontId="9" fillId="0" borderId="9" xfId="4" applyNumberFormat="1" applyFill="1" applyBorder="1" applyAlignment="1" applyProtection="1">
      <alignment vertical="top"/>
      <protection locked="0"/>
    </xf>
    <xf numFmtId="44" fontId="9" fillId="0" borderId="12" xfId="4" applyNumberFormat="1" applyFont="1" applyFill="1" applyBorder="1" applyAlignment="1" applyProtection="1">
      <alignment vertical="center"/>
    </xf>
    <xf numFmtId="0" fontId="9" fillId="0" borderId="9" xfId="4" applyFont="1" applyFill="1" applyBorder="1" applyAlignment="1" applyProtection="1">
      <alignment vertical="center"/>
    </xf>
    <xf numFmtId="9" fontId="9" fillId="0" borderId="9" xfId="4" applyNumberFormat="1" applyFont="1" applyFill="1" applyBorder="1" applyAlignment="1" applyProtection="1">
      <alignment vertical="top"/>
      <protection locked="0"/>
    </xf>
    <xf numFmtId="9" fontId="9" fillId="0" borderId="9" xfId="4" applyNumberFormat="1" applyFont="1" applyFill="1" applyBorder="1" applyAlignment="1" applyProtection="1">
      <alignment vertical="center"/>
    </xf>
    <xf numFmtId="44" fontId="9" fillId="0" borderId="7" xfId="4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44" fontId="9" fillId="0" borderId="9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9" fillId="0" borderId="9" xfId="4" applyFill="1" applyBorder="1" applyAlignment="1" applyProtection="1">
      <alignment vertical="top"/>
    </xf>
    <xf numFmtId="0" fontId="9" fillId="0" borderId="0" xfId="4" applyFill="1" applyBorder="1" applyAlignment="1" applyProtection="1">
      <alignment vertical="center"/>
    </xf>
    <xf numFmtId="0" fontId="11" fillId="0" borderId="0" xfId="4" applyFont="1" applyAlignment="1" applyProtection="1">
      <alignment horizontal="left" vertical="top" wrapText="1" indent="1"/>
    </xf>
    <xf numFmtId="44" fontId="13" fillId="0" borderId="12" xfId="4" applyNumberFormat="1" applyFont="1" applyFill="1" applyBorder="1" applyAlignment="1" applyProtection="1">
      <alignment vertical="center"/>
    </xf>
    <xf numFmtId="44" fontId="13" fillId="0" borderId="7" xfId="4" applyNumberFormat="1" applyFont="1" applyFill="1" applyBorder="1" applyAlignment="1" applyProtection="1">
      <alignment vertical="center"/>
    </xf>
    <xf numFmtId="44" fontId="13" fillId="0" borderId="9" xfId="4" applyNumberFormat="1" applyFont="1" applyFill="1" applyBorder="1" applyAlignment="1" applyProtection="1">
      <alignment vertical="center"/>
    </xf>
    <xf numFmtId="0" fontId="4" fillId="9" borderId="0" xfId="4" applyFont="1" applyFill="1" applyAlignment="1" applyProtection="1">
      <alignment horizontal="left" vertical="top" wrapText="1"/>
    </xf>
    <xf numFmtId="0" fontId="9" fillId="9" borderId="0" xfId="4" applyFill="1" applyAlignment="1" applyProtection="1">
      <alignment vertical="top"/>
    </xf>
    <xf numFmtId="0" fontId="9" fillId="9" borderId="9" xfId="4" applyFill="1" applyBorder="1" applyAlignment="1" applyProtection="1">
      <alignment vertical="top"/>
    </xf>
    <xf numFmtId="0" fontId="9" fillId="9" borderId="0" xfId="4" applyFill="1" applyBorder="1" applyAlignment="1" applyProtection="1">
      <alignment vertical="center"/>
    </xf>
    <xf numFmtId="44" fontId="4" fillId="9" borderId="12" xfId="4" applyNumberFormat="1" applyFont="1" applyFill="1" applyBorder="1" applyAlignment="1" applyProtection="1">
      <alignment vertical="center"/>
    </xf>
    <xf numFmtId="0" fontId="4" fillId="9" borderId="9" xfId="4" applyFont="1" applyFill="1" applyBorder="1" applyAlignment="1" applyProtection="1">
      <alignment vertical="center"/>
    </xf>
    <xf numFmtId="44" fontId="4" fillId="9" borderId="7" xfId="4" applyNumberFormat="1" applyFont="1" applyFill="1" applyBorder="1" applyAlignment="1" applyProtection="1">
      <alignment vertical="center"/>
    </xf>
    <xf numFmtId="0" fontId="4" fillId="9" borderId="0" xfId="4" applyFont="1" applyFill="1" applyBorder="1" applyAlignment="1" applyProtection="1">
      <alignment vertical="center"/>
    </xf>
    <xf numFmtId="44" fontId="4" fillId="9" borderId="9" xfId="4" applyNumberFormat="1" applyFont="1" applyFill="1" applyBorder="1" applyAlignment="1" applyProtection="1">
      <alignment vertical="center"/>
    </xf>
    <xf numFmtId="10" fontId="4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9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9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9" fillId="8" borderId="16" xfId="4" applyNumberFormat="1" applyFill="1" applyBorder="1" applyAlignment="1" applyProtection="1">
      <alignment vertical="center"/>
    </xf>
    <xf numFmtId="0" fontId="14" fillId="0" borderId="0" xfId="0" applyFont="1" applyProtection="1"/>
    <xf numFmtId="0" fontId="0" fillId="7" borderId="0" xfId="0" applyFill="1" applyProtection="1"/>
    <xf numFmtId="167" fontId="1" fillId="3" borderId="2" xfId="3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169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0" applyNumberFormat="1"/>
    <xf numFmtId="0" fontId="0" fillId="4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8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4%20Filing%20Requirements\Filing_Requirements_Chapter2_Appendices_f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showGridLines="0" tabSelected="1" workbookViewId="0">
      <selection activeCell="B1" sqref="B1:K5"/>
    </sheetView>
  </sheetViews>
  <sheetFormatPr defaultRowHeight="15" x14ac:dyDescent="0.25"/>
  <cols>
    <col min="2" max="2" width="29.85546875" bestFit="1" customWidth="1"/>
    <col min="3" max="3" width="12.85546875" bestFit="1" customWidth="1"/>
    <col min="4" max="5" width="13" customWidth="1"/>
    <col min="6" max="6" width="4.140625" customWidth="1"/>
    <col min="7" max="7" width="11.140625" customWidth="1"/>
    <col min="8" max="8" width="11.7109375" customWidth="1"/>
    <col min="9" max="9" width="3.42578125" customWidth="1"/>
    <col min="10" max="10" width="11.7109375" customWidth="1"/>
    <col min="11" max="11" width="11.28515625" customWidth="1"/>
  </cols>
  <sheetData>
    <row r="1" spans="2:11" ht="26.25" x14ac:dyDescent="0.4">
      <c r="B1" s="206" t="s">
        <v>78</v>
      </c>
    </row>
    <row r="2" spans="2:11" x14ac:dyDescent="0.25">
      <c r="D2" s="203" t="s">
        <v>73</v>
      </c>
      <c r="E2" s="203"/>
      <c r="G2" s="203" t="s">
        <v>76</v>
      </c>
      <c r="H2" s="203"/>
      <c r="J2" s="203" t="s">
        <v>77</v>
      </c>
      <c r="K2" s="203"/>
    </row>
    <row r="3" spans="2:11" x14ac:dyDescent="0.25">
      <c r="B3" s="204" t="s">
        <v>72</v>
      </c>
      <c r="C3" s="204" t="s">
        <v>12</v>
      </c>
      <c r="D3" s="205" t="s">
        <v>74</v>
      </c>
      <c r="E3" s="205" t="s">
        <v>75</v>
      </c>
      <c r="F3" s="204"/>
      <c r="G3" s="205" t="s">
        <v>74</v>
      </c>
      <c r="H3" s="205" t="s">
        <v>75</v>
      </c>
      <c r="I3" s="204"/>
      <c r="J3" s="205" t="s">
        <v>74</v>
      </c>
      <c r="K3" s="205" t="s">
        <v>75</v>
      </c>
    </row>
    <row r="4" spans="2:11" x14ac:dyDescent="0.25">
      <c r="B4" t="str">
        <f>Residential!D14</f>
        <v>Residential</v>
      </c>
      <c r="C4" s="200">
        <v>800</v>
      </c>
      <c r="D4" s="201">
        <f>Residential!N47</f>
        <v>-11.119999999999997</v>
      </c>
      <c r="E4" s="202">
        <f>Residential!O47</f>
        <v>-0.37014547025879541</v>
      </c>
      <c r="G4" s="201">
        <f>Residential!N50</f>
        <v>-11.120000000000001</v>
      </c>
      <c r="H4" s="202">
        <f>Residential!O50</f>
        <v>-0.28620364276207916</v>
      </c>
      <c r="J4" s="201">
        <f>Residential!N65</f>
        <v>-11.305599999999998</v>
      </c>
      <c r="K4" s="202">
        <f>Residential!O65</f>
        <v>-9.5531722489565984E-2</v>
      </c>
    </row>
    <row r="5" spans="2:11" x14ac:dyDescent="0.25">
      <c r="B5" t="str">
        <f>'GS &lt; 50 kW'!D14</f>
        <v>General Service Less than 50 kW</v>
      </c>
      <c r="C5" s="200">
        <f>'GS &lt; 50 kW'!F18</f>
        <v>2000</v>
      </c>
      <c r="D5" s="201">
        <f>'GS &lt; 50 kW'!N47</f>
        <v>-29.400000000000009</v>
      </c>
      <c r="E5" s="202">
        <f>'GS &lt; 50 kW'!O47</f>
        <v>-1.0846464589702012</v>
      </c>
      <c r="G5" s="201">
        <f>'GS &lt; 50 kW'!N50</f>
        <v>-29.400000000000006</v>
      </c>
      <c r="H5" s="202">
        <f>'GS &lt; 50 kW'!O50</f>
        <v>-0.62672372473148041</v>
      </c>
      <c r="J5" s="201">
        <f>'GS &lt; 50 kW'!N65</f>
        <v>-29.891999999999967</v>
      </c>
      <c r="K5" s="202">
        <f>'GS &lt; 50 kW'!O65</f>
        <v>-0.12230815017655973</v>
      </c>
    </row>
  </sheetData>
  <mergeCells count="3">
    <mergeCell ref="D2:E2"/>
    <mergeCell ref="G2:H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showGridLines="0" topLeftCell="A52" workbookViewId="0">
      <selection activeCell="O6" sqref="O6"/>
    </sheetView>
  </sheetViews>
  <sheetFormatPr defaultRowHeight="15" x14ac:dyDescent="0.25"/>
  <cols>
    <col min="1" max="1" width="2.140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9.7109375" style="11" customWidth="1"/>
    <col min="9" max="9" width="2.85546875" style="11" customWidth="1"/>
    <col min="10" max="10" width="12.140625" style="11" customWidth="1"/>
    <col min="11" max="11" width="8.5703125" style="11" customWidth="1"/>
    <col min="12" max="12" width="9.7109375" style="11" customWidth="1"/>
    <col min="13" max="13" width="2.85546875" style="11" customWidth="1"/>
    <col min="14" max="14" width="12.7109375" style="11" bestFit="1" customWidth="1"/>
    <col min="15" max="15" width="13.140625" style="11" bestFit="1" customWidth="1"/>
    <col min="16" max="16" width="3.85546875" style="11" customWidth="1"/>
    <col min="17" max="19" width="9.140625" style="11"/>
    <col min="20" max="20" width="9.140625" style="11" customWidth="1"/>
    <col min="21" max="16384" width="9.140625" style="11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198" t="s">
        <v>71</v>
      </c>
      <c r="P1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/>
      <c r="P3"/>
    </row>
    <row r="4" spans="1:20" s="2" customFormat="1" ht="18" x14ac:dyDescent="0.25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/>
      <c r="P4"/>
    </row>
    <row r="5" spans="1:20" s="2" customFormat="1" ht="15.75" x14ac:dyDescent="0.25">
      <c r="C5" s="9"/>
      <c r="D5" s="9"/>
      <c r="E5" s="9"/>
      <c r="N5" s="3" t="s">
        <v>4</v>
      </c>
      <c r="O5" s="10">
        <v>1</v>
      </c>
      <c r="P5"/>
    </row>
    <row r="6" spans="1:20" s="2" customFormat="1" x14ac:dyDescent="0.25">
      <c r="N6" s="3"/>
      <c r="O6" s="4"/>
      <c r="P6"/>
    </row>
    <row r="7" spans="1:20" s="2" customFormat="1" x14ac:dyDescent="0.25">
      <c r="N7" s="3" t="s">
        <v>5</v>
      </c>
      <c r="O7" s="199">
        <f ca="1">NOW()</f>
        <v>41487.495959490741</v>
      </c>
      <c r="P7"/>
    </row>
    <row r="8" spans="1:20" s="2" customFormat="1" x14ac:dyDescent="0.25">
      <c r="N8" s="11"/>
      <c r="O8"/>
      <c r="P8"/>
    </row>
    <row r="9" spans="1:20" x14ac:dyDescent="0.25">
      <c r="L9"/>
      <c r="M9"/>
      <c r="N9"/>
      <c r="O9"/>
      <c r="P9"/>
    </row>
    <row r="10" spans="1:20" ht="18" x14ac:dyDescent="0.25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</row>
    <row r="11" spans="1:20" ht="18" x14ac:dyDescent="0.25"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/>
    </row>
    <row r="12" spans="1:20" x14ac:dyDescent="0.25">
      <c r="L12"/>
      <c r="M12"/>
      <c r="N12"/>
      <c r="O12"/>
      <c r="P12"/>
    </row>
    <row r="13" spans="1:20" x14ac:dyDescent="0.25">
      <c r="L13"/>
      <c r="M13"/>
      <c r="N13"/>
      <c r="O13"/>
      <c r="P13"/>
    </row>
    <row r="14" spans="1:20" ht="15.75" x14ac:dyDescent="0.25">
      <c r="B14" s="13" t="s">
        <v>8</v>
      </c>
      <c r="D14" s="14" t="s">
        <v>9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0" ht="15.75" x14ac:dyDescent="0.25">
      <c r="B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0" ht="15.75" x14ac:dyDescent="0.25">
      <c r="B16" s="13" t="s">
        <v>10</v>
      </c>
      <c r="D16" s="17" t="s">
        <v>11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ht="15.75" x14ac:dyDescent="0.25">
      <c r="B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x14ac:dyDescent="0.25">
      <c r="B18" s="18"/>
      <c r="D18" s="19" t="s">
        <v>12</v>
      </c>
      <c r="E18" s="19"/>
      <c r="F18" s="20">
        <v>800</v>
      </c>
      <c r="G18" s="19" t="s">
        <v>13</v>
      </c>
    </row>
    <row r="19" spans="2:15" x14ac:dyDescent="0.25">
      <c r="B19" s="18"/>
    </row>
    <row r="20" spans="2:15" x14ac:dyDescent="0.25">
      <c r="B20" s="18"/>
      <c r="D20" s="21"/>
      <c r="E20" s="21"/>
      <c r="F20" s="22" t="s">
        <v>14</v>
      </c>
      <c r="G20" s="23"/>
      <c r="H20" s="24"/>
      <c r="J20" s="22" t="s">
        <v>15</v>
      </c>
      <c r="K20" s="23"/>
      <c r="L20" s="24"/>
      <c r="N20" s="22" t="s">
        <v>16</v>
      </c>
      <c r="O20" s="24"/>
    </row>
    <row r="21" spans="2:15" x14ac:dyDescent="0.25">
      <c r="B21" s="18"/>
      <c r="D21" s="25" t="s">
        <v>17</v>
      </c>
      <c r="E21" s="26"/>
      <c r="F21" s="27" t="s">
        <v>18</v>
      </c>
      <c r="G21" s="27" t="s">
        <v>19</v>
      </c>
      <c r="H21" s="28" t="s">
        <v>20</v>
      </c>
      <c r="J21" s="27" t="s">
        <v>18</v>
      </c>
      <c r="K21" s="29" t="s">
        <v>19</v>
      </c>
      <c r="L21" s="28" t="s">
        <v>20</v>
      </c>
      <c r="N21" s="30" t="s">
        <v>21</v>
      </c>
      <c r="O21" s="31" t="s">
        <v>22</v>
      </c>
    </row>
    <row r="22" spans="2:15" x14ac:dyDescent="0.25">
      <c r="B22" s="18"/>
      <c r="D22" s="32"/>
      <c r="E22" s="26"/>
      <c r="F22" s="33" t="s">
        <v>23</v>
      </c>
      <c r="G22" s="33"/>
      <c r="H22" s="34" t="s">
        <v>23</v>
      </c>
      <c r="J22" s="33" t="s">
        <v>23</v>
      </c>
      <c r="K22" s="34"/>
      <c r="L22" s="34" t="s">
        <v>23</v>
      </c>
      <c r="N22" s="35"/>
      <c r="O22" s="36"/>
    </row>
    <row r="23" spans="2:15" x14ac:dyDescent="0.25">
      <c r="B23" s="37" t="s">
        <v>24</v>
      </c>
      <c r="C23" s="37"/>
      <c r="D23" s="38" t="s">
        <v>25</v>
      </c>
      <c r="E23" s="39"/>
      <c r="F23" s="40">
        <v>19.190000000000001</v>
      </c>
      <c r="G23" s="41">
        <v>1</v>
      </c>
      <c r="H23" s="42">
        <f>G23*F23</f>
        <v>19.190000000000001</v>
      </c>
      <c r="I23" s="43"/>
      <c r="J23" s="44">
        <v>19.190000000000001</v>
      </c>
      <c r="K23" s="45">
        <v>1</v>
      </c>
      <c r="L23" s="42">
        <f>K23*J23</f>
        <v>19.190000000000001</v>
      </c>
      <c r="M23" s="43"/>
      <c r="N23" s="46">
        <f>L23-H23</f>
        <v>0</v>
      </c>
      <c r="O23" s="47">
        <f>IF((H23)=0,"",(N23/H23))</f>
        <v>0</v>
      </c>
    </row>
    <row r="24" spans="2:15" x14ac:dyDescent="0.25">
      <c r="B24" s="37" t="s">
        <v>26</v>
      </c>
      <c r="C24" s="37"/>
      <c r="D24" s="38"/>
      <c r="E24" s="39"/>
      <c r="F24" s="40"/>
      <c r="G24" s="41">
        <v>1</v>
      </c>
      <c r="H24" s="42">
        <f t="shared" ref="H24:H38" si="0">G24*F24</f>
        <v>0</v>
      </c>
      <c r="I24" s="43"/>
      <c r="J24" s="44"/>
      <c r="K24" s="45">
        <v>1</v>
      </c>
      <c r="L24" s="42">
        <f>K24*J24</f>
        <v>0</v>
      </c>
      <c r="M24" s="43"/>
      <c r="N24" s="46">
        <f>L24-H24</f>
        <v>0</v>
      </c>
      <c r="O24" s="47" t="str">
        <f>IF((H24)=0,"",(N24/H24))</f>
        <v/>
      </c>
    </row>
    <row r="25" spans="2:15" x14ac:dyDescent="0.25">
      <c r="B25" s="48"/>
      <c r="C25" s="37"/>
      <c r="D25" s="38"/>
      <c r="E25" s="39"/>
      <c r="F25" s="40"/>
      <c r="G25" s="41">
        <v>1</v>
      </c>
      <c r="H25" s="42">
        <f t="shared" si="0"/>
        <v>0</v>
      </c>
      <c r="I25" s="43"/>
      <c r="J25" s="44"/>
      <c r="K25" s="45">
        <v>1</v>
      </c>
      <c r="L25" s="42">
        <f t="shared" ref="L25:L38" si="1">K25*J25</f>
        <v>0</v>
      </c>
      <c r="M25" s="43"/>
      <c r="N25" s="46">
        <f t="shared" ref="N25:N39" si="2">L25-H25</f>
        <v>0</v>
      </c>
      <c r="O25" s="47" t="str">
        <f t="shared" ref="O25:O39" si="3">IF((H25)=0,"",(N25/H25))</f>
        <v/>
      </c>
    </row>
    <row r="26" spans="2:15" x14ac:dyDescent="0.25">
      <c r="B26" s="48"/>
      <c r="C26" s="37"/>
      <c r="D26" s="38"/>
      <c r="E26" s="39"/>
      <c r="F26" s="40"/>
      <c r="G26" s="41">
        <v>1</v>
      </c>
      <c r="H26" s="42">
        <f t="shared" si="0"/>
        <v>0</v>
      </c>
      <c r="I26" s="43"/>
      <c r="J26" s="44"/>
      <c r="K26" s="45">
        <v>1</v>
      </c>
      <c r="L26" s="42">
        <f t="shared" si="1"/>
        <v>0</v>
      </c>
      <c r="M26" s="43"/>
      <c r="N26" s="46">
        <f t="shared" si="2"/>
        <v>0</v>
      </c>
      <c r="O26" s="47" t="str">
        <f t="shared" si="3"/>
        <v/>
      </c>
    </row>
    <row r="27" spans="2:15" x14ac:dyDescent="0.25">
      <c r="B27" s="48"/>
      <c r="C27" s="37"/>
      <c r="D27" s="38"/>
      <c r="E27" s="39"/>
      <c r="F27" s="40"/>
      <c r="G27" s="41">
        <v>1</v>
      </c>
      <c r="H27" s="42">
        <f t="shared" si="0"/>
        <v>0</v>
      </c>
      <c r="I27" s="43"/>
      <c r="J27" s="44"/>
      <c r="K27" s="45">
        <v>1</v>
      </c>
      <c r="L27" s="42">
        <f t="shared" si="1"/>
        <v>0</v>
      </c>
      <c r="M27" s="43"/>
      <c r="N27" s="46">
        <f t="shared" si="2"/>
        <v>0</v>
      </c>
      <c r="O27" s="47" t="str">
        <f t="shared" si="3"/>
        <v/>
      </c>
    </row>
    <row r="28" spans="2:15" x14ac:dyDescent="0.25">
      <c r="B28" s="48"/>
      <c r="C28" s="37"/>
      <c r="D28" s="38"/>
      <c r="E28" s="39"/>
      <c r="F28" s="40"/>
      <c r="G28" s="41">
        <v>1</v>
      </c>
      <c r="H28" s="42">
        <f t="shared" si="0"/>
        <v>0</v>
      </c>
      <c r="I28" s="43"/>
      <c r="J28" s="44"/>
      <c r="K28" s="45">
        <v>1</v>
      </c>
      <c r="L28" s="42">
        <f t="shared" si="1"/>
        <v>0</v>
      </c>
      <c r="M28" s="43"/>
      <c r="N28" s="46">
        <f t="shared" si="2"/>
        <v>0</v>
      </c>
      <c r="O28" s="47" t="str">
        <f t="shared" si="3"/>
        <v/>
      </c>
    </row>
    <row r="29" spans="2:15" x14ac:dyDescent="0.25">
      <c r="B29" s="37" t="s">
        <v>27</v>
      </c>
      <c r="C29" s="37"/>
      <c r="D29" s="38" t="s">
        <v>67</v>
      </c>
      <c r="E29" s="39"/>
      <c r="F29" s="40">
        <v>1.6E-2</v>
      </c>
      <c r="G29" s="41">
        <f>$F$18</f>
        <v>800</v>
      </c>
      <c r="H29" s="42">
        <f t="shared" si="0"/>
        <v>12.8</v>
      </c>
      <c r="I29" s="43"/>
      <c r="J29" s="44">
        <v>1.6E-2</v>
      </c>
      <c r="K29" s="41">
        <f>$F$18</f>
        <v>800</v>
      </c>
      <c r="L29" s="42">
        <f t="shared" si="1"/>
        <v>12.8</v>
      </c>
      <c r="M29" s="43"/>
      <c r="N29" s="46">
        <f t="shared" si="2"/>
        <v>0</v>
      </c>
      <c r="O29" s="47">
        <f t="shared" si="3"/>
        <v>0</v>
      </c>
    </row>
    <row r="30" spans="2:15" x14ac:dyDescent="0.25">
      <c r="B30" s="37" t="s">
        <v>28</v>
      </c>
      <c r="C30" s="37"/>
      <c r="D30" s="38"/>
      <c r="E30" s="39"/>
      <c r="F30" s="40"/>
      <c r="G30" s="41">
        <f t="shared" ref="G30" si="4">$F$18</f>
        <v>800</v>
      </c>
      <c r="H30" s="42">
        <f t="shared" si="0"/>
        <v>0</v>
      </c>
      <c r="I30" s="43"/>
      <c r="J30" s="44"/>
      <c r="K30" s="41">
        <f t="shared" ref="K30:K38" si="5">$F$18</f>
        <v>800</v>
      </c>
      <c r="L30" s="42">
        <f t="shared" si="1"/>
        <v>0</v>
      </c>
      <c r="M30" s="43"/>
      <c r="N30" s="46">
        <f t="shared" si="2"/>
        <v>0</v>
      </c>
      <c r="O30" s="47" t="str">
        <f t="shared" si="3"/>
        <v/>
      </c>
    </row>
    <row r="31" spans="2:15" x14ac:dyDescent="0.25">
      <c r="B31" s="37" t="s">
        <v>29</v>
      </c>
      <c r="C31" s="37"/>
      <c r="D31" s="38"/>
      <c r="E31" s="39"/>
      <c r="F31" s="40"/>
      <c r="G31" s="41">
        <f>$F$18</f>
        <v>800</v>
      </c>
      <c r="H31" s="42">
        <f t="shared" si="0"/>
        <v>0</v>
      </c>
      <c r="I31" s="43"/>
      <c r="J31" s="44"/>
      <c r="K31" s="41">
        <f t="shared" si="5"/>
        <v>800</v>
      </c>
      <c r="L31" s="42">
        <f t="shared" si="1"/>
        <v>0</v>
      </c>
      <c r="M31" s="43"/>
      <c r="N31" s="46">
        <f t="shared" si="2"/>
        <v>0</v>
      </c>
      <c r="O31" s="47" t="str">
        <f t="shared" si="3"/>
        <v/>
      </c>
    </row>
    <row r="32" spans="2:15" x14ac:dyDescent="0.25">
      <c r="B32" s="49" t="s">
        <v>68</v>
      </c>
      <c r="C32" s="37"/>
      <c r="D32" s="38" t="s">
        <v>67</v>
      </c>
      <c r="E32" s="39"/>
      <c r="F32" s="40">
        <v>-1E-4</v>
      </c>
      <c r="G32" s="41">
        <f t="shared" ref="G32:G38" si="6">$F$18</f>
        <v>800</v>
      </c>
      <c r="H32" s="42">
        <f t="shared" si="0"/>
        <v>-0.08</v>
      </c>
      <c r="I32" s="43"/>
      <c r="J32" s="44">
        <v>-1E-4</v>
      </c>
      <c r="K32" s="41">
        <f t="shared" si="5"/>
        <v>800</v>
      </c>
      <c r="L32" s="42">
        <f t="shared" si="1"/>
        <v>-0.08</v>
      </c>
      <c r="M32" s="43"/>
      <c r="N32" s="46">
        <f t="shared" si="2"/>
        <v>0</v>
      </c>
      <c r="O32" s="47">
        <f t="shared" si="3"/>
        <v>0</v>
      </c>
    </row>
    <row r="33" spans="2:15" x14ac:dyDescent="0.25">
      <c r="B33" s="49"/>
      <c r="C33" s="37"/>
      <c r="D33" s="38"/>
      <c r="E33" s="39"/>
      <c r="F33" s="40"/>
      <c r="G33" s="41">
        <f t="shared" si="6"/>
        <v>800</v>
      </c>
      <c r="H33" s="42">
        <f t="shared" si="0"/>
        <v>0</v>
      </c>
      <c r="I33" s="43"/>
      <c r="J33" s="44"/>
      <c r="K33" s="41">
        <f t="shared" si="5"/>
        <v>800</v>
      </c>
      <c r="L33" s="42">
        <f t="shared" si="1"/>
        <v>0</v>
      </c>
      <c r="M33" s="43"/>
      <c r="N33" s="46">
        <f t="shared" si="2"/>
        <v>0</v>
      </c>
      <c r="O33" s="47" t="str">
        <f t="shared" si="3"/>
        <v/>
      </c>
    </row>
    <row r="34" spans="2:15" x14ac:dyDescent="0.25">
      <c r="B34" s="49"/>
      <c r="C34" s="37"/>
      <c r="D34" s="38"/>
      <c r="E34" s="39"/>
      <c r="F34" s="40"/>
      <c r="G34" s="41">
        <f t="shared" si="6"/>
        <v>800</v>
      </c>
      <c r="H34" s="42">
        <f t="shared" si="0"/>
        <v>0</v>
      </c>
      <c r="I34" s="43"/>
      <c r="J34" s="44"/>
      <c r="K34" s="41">
        <f t="shared" si="5"/>
        <v>800</v>
      </c>
      <c r="L34" s="42">
        <f t="shared" si="1"/>
        <v>0</v>
      </c>
      <c r="M34" s="43"/>
      <c r="N34" s="46">
        <f t="shared" si="2"/>
        <v>0</v>
      </c>
      <c r="O34" s="47" t="str">
        <f t="shared" si="3"/>
        <v/>
      </c>
    </row>
    <row r="35" spans="2:15" x14ac:dyDescent="0.25">
      <c r="B35" s="49"/>
      <c r="C35" s="37"/>
      <c r="D35" s="38"/>
      <c r="E35" s="39"/>
      <c r="F35" s="40"/>
      <c r="G35" s="41">
        <f t="shared" si="6"/>
        <v>800</v>
      </c>
      <c r="H35" s="42">
        <f t="shared" si="0"/>
        <v>0</v>
      </c>
      <c r="I35" s="43"/>
      <c r="J35" s="44"/>
      <c r="K35" s="41">
        <f t="shared" si="5"/>
        <v>800</v>
      </c>
      <c r="L35" s="42">
        <f t="shared" si="1"/>
        <v>0</v>
      </c>
      <c r="M35" s="43"/>
      <c r="N35" s="46">
        <f t="shared" si="2"/>
        <v>0</v>
      </c>
      <c r="O35" s="47" t="str">
        <f t="shared" si="3"/>
        <v/>
      </c>
    </row>
    <row r="36" spans="2:15" x14ac:dyDescent="0.25">
      <c r="B36" s="49"/>
      <c r="C36" s="37"/>
      <c r="D36" s="38"/>
      <c r="E36" s="39"/>
      <c r="F36" s="40"/>
      <c r="G36" s="41">
        <f t="shared" si="6"/>
        <v>800</v>
      </c>
      <c r="H36" s="42">
        <f t="shared" si="0"/>
        <v>0</v>
      </c>
      <c r="I36" s="43"/>
      <c r="J36" s="44"/>
      <c r="K36" s="41">
        <f t="shared" si="5"/>
        <v>800</v>
      </c>
      <c r="L36" s="42">
        <f t="shared" si="1"/>
        <v>0</v>
      </c>
      <c r="M36" s="43"/>
      <c r="N36" s="46">
        <f t="shared" si="2"/>
        <v>0</v>
      </c>
      <c r="O36" s="47" t="str">
        <f t="shared" si="3"/>
        <v/>
      </c>
    </row>
    <row r="37" spans="2:15" x14ac:dyDescent="0.25">
      <c r="B37" s="49"/>
      <c r="C37" s="37"/>
      <c r="D37" s="38"/>
      <c r="E37" s="39"/>
      <c r="F37" s="40"/>
      <c r="G37" s="41">
        <f t="shared" si="6"/>
        <v>800</v>
      </c>
      <c r="H37" s="42">
        <f t="shared" si="0"/>
        <v>0</v>
      </c>
      <c r="I37" s="43"/>
      <c r="J37" s="44"/>
      <c r="K37" s="41">
        <f t="shared" si="5"/>
        <v>800</v>
      </c>
      <c r="L37" s="42">
        <f t="shared" si="1"/>
        <v>0</v>
      </c>
      <c r="M37" s="43"/>
      <c r="N37" s="46">
        <f t="shared" si="2"/>
        <v>0</v>
      </c>
      <c r="O37" s="47" t="str">
        <f t="shared" si="3"/>
        <v/>
      </c>
    </row>
    <row r="38" spans="2:15" x14ac:dyDescent="0.25">
      <c r="B38" s="49"/>
      <c r="C38" s="37"/>
      <c r="D38" s="38"/>
      <c r="E38" s="39"/>
      <c r="F38" s="40"/>
      <c r="G38" s="41">
        <f t="shared" si="6"/>
        <v>800</v>
      </c>
      <c r="H38" s="42">
        <f t="shared" si="0"/>
        <v>0</v>
      </c>
      <c r="I38" s="43"/>
      <c r="J38" s="44"/>
      <c r="K38" s="41">
        <f t="shared" si="5"/>
        <v>800</v>
      </c>
      <c r="L38" s="42">
        <f t="shared" si="1"/>
        <v>0</v>
      </c>
      <c r="M38" s="43"/>
      <c r="N38" s="46">
        <f t="shared" si="2"/>
        <v>0</v>
      </c>
      <c r="O38" s="47" t="str">
        <f t="shared" si="3"/>
        <v/>
      </c>
    </row>
    <row r="39" spans="2:15" s="61" customFormat="1" x14ac:dyDescent="0.25">
      <c r="B39" s="50" t="s">
        <v>30</v>
      </c>
      <c r="C39" s="51"/>
      <c r="D39" s="52"/>
      <c r="E39" s="51"/>
      <c r="F39" s="53"/>
      <c r="G39" s="54"/>
      <c r="H39" s="55">
        <f>SUM(H23:H38)</f>
        <v>31.910000000000004</v>
      </c>
      <c r="I39" s="56"/>
      <c r="J39" s="57"/>
      <c r="K39" s="58"/>
      <c r="L39" s="55">
        <f>SUM(L23:L38)</f>
        <v>31.910000000000004</v>
      </c>
      <c r="M39" s="56"/>
      <c r="N39" s="59">
        <f t="shared" si="2"/>
        <v>0</v>
      </c>
      <c r="O39" s="60">
        <f t="shared" si="3"/>
        <v>0</v>
      </c>
    </row>
    <row r="40" spans="2:15" ht="25.5" x14ac:dyDescent="0.25">
      <c r="B40" s="62" t="s">
        <v>31</v>
      </c>
      <c r="C40" s="37"/>
      <c r="D40" s="38" t="s">
        <v>67</v>
      </c>
      <c r="E40" s="39"/>
      <c r="F40" s="40">
        <v>-2.8E-3</v>
      </c>
      <c r="G40" s="41">
        <f>$F$18</f>
        <v>800</v>
      </c>
      <c r="H40" s="42">
        <f>G40*F40</f>
        <v>-2.2399999999999998</v>
      </c>
      <c r="I40" s="43"/>
      <c r="J40" s="44">
        <v>-2.8E-3</v>
      </c>
      <c r="K40" s="41">
        <f>$F$18</f>
        <v>800</v>
      </c>
      <c r="L40" s="42">
        <f>K40*J40</f>
        <v>-2.2399999999999998</v>
      </c>
      <c r="M40" s="43"/>
      <c r="N40" s="46">
        <f>L40-H40</f>
        <v>0</v>
      </c>
      <c r="O40" s="47">
        <f>IF((H40)=0,"",(N40/H40))</f>
        <v>0</v>
      </c>
    </row>
    <row r="41" spans="2:15" ht="25.5" x14ac:dyDescent="0.25">
      <c r="B41" s="62" t="s">
        <v>31</v>
      </c>
      <c r="C41" s="37"/>
      <c r="D41" s="38" t="s">
        <v>67</v>
      </c>
      <c r="E41" s="39"/>
      <c r="F41" s="40">
        <v>-2.0999999999999999E-3</v>
      </c>
      <c r="G41" s="41">
        <f t="shared" ref="G41:G44" si="7">$F$18</f>
        <v>800</v>
      </c>
      <c r="H41" s="42">
        <f t="shared" ref="H41:H45" si="8">G41*F41</f>
        <v>-1.68</v>
      </c>
      <c r="I41" s="63"/>
      <c r="J41" s="44">
        <v>-2.0999999999999999E-3</v>
      </c>
      <c r="K41" s="41">
        <f t="shared" ref="K41:K44" si="9">$F$18</f>
        <v>800</v>
      </c>
      <c r="L41" s="42">
        <f t="shared" ref="L41:L45" si="10">K41*J41</f>
        <v>-1.68</v>
      </c>
      <c r="M41" s="64"/>
      <c r="N41" s="46">
        <f t="shared" ref="N41:N45" si="11">L41-H41</f>
        <v>0</v>
      </c>
      <c r="O41" s="47">
        <f t="shared" ref="O41:O45" si="12">IF((H41)=0,"",(N41/H41))</f>
        <v>0</v>
      </c>
    </row>
    <row r="42" spans="2:15" x14ac:dyDescent="0.25">
      <c r="B42" s="62" t="s">
        <v>69</v>
      </c>
      <c r="C42" s="37"/>
      <c r="D42" s="38" t="s">
        <v>67</v>
      </c>
      <c r="E42" s="39"/>
      <c r="F42" s="40"/>
      <c r="G42" s="41">
        <f t="shared" si="7"/>
        <v>800</v>
      </c>
      <c r="H42" s="42">
        <f t="shared" si="8"/>
        <v>0</v>
      </c>
      <c r="I42" s="63"/>
      <c r="J42" s="44">
        <v>-1.3899999999999999E-2</v>
      </c>
      <c r="K42" s="41">
        <f t="shared" si="9"/>
        <v>800</v>
      </c>
      <c r="L42" s="42">
        <f t="shared" si="10"/>
        <v>-11.12</v>
      </c>
      <c r="M42" s="64"/>
      <c r="N42" s="46">
        <f t="shared" si="11"/>
        <v>-11.12</v>
      </c>
      <c r="O42" s="47" t="str">
        <f t="shared" si="12"/>
        <v/>
      </c>
    </row>
    <row r="43" spans="2:15" x14ac:dyDescent="0.25">
      <c r="B43" s="62"/>
      <c r="C43" s="37"/>
      <c r="D43" s="38"/>
      <c r="E43" s="39"/>
      <c r="F43" s="40"/>
      <c r="G43" s="41">
        <f t="shared" si="7"/>
        <v>800</v>
      </c>
      <c r="H43" s="42">
        <f t="shared" si="8"/>
        <v>0</v>
      </c>
      <c r="I43" s="63"/>
      <c r="J43" s="44"/>
      <c r="K43" s="41">
        <f t="shared" si="9"/>
        <v>800</v>
      </c>
      <c r="L43" s="42">
        <f t="shared" si="10"/>
        <v>0</v>
      </c>
      <c r="M43" s="64"/>
      <c r="N43" s="46">
        <f t="shared" si="11"/>
        <v>0</v>
      </c>
      <c r="O43" s="47" t="str">
        <f t="shared" si="12"/>
        <v/>
      </c>
    </row>
    <row r="44" spans="2:15" x14ac:dyDescent="0.25">
      <c r="B44" s="65" t="s">
        <v>32</v>
      </c>
      <c r="C44" s="37"/>
      <c r="D44" s="38"/>
      <c r="E44" s="39"/>
      <c r="F44" s="40">
        <v>6.9999999999999999E-4</v>
      </c>
      <c r="G44" s="41">
        <f t="shared" si="7"/>
        <v>800</v>
      </c>
      <c r="H44" s="42">
        <f>G44*F44</f>
        <v>0.55999999999999994</v>
      </c>
      <c r="I44" s="43"/>
      <c r="J44" s="44">
        <v>6.9999999999999999E-4</v>
      </c>
      <c r="K44" s="41">
        <f t="shared" si="9"/>
        <v>800</v>
      </c>
      <c r="L44" s="42">
        <f>K44*J44</f>
        <v>0.55999999999999994</v>
      </c>
      <c r="M44" s="43"/>
      <c r="N44" s="46">
        <f>L44-H44</f>
        <v>0</v>
      </c>
      <c r="O44" s="47">
        <f>IF((H44)=0,"",(N44/H44))</f>
        <v>0</v>
      </c>
    </row>
    <row r="45" spans="2:15" x14ac:dyDescent="0.25">
      <c r="B45" s="65" t="s">
        <v>33</v>
      </c>
      <c r="C45" s="37"/>
      <c r="D45" s="38"/>
      <c r="E45" s="39"/>
      <c r="F45" s="66">
        <f>IF(ISBLANK(D16)=TRUE, 0, IF(D16="TOU", 0.64*$F$55+0.18*$F$56+0.18*$F$57, IF(AND(D16="non-TOU", G59&gt;0), F59,F58)))</f>
        <v>8.3919999999999995E-2</v>
      </c>
      <c r="G45" s="67">
        <f>$F$18*(1+$F$74)-$F$18</f>
        <v>8.3679999999999382</v>
      </c>
      <c r="H45" s="42">
        <f t="shared" si="8"/>
        <v>0.70224255999999474</v>
      </c>
      <c r="I45" s="43"/>
      <c r="J45" s="68">
        <f>0.64*$F$55+0.18*$F$56+0.18*$F$57</f>
        <v>8.3919999999999995E-2</v>
      </c>
      <c r="K45" s="67">
        <f>$F$18*(1+$J$74)-$F$18</f>
        <v>8.3679999999999382</v>
      </c>
      <c r="L45" s="42">
        <f t="shared" si="10"/>
        <v>0.70224255999999474</v>
      </c>
      <c r="M45" s="43"/>
      <c r="N45" s="46">
        <f t="shared" si="11"/>
        <v>0</v>
      </c>
      <c r="O45" s="47">
        <f t="shared" si="12"/>
        <v>0</v>
      </c>
    </row>
    <row r="46" spans="2:15" x14ac:dyDescent="0.25">
      <c r="B46" s="65" t="s">
        <v>34</v>
      </c>
      <c r="C46" s="37"/>
      <c r="D46" s="38"/>
      <c r="E46" s="39"/>
      <c r="F46" s="66">
        <v>0.79</v>
      </c>
      <c r="G46" s="41">
        <v>1</v>
      </c>
      <c r="H46" s="42">
        <f>G46*F46</f>
        <v>0.79</v>
      </c>
      <c r="I46" s="43"/>
      <c r="J46" s="66">
        <v>0.79</v>
      </c>
      <c r="K46" s="41">
        <v>1</v>
      </c>
      <c r="L46" s="42">
        <f>K46*J46</f>
        <v>0.79</v>
      </c>
      <c r="M46" s="43"/>
      <c r="N46" s="46">
        <f>L46-H46</f>
        <v>0</v>
      </c>
      <c r="O46" s="47"/>
    </row>
    <row r="47" spans="2:15" ht="25.5" x14ac:dyDescent="0.25">
      <c r="B47" s="69" t="s">
        <v>35</v>
      </c>
      <c r="C47" s="70"/>
      <c r="D47" s="70"/>
      <c r="E47" s="70"/>
      <c r="F47" s="71"/>
      <c r="G47" s="72"/>
      <c r="H47" s="73">
        <f>SUM(H40:H46)+H39</f>
        <v>30.042242559999998</v>
      </c>
      <c r="I47" s="56"/>
      <c r="J47" s="72"/>
      <c r="K47" s="74"/>
      <c r="L47" s="73">
        <f>SUM(L40:L46)+L39</f>
        <v>18.922242560000001</v>
      </c>
      <c r="M47" s="56"/>
      <c r="N47" s="59">
        <f t="shared" ref="N47:N65" si="13">L47-H47</f>
        <v>-11.119999999999997</v>
      </c>
      <c r="O47" s="60">
        <f t="shared" ref="O47:O65" si="14">IF((H47)=0,"",(N47/H47))</f>
        <v>-0.37014547025879541</v>
      </c>
    </row>
    <row r="48" spans="2:15" x14ac:dyDescent="0.25">
      <c r="B48" s="43" t="s">
        <v>36</v>
      </c>
      <c r="C48" s="43"/>
      <c r="D48" s="75" t="s">
        <v>67</v>
      </c>
      <c r="E48" s="76"/>
      <c r="F48" s="44">
        <v>6.1000000000000004E-3</v>
      </c>
      <c r="G48" s="77">
        <f>F18*(1+F74)</f>
        <v>808.36799999999994</v>
      </c>
      <c r="H48" s="42">
        <f>G48*F48</f>
        <v>4.9310447999999996</v>
      </c>
      <c r="I48" s="43"/>
      <c r="J48" s="44">
        <v>6.1000000000000004E-3</v>
      </c>
      <c r="K48" s="78">
        <f>F18*(1+J74)</f>
        <v>808.36799999999994</v>
      </c>
      <c r="L48" s="42">
        <f>K48*J48</f>
        <v>4.9310447999999996</v>
      </c>
      <c r="M48" s="43"/>
      <c r="N48" s="46">
        <f t="shared" si="13"/>
        <v>0</v>
      </c>
      <c r="O48" s="47">
        <f t="shared" si="14"/>
        <v>0</v>
      </c>
    </row>
    <row r="49" spans="2:19" ht="30" x14ac:dyDescent="0.25">
      <c r="B49" s="79" t="s">
        <v>37</v>
      </c>
      <c r="C49" s="43"/>
      <c r="D49" s="75" t="s">
        <v>67</v>
      </c>
      <c r="E49" s="76"/>
      <c r="F49" s="44">
        <v>4.7999999999999996E-3</v>
      </c>
      <c r="G49" s="77">
        <f>G48</f>
        <v>808.36799999999994</v>
      </c>
      <c r="H49" s="42">
        <f>G49*F49</f>
        <v>3.8801663999999993</v>
      </c>
      <c r="I49" s="43"/>
      <c r="J49" s="44">
        <v>4.7999999999999996E-3</v>
      </c>
      <c r="K49" s="78">
        <f>K48</f>
        <v>808.36799999999994</v>
      </c>
      <c r="L49" s="42">
        <f>K49*J49</f>
        <v>3.8801663999999993</v>
      </c>
      <c r="M49" s="43"/>
      <c r="N49" s="46">
        <f t="shared" si="13"/>
        <v>0</v>
      </c>
      <c r="O49" s="47">
        <f t="shared" si="14"/>
        <v>0</v>
      </c>
    </row>
    <row r="50" spans="2:19" ht="25.5" x14ac:dyDescent="0.25">
      <c r="B50" s="69" t="s">
        <v>38</v>
      </c>
      <c r="C50" s="51"/>
      <c r="D50" s="51"/>
      <c r="E50" s="51"/>
      <c r="F50" s="80"/>
      <c r="G50" s="72"/>
      <c r="H50" s="73">
        <f>SUM(H47:H49)</f>
        <v>38.853453760000001</v>
      </c>
      <c r="I50" s="81"/>
      <c r="J50" s="82"/>
      <c r="K50" s="83"/>
      <c r="L50" s="73">
        <f>SUM(L47:L49)</f>
        <v>27.73345376</v>
      </c>
      <c r="M50" s="81"/>
      <c r="N50" s="59">
        <f t="shared" si="13"/>
        <v>-11.120000000000001</v>
      </c>
      <c r="O50" s="60">
        <f t="shared" si="14"/>
        <v>-0.28620364276207916</v>
      </c>
    </row>
    <row r="51" spans="2:19" ht="30" x14ac:dyDescent="0.25">
      <c r="B51" s="84" t="s">
        <v>39</v>
      </c>
      <c r="C51" s="37"/>
      <c r="D51" s="38" t="s">
        <v>67</v>
      </c>
      <c r="E51" s="39"/>
      <c r="F51" s="85">
        <v>4.4000000000000003E-3</v>
      </c>
      <c r="G51" s="77">
        <f>G49</f>
        <v>808.36799999999994</v>
      </c>
      <c r="H51" s="86">
        <f t="shared" ref="H51:H57" si="15">G51*F51</f>
        <v>3.5568192000000001</v>
      </c>
      <c r="I51" s="43"/>
      <c r="J51" s="87">
        <v>4.4000000000000003E-3</v>
      </c>
      <c r="K51" s="78">
        <f>K49</f>
        <v>808.36799999999994</v>
      </c>
      <c r="L51" s="86">
        <f t="shared" ref="L51:L57" si="16">K51*J51</f>
        <v>3.5568192000000001</v>
      </c>
      <c r="M51" s="43"/>
      <c r="N51" s="46">
        <f t="shared" si="13"/>
        <v>0</v>
      </c>
      <c r="O51" s="88">
        <f t="shared" si="14"/>
        <v>0</v>
      </c>
    </row>
    <row r="52" spans="2:19" ht="30" x14ac:dyDescent="0.25">
      <c r="B52" s="84" t="s">
        <v>40</v>
      </c>
      <c r="C52" s="37"/>
      <c r="D52" s="38" t="s">
        <v>67</v>
      </c>
      <c r="E52" s="39"/>
      <c r="F52" s="85">
        <v>1.1999999999999999E-3</v>
      </c>
      <c r="G52" s="77">
        <f>G49</f>
        <v>808.36799999999994</v>
      </c>
      <c r="H52" s="86">
        <f t="shared" si="15"/>
        <v>0.97004159999999984</v>
      </c>
      <c r="I52" s="43"/>
      <c r="J52" s="87">
        <v>1.1999999999999999E-3</v>
      </c>
      <c r="K52" s="78">
        <f>K49</f>
        <v>808.36799999999994</v>
      </c>
      <c r="L52" s="86">
        <f t="shared" si="16"/>
        <v>0.97004159999999984</v>
      </c>
      <c r="M52" s="43"/>
      <c r="N52" s="46">
        <f t="shared" si="13"/>
        <v>0</v>
      </c>
      <c r="O52" s="88">
        <f t="shared" si="14"/>
        <v>0</v>
      </c>
    </row>
    <row r="53" spans="2:19" x14ac:dyDescent="0.25">
      <c r="B53" s="37" t="s">
        <v>41</v>
      </c>
      <c r="C53" s="37"/>
      <c r="D53" s="38" t="s">
        <v>25</v>
      </c>
      <c r="E53" s="39"/>
      <c r="F53" s="85">
        <v>0.25</v>
      </c>
      <c r="G53" s="41">
        <v>1</v>
      </c>
      <c r="H53" s="86">
        <f t="shared" si="15"/>
        <v>0.25</v>
      </c>
      <c r="I53" s="43"/>
      <c r="J53" s="87">
        <v>0.25</v>
      </c>
      <c r="K53" s="45">
        <v>1</v>
      </c>
      <c r="L53" s="86">
        <f t="shared" si="16"/>
        <v>0.25</v>
      </c>
      <c r="M53" s="43"/>
      <c r="N53" s="46">
        <f t="shared" si="13"/>
        <v>0</v>
      </c>
      <c r="O53" s="88">
        <f t="shared" si="14"/>
        <v>0</v>
      </c>
    </row>
    <row r="54" spans="2:19" x14ac:dyDescent="0.25">
      <c r="B54" s="37" t="s">
        <v>42</v>
      </c>
      <c r="C54" s="37"/>
      <c r="D54" s="38" t="s">
        <v>67</v>
      </c>
      <c r="E54" s="39"/>
      <c r="F54" s="40">
        <v>7.0000000000000001E-3</v>
      </c>
      <c r="G54" s="89">
        <f>F18</f>
        <v>800</v>
      </c>
      <c r="H54" s="86">
        <f t="shared" si="15"/>
        <v>5.6000000000000005</v>
      </c>
      <c r="I54" s="43"/>
      <c r="J54" s="87">
        <v>7.0000000000000001E-3</v>
      </c>
      <c r="K54" s="90">
        <f>F18</f>
        <v>800</v>
      </c>
      <c r="L54" s="86">
        <f t="shared" si="16"/>
        <v>5.6000000000000005</v>
      </c>
      <c r="M54" s="43"/>
      <c r="N54" s="46">
        <f t="shared" si="13"/>
        <v>0</v>
      </c>
      <c r="O54" s="88">
        <f t="shared" si="14"/>
        <v>0</v>
      </c>
    </row>
    <row r="55" spans="2:19" x14ac:dyDescent="0.25">
      <c r="B55" s="65" t="s">
        <v>43</v>
      </c>
      <c r="C55" s="37"/>
      <c r="D55" s="38" t="s">
        <v>67</v>
      </c>
      <c r="E55" s="39"/>
      <c r="F55" s="91">
        <v>6.7000000000000004E-2</v>
      </c>
      <c r="G55" s="92">
        <f>0.64*$F$18</f>
        <v>512</v>
      </c>
      <c r="H55" s="86">
        <f t="shared" si="15"/>
        <v>34.304000000000002</v>
      </c>
      <c r="I55" s="43"/>
      <c r="J55" s="85">
        <v>6.7000000000000004E-2</v>
      </c>
      <c r="K55" s="92">
        <f>G55</f>
        <v>512</v>
      </c>
      <c r="L55" s="86">
        <f t="shared" si="16"/>
        <v>34.304000000000002</v>
      </c>
      <c r="M55" s="43"/>
      <c r="N55" s="46">
        <f t="shared" si="13"/>
        <v>0</v>
      </c>
      <c r="O55" s="88">
        <f t="shared" si="14"/>
        <v>0</v>
      </c>
      <c r="S55" s="93"/>
    </row>
    <row r="56" spans="2:19" x14ac:dyDescent="0.25">
      <c r="B56" s="65" t="s">
        <v>44</v>
      </c>
      <c r="C56" s="37"/>
      <c r="D56" s="38" t="s">
        <v>67</v>
      </c>
      <c r="E56" s="39"/>
      <c r="F56" s="91">
        <v>0.104</v>
      </c>
      <c r="G56" s="92">
        <f>0.18*$F$18</f>
        <v>144</v>
      </c>
      <c r="H56" s="86">
        <f t="shared" si="15"/>
        <v>14.975999999999999</v>
      </c>
      <c r="I56" s="43"/>
      <c r="J56" s="85">
        <v>0.104</v>
      </c>
      <c r="K56" s="92">
        <f>G56</f>
        <v>144</v>
      </c>
      <c r="L56" s="86">
        <f t="shared" si="16"/>
        <v>14.975999999999999</v>
      </c>
      <c r="M56" s="43"/>
      <c r="N56" s="46">
        <f t="shared" si="13"/>
        <v>0</v>
      </c>
      <c r="O56" s="88">
        <f t="shared" si="14"/>
        <v>0</v>
      </c>
      <c r="S56" s="93"/>
    </row>
    <row r="57" spans="2:19" x14ac:dyDescent="0.25">
      <c r="B57" s="18" t="s">
        <v>45</v>
      </c>
      <c r="C57" s="37"/>
      <c r="D57" s="38" t="s">
        <v>67</v>
      </c>
      <c r="E57" s="39"/>
      <c r="F57" s="91">
        <v>0.124</v>
      </c>
      <c r="G57" s="92">
        <f>0.18*$F$18</f>
        <v>144</v>
      </c>
      <c r="H57" s="86">
        <f t="shared" si="15"/>
        <v>17.856000000000002</v>
      </c>
      <c r="I57" s="43"/>
      <c r="J57" s="85">
        <v>0.124</v>
      </c>
      <c r="K57" s="92">
        <f>G57</f>
        <v>144</v>
      </c>
      <c r="L57" s="86">
        <f t="shared" si="16"/>
        <v>17.856000000000002</v>
      </c>
      <c r="M57" s="43"/>
      <c r="N57" s="46">
        <f t="shared" si="13"/>
        <v>0</v>
      </c>
      <c r="O57" s="88">
        <f t="shared" si="14"/>
        <v>0</v>
      </c>
      <c r="S57" s="93"/>
    </row>
    <row r="58" spans="2:19" s="101" customFormat="1" x14ac:dyDescent="0.2">
      <c r="B58" s="94" t="s">
        <v>46</v>
      </c>
      <c r="C58" s="95"/>
      <c r="D58" s="96" t="s">
        <v>67</v>
      </c>
      <c r="E58" s="97"/>
      <c r="F58" s="91">
        <v>7.4999999999999997E-2</v>
      </c>
      <c r="G58" s="98">
        <f>IF(AND($T$1=1, F18&gt;=600), 600, IF(AND($T$1=1, AND(F18&lt;600, F18&gt;=0)), F18, IF(AND($T$1=2, F18&gt;=1000), 1000, IF(AND($T$1=2, AND(F18&lt;1000, F18&gt;=0)), F18))))</f>
        <v>600</v>
      </c>
      <c r="H58" s="86">
        <f>G58*F58</f>
        <v>45</v>
      </c>
      <c r="I58" s="99"/>
      <c r="J58" s="85">
        <v>7.4999999999999997E-2</v>
      </c>
      <c r="K58" s="98">
        <f>G58</f>
        <v>600</v>
      </c>
      <c r="L58" s="86">
        <f>K58*J58</f>
        <v>45</v>
      </c>
      <c r="M58" s="99"/>
      <c r="N58" s="100">
        <f t="shared" si="13"/>
        <v>0</v>
      </c>
      <c r="O58" s="88">
        <f t="shared" si="14"/>
        <v>0</v>
      </c>
    </row>
    <row r="59" spans="2:19" s="101" customFormat="1" ht="15.75" thickBot="1" x14ac:dyDescent="0.25">
      <c r="B59" s="94" t="s">
        <v>47</v>
      </c>
      <c r="C59" s="95"/>
      <c r="D59" s="96" t="s">
        <v>67</v>
      </c>
      <c r="E59" s="97"/>
      <c r="F59" s="91">
        <v>8.7999999999999995E-2</v>
      </c>
      <c r="G59" s="98">
        <f>IF(AND($T$1=1, F18&gt;=600), F18-600, IF(AND($T$1=1, AND(F18&lt;600, F18&gt;=0)), 0, IF(AND($T$1=2, F18&gt;=1000), F18-1000, IF(AND($T$1=2, AND(F18&lt;1000, F18&gt;=0)), 0))))</f>
        <v>200</v>
      </c>
      <c r="H59" s="86">
        <f>G59*F59</f>
        <v>17.599999999999998</v>
      </c>
      <c r="I59" s="99"/>
      <c r="J59" s="85">
        <v>8.7999999999999995E-2</v>
      </c>
      <c r="K59" s="98">
        <f>G59</f>
        <v>200</v>
      </c>
      <c r="L59" s="86">
        <f>K59*J59</f>
        <v>17.599999999999998</v>
      </c>
      <c r="M59" s="99"/>
      <c r="N59" s="100">
        <f t="shared" si="13"/>
        <v>0</v>
      </c>
      <c r="O59" s="88">
        <f t="shared" si="14"/>
        <v>0</v>
      </c>
    </row>
    <row r="60" spans="2:19" ht="15.75" thickBot="1" x14ac:dyDescent="0.3">
      <c r="B60" s="102"/>
      <c r="C60" s="103"/>
      <c r="D60" s="104"/>
      <c r="E60" s="103"/>
      <c r="F60" s="105"/>
      <c r="G60" s="106"/>
      <c r="H60" s="107"/>
      <c r="I60" s="108"/>
      <c r="J60" s="105"/>
      <c r="K60" s="109"/>
      <c r="L60" s="107"/>
      <c r="M60" s="108"/>
      <c r="N60" s="110"/>
      <c r="O60" s="111"/>
    </row>
    <row r="61" spans="2:19" x14ac:dyDescent="0.25">
      <c r="B61" s="112" t="s">
        <v>48</v>
      </c>
      <c r="C61" s="37"/>
      <c r="D61" s="37"/>
      <c r="E61" s="37"/>
      <c r="F61" s="113"/>
      <c r="G61" s="114"/>
      <c r="H61" s="115">
        <f>SUM(H51:H57,H50)</f>
        <v>116.36631456000001</v>
      </c>
      <c r="I61" s="116"/>
      <c r="J61" s="117"/>
      <c r="K61" s="117"/>
      <c r="L61" s="115">
        <f>SUM(L51:L57,L50)</f>
        <v>105.24631456</v>
      </c>
      <c r="M61" s="118"/>
      <c r="N61" s="119">
        <f t="shared" ref="N61" si="17">L61-H61</f>
        <v>-11.120000000000005</v>
      </c>
      <c r="O61" s="120">
        <f t="shared" ref="O61" si="18">IF((H61)=0,"",(N61/H61))</f>
        <v>-9.5560300608011309E-2</v>
      </c>
      <c r="S61" s="93"/>
    </row>
    <row r="62" spans="2:19" x14ac:dyDescent="0.25">
      <c r="B62" s="121" t="s">
        <v>49</v>
      </c>
      <c r="C62" s="37"/>
      <c r="D62" s="37"/>
      <c r="E62" s="37"/>
      <c r="F62" s="122">
        <v>0.13</v>
      </c>
      <c r="G62" s="123"/>
      <c r="H62" s="124">
        <f>H61*F62</f>
        <v>15.127620892800001</v>
      </c>
      <c r="I62" s="125"/>
      <c r="J62" s="126">
        <v>0.13</v>
      </c>
      <c r="K62" s="125"/>
      <c r="L62" s="127">
        <f>L61*J62</f>
        <v>13.682020892800001</v>
      </c>
      <c r="M62" s="128"/>
      <c r="N62" s="129">
        <f t="shared" si="13"/>
        <v>-1.4456000000000007</v>
      </c>
      <c r="O62" s="130">
        <f t="shared" si="14"/>
        <v>-9.5560300608011323E-2</v>
      </c>
      <c r="S62" s="93"/>
    </row>
    <row r="63" spans="2:19" x14ac:dyDescent="0.25">
      <c r="B63" s="131" t="s">
        <v>50</v>
      </c>
      <c r="C63" s="37"/>
      <c r="D63" s="37"/>
      <c r="E63" s="37"/>
      <c r="F63" s="132"/>
      <c r="G63" s="123"/>
      <c r="H63" s="124">
        <f>H61+H62</f>
        <v>131.4939354528</v>
      </c>
      <c r="I63" s="125"/>
      <c r="J63" s="125"/>
      <c r="K63" s="125"/>
      <c r="L63" s="127">
        <f>L61+L62</f>
        <v>118.9283354528</v>
      </c>
      <c r="M63" s="128"/>
      <c r="N63" s="129">
        <f t="shared" si="13"/>
        <v>-12.565600000000003</v>
      </c>
      <c r="O63" s="130">
        <f t="shared" si="14"/>
        <v>-9.5560300608011309E-2</v>
      </c>
      <c r="S63" s="93"/>
    </row>
    <row r="64" spans="2:19" x14ac:dyDescent="0.25">
      <c r="B64" s="133" t="s">
        <v>51</v>
      </c>
      <c r="C64" s="133"/>
      <c r="D64" s="133"/>
      <c r="E64" s="37"/>
      <c r="F64" s="132"/>
      <c r="G64" s="123"/>
      <c r="H64" s="134">
        <f>ROUND(-H63*10%,2)</f>
        <v>-13.15</v>
      </c>
      <c r="I64" s="125"/>
      <c r="J64" s="125"/>
      <c r="K64" s="125"/>
      <c r="L64" s="135">
        <f>ROUND(-L63*10%,2)</f>
        <v>-11.89</v>
      </c>
      <c r="M64" s="128"/>
      <c r="N64" s="136">
        <f t="shared" si="13"/>
        <v>1.2599999999999998</v>
      </c>
      <c r="O64" s="137">
        <f t="shared" si="14"/>
        <v>-9.5817490494296553E-2</v>
      </c>
    </row>
    <row r="65" spans="1:15" ht="15.75" thickBot="1" x14ac:dyDescent="0.3">
      <c r="B65" s="138" t="s">
        <v>52</v>
      </c>
      <c r="C65" s="138"/>
      <c r="D65" s="138"/>
      <c r="E65" s="139"/>
      <c r="F65" s="140"/>
      <c r="G65" s="141"/>
      <c r="H65" s="142">
        <f>H63+H64</f>
        <v>118.3439354528</v>
      </c>
      <c r="I65" s="143"/>
      <c r="J65" s="143"/>
      <c r="K65" s="143"/>
      <c r="L65" s="144">
        <f>L63+L64</f>
        <v>107.0383354528</v>
      </c>
      <c r="M65" s="145"/>
      <c r="N65" s="146">
        <f t="shared" si="13"/>
        <v>-11.305599999999998</v>
      </c>
      <c r="O65" s="147">
        <f t="shared" si="14"/>
        <v>-9.5531722489565984E-2</v>
      </c>
    </row>
    <row r="66" spans="1:15" s="101" customFormat="1" ht="15.75" thickBot="1" x14ac:dyDescent="0.25">
      <c r="B66" s="148"/>
      <c r="C66" s="149"/>
      <c r="D66" s="150"/>
      <c r="E66" s="149"/>
      <c r="F66" s="105"/>
      <c r="G66" s="151"/>
      <c r="H66" s="107"/>
      <c r="I66" s="152"/>
      <c r="J66" s="105"/>
      <c r="K66" s="153"/>
      <c r="L66" s="107"/>
      <c r="M66" s="152"/>
      <c r="N66" s="154"/>
      <c r="O66" s="111"/>
    </row>
    <row r="67" spans="1:15" s="101" customFormat="1" ht="12.75" x14ac:dyDescent="0.2">
      <c r="B67" s="155" t="s">
        <v>53</v>
      </c>
      <c r="C67" s="95"/>
      <c r="D67" s="95"/>
      <c r="E67" s="95"/>
      <c r="F67" s="156"/>
      <c r="G67" s="157"/>
      <c r="H67" s="158">
        <f>SUM(H58:H59,H50,H51:H54)</f>
        <v>111.83031456000001</v>
      </c>
      <c r="I67" s="159"/>
      <c r="J67" s="160"/>
      <c r="K67" s="160"/>
      <c r="L67" s="158">
        <f>SUM(L58:L59,L50,L51:L54)</f>
        <v>100.71031456</v>
      </c>
      <c r="M67" s="161"/>
      <c r="N67" s="162">
        <f t="shared" ref="N67:N71" si="19">L67-H67</f>
        <v>-11.120000000000005</v>
      </c>
      <c r="O67" s="120">
        <f t="shared" ref="O67:O71" si="20">IF((H67)=0,"",(N67/H67))</f>
        <v>-9.9436365208771915E-2</v>
      </c>
    </row>
    <row r="68" spans="1:15" s="101" customFormat="1" ht="12.75" x14ac:dyDescent="0.2">
      <c r="B68" s="163" t="s">
        <v>49</v>
      </c>
      <c r="C68" s="95"/>
      <c r="D68" s="95"/>
      <c r="E68" s="95"/>
      <c r="F68" s="164">
        <v>0.13</v>
      </c>
      <c r="G68" s="157"/>
      <c r="H68" s="165">
        <f>H67*F68</f>
        <v>14.537940892800002</v>
      </c>
      <c r="I68" s="166"/>
      <c r="J68" s="167">
        <v>0.13</v>
      </c>
      <c r="K68" s="168"/>
      <c r="L68" s="169">
        <f>L67*J68</f>
        <v>13.092340892800001</v>
      </c>
      <c r="M68" s="170"/>
      <c r="N68" s="171">
        <f t="shared" si="19"/>
        <v>-1.4456000000000007</v>
      </c>
      <c r="O68" s="130">
        <f t="shared" si="20"/>
        <v>-9.9436365208771915E-2</v>
      </c>
    </row>
    <row r="69" spans="1:15" s="101" customFormat="1" ht="12.75" x14ac:dyDescent="0.2">
      <c r="B69" s="172" t="s">
        <v>50</v>
      </c>
      <c r="C69" s="95"/>
      <c r="D69" s="95"/>
      <c r="E69" s="95"/>
      <c r="F69" s="173"/>
      <c r="G69" s="174"/>
      <c r="H69" s="165">
        <f>H67+H68</f>
        <v>126.36825545280001</v>
      </c>
      <c r="I69" s="166"/>
      <c r="J69" s="166"/>
      <c r="K69" s="166"/>
      <c r="L69" s="169">
        <f>L67+L68</f>
        <v>113.8026554528</v>
      </c>
      <c r="M69" s="170"/>
      <c r="N69" s="171">
        <f t="shared" si="19"/>
        <v>-12.565600000000018</v>
      </c>
      <c r="O69" s="130">
        <f t="shared" si="20"/>
        <v>-9.9436365208772012E-2</v>
      </c>
    </row>
    <row r="70" spans="1:15" s="101" customFormat="1" ht="12.75" x14ac:dyDescent="0.2">
      <c r="B70" s="175" t="s">
        <v>51</v>
      </c>
      <c r="C70" s="175"/>
      <c r="D70" s="175"/>
      <c r="E70" s="95"/>
      <c r="F70" s="173"/>
      <c r="G70" s="174"/>
      <c r="H70" s="176">
        <f>ROUND(-H69*10%,2)</f>
        <v>-12.64</v>
      </c>
      <c r="I70" s="166"/>
      <c r="J70" s="166"/>
      <c r="K70" s="166"/>
      <c r="L70" s="177">
        <f>ROUND(-L69*10%,2)</f>
        <v>-11.38</v>
      </c>
      <c r="M70" s="170"/>
      <c r="N70" s="178">
        <f t="shared" si="19"/>
        <v>1.2599999999999998</v>
      </c>
      <c r="O70" s="137">
        <f t="shared" si="20"/>
        <v>-9.9683544303797444E-2</v>
      </c>
    </row>
    <row r="71" spans="1:15" s="101" customFormat="1" ht="13.5" thickBot="1" x14ac:dyDescent="0.25">
      <c r="B71" s="179" t="s">
        <v>54</v>
      </c>
      <c r="C71" s="179"/>
      <c r="D71" s="179"/>
      <c r="E71" s="180"/>
      <c r="F71" s="181"/>
      <c r="G71" s="182"/>
      <c r="H71" s="183">
        <f>SUM(H69:H70)</f>
        <v>113.72825545280001</v>
      </c>
      <c r="I71" s="184"/>
      <c r="J71" s="184"/>
      <c r="K71" s="184"/>
      <c r="L71" s="185">
        <f>SUM(L69:L70)</f>
        <v>102.4226554528</v>
      </c>
      <c r="M71" s="186"/>
      <c r="N71" s="187">
        <f t="shared" si="19"/>
        <v>-11.305600000000013</v>
      </c>
      <c r="O71" s="188">
        <f t="shared" si="20"/>
        <v>-9.9408893198859552E-2</v>
      </c>
    </row>
    <row r="72" spans="1:15" s="101" customFormat="1" ht="15.75" thickBot="1" x14ac:dyDescent="0.25">
      <c r="B72" s="148"/>
      <c r="C72" s="149"/>
      <c r="D72" s="150"/>
      <c r="E72" s="149"/>
      <c r="F72" s="189"/>
      <c r="G72" s="190"/>
      <c r="H72" s="191"/>
      <c r="I72" s="192"/>
      <c r="J72" s="189"/>
      <c r="K72" s="151"/>
      <c r="L72" s="193"/>
      <c r="M72" s="152"/>
      <c r="N72" s="194"/>
      <c r="O72" s="111"/>
    </row>
    <row r="73" spans="1:15" x14ac:dyDescent="0.25">
      <c r="L73" s="93"/>
    </row>
    <row r="74" spans="1:15" x14ac:dyDescent="0.25">
      <c r="B74" s="19" t="s">
        <v>55</v>
      </c>
      <c r="F74" s="197">
        <v>1.0460000000000001E-2</v>
      </c>
      <c r="J74" s="197">
        <v>1.0460000000000001E-2</v>
      </c>
    </row>
    <row r="76" spans="1:15" x14ac:dyDescent="0.25">
      <c r="A76" s="195" t="s">
        <v>56</v>
      </c>
    </row>
    <row r="78" spans="1:15" x14ac:dyDescent="0.25">
      <c r="A78" s="11" t="s">
        <v>57</v>
      </c>
    </row>
    <row r="79" spans="1:15" x14ac:dyDescent="0.25">
      <c r="A79" s="11" t="s">
        <v>58</v>
      </c>
    </row>
    <row r="81" spans="1:2" x14ac:dyDescent="0.25">
      <c r="A81" s="18" t="s">
        <v>59</v>
      </c>
    </row>
    <row r="82" spans="1:2" x14ac:dyDescent="0.25">
      <c r="A82" s="18" t="s">
        <v>60</v>
      </c>
    </row>
    <row r="84" spans="1:2" x14ac:dyDescent="0.25">
      <c r="A84" s="11" t="s">
        <v>61</v>
      </c>
    </row>
    <row r="85" spans="1:2" x14ac:dyDescent="0.25">
      <c r="A85" s="11" t="s">
        <v>62</v>
      </c>
    </row>
    <row r="86" spans="1:2" x14ac:dyDescent="0.25">
      <c r="A86" s="11" t="s">
        <v>63</v>
      </c>
    </row>
    <row r="87" spans="1:2" x14ac:dyDescent="0.25">
      <c r="A87" s="11" t="s">
        <v>64</v>
      </c>
    </row>
    <row r="88" spans="1:2" x14ac:dyDescent="0.25">
      <c r="A88" s="11" t="s">
        <v>65</v>
      </c>
    </row>
    <row r="90" spans="1:2" x14ac:dyDescent="0.25">
      <c r="A90" s="196"/>
      <c r="B90" s="11" t="s">
        <v>66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pageSetup scale="4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showGridLines="0" topLeftCell="A55" workbookViewId="0">
      <selection activeCell="N9" sqref="N9"/>
    </sheetView>
  </sheetViews>
  <sheetFormatPr defaultRowHeight="15" x14ac:dyDescent="0.25"/>
  <cols>
    <col min="1" max="1" width="2.140625" style="11" customWidth="1"/>
    <col min="2" max="2" width="26.5703125" style="11" customWidth="1"/>
    <col min="3" max="3" width="1.28515625" style="11" customWidth="1"/>
    <col min="4" max="4" width="11.28515625" style="11" customWidth="1"/>
    <col min="5" max="5" width="1.28515625" style="11" customWidth="1"/>
    <col min="6" max="6" width="12.28515625" style="11" customWidth="1"/>
    <col min="7" max="7" width="8.5703125" style="11" customWidth="1"/>
    <col min="8" max="8" width="9.7109375" style="11" customWidth="1"/>
    <col min="9" max="9" width="2.85546875" style="11" customWidth="1"/>
    <col min="10" max="10" width="12.140625" style="11" customWidth="1"/>
    <col min="11" max="11" width="8.5703125" style="11" customWidth="1"/>
    <col min="12" max="12" width="9.7109375" style="11" customWidth="1"/>
    <col min="13" max="13" width="2.85546875" style="11" customWidth="1"/>
    <col min="14" max="14" width="12.7109375" style="11" bestFit="1" customWidth="1"/>
    <col min="15" max="15" width="11.5703125" style="11" bestFit="1" customWidth="1"/>
    <col min="16" max="16" width="3.85546875" style="11" customWidth="1"/>
    <col min="17" max="19" width="9.140625" style="11"/>
    <col min="20" max="20" width="9.140625" style="11" customWidth="1"/>
    <col min="21" max="16384" width="9.140625" style="11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198" t="str">
        <f>Residential!O1</f>
        <v>EB-2013-0270</v>
      </c>
      <c r="P1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/>
      <c r="P3"/>
    </row>
    <row r="4" spans="1:20" s="2" customFormat="1" ht="18" x14ac:dyDescent="0.25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/>
      <c r="P4"/>
    </row>
    <row r="5" spans="1:20" s="2" customFormat="1" ht="15.75" x14ac:dyDescent="0.25">
      <c r="C5" s="9"/>
      <c r="D5" s="9"/>
      <c r="E5" s="9"/>
      <c r="N5" s="3" t="s">
        <v>4</v>
      </c>
      <c r="O5" s="10">
        <v>2</v>
      </c>
      <c r="P5"/>
    </row>
    <row r="6" spans="1:20" s="2" customFormat="1" x14ac:dyDescent="0.25">
      <c r="N6" s="3"/>
      <c r="O6" s="4"/>
      <c r="P6"/>
    </row>
    <row r="7" spans="1:20" s="2" customFormat="1" x14ac:dyDescent="0.25">
      <c r="N7" s="3" t="s">
        <v>5</v>
      </c>
      <c r="O7" s="199">
        <f ca="1">Residential!O7</f>
        <v>41487.495959490741</v>
      </c>
      <c r="P7"/>
    </row>
    <row r="8" spans="1:20" s="2" customFormat="1" x14ac:dyDescent="0.25">
      <c r="N8" s="11"/>
      <c r="O8"/>
      <c r="P8"/>
    </row>
    <row r="9" spans="1:20" x14ac:dyDescent="0.25">
      <c r="L9"/>
      <c r="M9"/>
      <c r="N9"/>
      <c r="O9"/>
      <c r="P9"/>
    </row>
    <row r="10" spans="1:20" ht="18" x14ac:dyDescent="0.25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</row>
    <row r="11" spans="1:20" ht="18" x14ac:dyDescent="0.25"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/>
    </row>
    <row r="12" spans="1:20" x14ac:dyDescent="0.25">
      <c r="L12"/>
      <c r="M12"/>
      <c r="N12"/>
      <c r="O12"/>
      <c r="P12"/>
    </row>
    <row r="13" spans="1:20" x14ac:dyDescent="0.25">
      <c r="L13"/>
      <c r="M13"/>
      <c r="N13"/>
      <c r="O13"/>
      <c r="P13"/>
    </row>
    <row r="14" spans="1:20" ht="15.75" x14ac:dyDescent="0.25">
      <c r="B14" s="13" t="s">
        <v>8</v>
      </c>
      <c r="D14" s="14" t="s">
        <v>70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0" ht="15.75" x14ac:dyDescent="0.25">
      <c r="B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0" ht="15.75" x14ac:dyDescent="0.25">
      <c r="B16" s="13" t="s">
        <v>10</v>
      </c>
      <c r="D16" s="17" t="s">
        <v>11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ht="15.75" x14ac:dyDescent="0.25">
      <c r="B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x14ac:dyDescent="0.25">
      <c r="B18" s="18"/>
      <c r="D18" s="19" t="s">
        <v>12</v>
      </c>
      <c r="E18" s="19"/>
      <c r="F18" s="20">
        <v>2000</v>
      </c>
      <c r="G18" s="19" t="s">
        <v>13</v>
      </c>
    </row>
    <row r="19" spans="2:15" x14ac:dyDescent="0.25">
      <c r="B19" s="18"/>
    </row>
    <row r="20" spans="2:15" x14ac:dyDescent="0.25">
      <c r="B20" s="18"/>
      <c r="D20" s="21"/>
      <c r="E20" s="21"/>
      <c r="F20" s="22" t="s">
        <v>14</v>
      </c>
      <c r="G20" s="23"/>
      <c r="H20" s="24"/>
      <c r="J20" s="22" t="s">
        <v>15</v>
      </c>
      <c r="K20" s="23"/>
      <c r="L20" s="24"/>
      <c r="N20" s="22" t="s">
        <v>16</v>
      </c>
      <c r="O20" s="24"/>
    </row>
    <row r="21" spans="2:15" x14ac:dyDescent="0.25">
      <c r="B21" s="18"/>
      <c r="D21" s="25" t="s">
        <v>17</v>
      </c>
      <c r="E21" s="26"/>
      <c r="F21" s="27" t="s">
        <v>18</v>
      </c>
      <c r="G21" s="27" t="s">
        <v>19</v>
      </c>
      <c r="H21" s="28" t="s">
        <v>20</v>
      </c>
      <c r="J21" s="27" t="s">
        <v>18</v>
      </c>
      <c r="K21" s="29" t="s">
        <v>19</v>
      </c>
      <c r="L21" s="28" t="s">
        <v>20</v>
      </c>
      <c r="N21" s="30" t="s">
        <v>21</v>
      </c>
      <c r="O21" s="31" t="s">
        <v>22</v>
      </c>
    </row>
    <row r="22" spans="2:15" x14ac:dyDescent="0.25">
      <c r="B22" s="18"/>
      <c r="D22" s="32"/>
      <c r="E22" s="26"/>
      <c r="F22" s="33" t="s">
        <v>23</v>
      </c>
      <c r="G22" s="33"/>
      <c r="H22" s="34" t="s">
        <v>23</v>
      </c>
      <c r="J22" s="33" t="s">
        <v>23</v>
      </c>
      <c r="K22" s="34"/>
      <c r="L22" s="34" t="s">
        <v>23</v>
      </c>
      <c r="N22" s="35"/>
      <c r="O22" s="36"/>
    </row>
    <row r="23" spans="2:15" x14ac:dyDescent="0.25">
      <c r="B23" s="37" t="s">
        <v>24</v>
      </c>
      <c r="C23" s="37"/>
      <c r="D23" s="38" t="s">
        <v>25</v>
      </c>
      <c r="E23" s="39"/>
      <c r="F23" s="40">
        <v>19.760000000000002</v>
      </c>
      <c r="G23" s="41">
        <v>1</v>
      </c>
      <c r="H23" s="42">
        <f>G23*F23</f>
        <v>19.760000000000002</v>
      </c>
      <c r="I23" s="43"/>
      <c r="J23" s="44">
        <v>19.760000000000002</v>
      </c>
      <c r="K23" s="45">
        <v>1</v>
      </c>
      <c r="L23" s="42">
        <f>K23*J23</f>
        <v>19.760000000000002</v>
      </c>
      <c r="M23" s="43"/>
      <c r="N23" s="46">
        <f>L23-H23</f>
        <v>0</v>
      </c>
      <c r="O23" s="47">
        <f>IF((H23)=0,"",(N23/H23))</f>
        <v>0</v>
      </c>
    </row>
    <row r="24" spans="2:15" x14ac:dyDescent="0.25">
      <c r="B24" s="37" t="s">
        <v>26</v>
      </c>
      <c r="C24" s="37"/>
      <c r="D24" s="38"/>
      <c r="E24" s="39"/>
      <c r="F24" s="40"/>
      <c r="G24" s="41">
        <v>1</v>
      </c>
      <c r="H24" s="42">
        <f t="shared" ref="H24:H38" si="0">G24*F24</f>
        <v>0</v>
      </c>
      <c r="I24" s="43"/>
      <c r="J24" s="44"/>
      <c r="K24" s="45">
        <v>1</v>
      </c>
      <c r="L24" s="42">
        <f>K24*J24</f>
        <v>0</v>
      </c>
      <c r="M24" s="43"/>
      <c r="N24" s="46">
        <f>L24-H24</f>
        <v>0</v>
      </c>
      <c r="O24" s="47" t="str">
        <f>IF((H24)=0,"",(N24/H24))</f>
        <v/>
      </c>
    </row>
    <row r="25" spans="2:15" x14ac:dyDescent="0.25">
      <c r="B25" s="48"/>
      <c r="C25" s="37"/>
      <c r="D25" s="38"/>
      <c r="E25" s="39"/>
      <c r="F25" s="40"/>
      <c r="G25" s="41">
        <v>1</v>
      </c>
      <c r="H25" s="42">
        <f t="shared" si="0"/>
        <v>0</v>
      </c>
      <c r="I25" s="43"/>
      <c r="J25" s="44"/>
      <c r="K25" s="45">
        <v>1</v>
      </c>
      <c r="L25" s="42">
        <f t="shared" ref="L25:L38" si="1">K25*J25</f>
        <v>0</v>
      </c>
      <c r="M25" s="43"/>
      <c r="N25" s="46">
        <f t="shared" ref="N25:N39" si="2">L25-H25</f>
        <v>0</v>
      </c>
      <c r="O25" s="47" t="str">
        <f t="shared" ref="O25:O39" si="3">IF((H25)=0,"",(N25/H25))</f>
        <v/>
      </c>
    </row>
    <row r="26" spans="2:15" x14ac:dyDescent="0.25">
      <c r="B26" s="48"/>
      <c r="C26" s="37"/>
      <c r="D26" s="38"/>
      <c r="E26" s="39"/>
      <c r="F26" s="40"/>
      <c r="G26" s="41">
        <v>1</v>
      </c>
      <c r="H26" s="42">
        <f t="shared" si="0"/>
        <v>0</v>
      </c>
      <c r="I26" s="43"/>
      <c r="J26" s="44"/>
      <c r="K26" s="45">
        <v>1</v>
      </c>
      <c r="L26" s="42">
        <f t="shared" si="1"/>
        <v>0</v>
      </c>
      <c r="M26" s="43"/>
      <c r="N26" s="46">
        <f t="shared" si="2"/>
        <v>0</v>
      </c>
      <c r="O26" s="47" t="str">
        <f t="shared" si="3"/>
        <v/>
      </c>
    </row>
    <row r="27" spans="2:15" x14ac:dyDescent="0.25">
      <c r="B27" s="48"/>
      <c r="C27" s="37"/>
      <c r="D27" s="38"/>
      <c r="E27" s="39"/>
      <c r="F27" s="40"/>
      <c r="G27" s="41">
        <v>1</v>
      </c>
      <c r="H27" s="42">
        <f t="shared" si="0"/>
        <v>0</v>
      </c>
      <c r="I27" s="43"/>
      <c r="J27" s="44"/>
      <c r="K27" s="45">
        <v>1</v>
      </c>
      <c r="L27" s="42">
        <f t="shared" si="1"/>
        <v>0</v>
      </c>
      <c r="M27" s="43"/>
      <c r="N27" s="46">
        <f t="shared" si="2"/>
        <v>0</v>
      </c>
      <c r="O27" s="47" t="str">
        <f t="shared" si="3"/>
        <v/>
      </c>
    </row>
    <row r="28" spans="2:15" x14ac:dyDescent="0.25">
      <c r="B28" s="48"/>
      <c r="C28" s="37"/>
      <c r="D28" s="38"/>
      <c r="E28" s="39"/>
      <c r="F28" s="40"/>
      <c r="G28" s="41">
        <v>1</v>
      </c>
      <c r="H28" s="42">
        <f t="shared" si="0"/>
        <v>0</v>
      </c>
      <c r="I28" s="43"/>
      <c r="J28" s="44"/>
      <c r="K28" s="45">
        <v>1</v>
      </c>
      <c r="L28" s="42">
        <f t="shared" si="1"/>
        <v>0</v>
      </c>
      <c r="M28" s="43"/>
      <c r="N28" s="46">
        <f t="shared" si="2"/>
        <v>0</v>
      </c>
      <c r="O28" s="47" t="str">
        <f t="shared" si="3"/>
        <v/>
      </c>
    </row>
    <row r="29" spans="2:15" x14ac:dyDescent="0.25">
      <c r="B29" s="37" t="s">
        <v>27</v>
      </c>
      <c r="C29" s="37"/>
      <c r="D29" s="38" t="s">
        <v>67</v>
      </c>
      <c r="E29" s="39"/>
      <c r="F29" s="40">
        <v>6.7000000000000002E-3</v>
      </c>
      <c r="G29" s="41">
        <f>$F$18</f>
        <v>2000</v>
      </c>
      <c r="H29" s="42">
        <f t="shared" si="0"/>
        <v>13.4</v>
      </c>
      <c r="I29" s="43"/>
      <c r="J29" s="44">
        <v>6.7000000000000002E-3</v>
      </c>
      <c r="K29" s="41">
        <f>$F$18</f>
        <v>2000</v>
      </c>
      <c r="L29" s="42">
        <f t="shared" si="1"/>
        <v>13.4</v>
      </c>
      <c r="M29" s="43"/>
      <c r="N29" s="46">
        <f t="shared" si="2"/>
        <v>0</v>
      </c>
      <c r="O29" s="47">
        <f t="shared" si="3"/>
        <v>0</v>
      </c>
    </row>
    <row r="30" spans="2:15" x14ac:dyDescent="0.25">
      <c r="B30" s="37" t="s">
        <v>28</v>
      </c>
      <c r="C30" s="37"/>
      <c r="D30" s="38"/>
      <c r="E30" s="39"/>
      <c r="F30" s="40"/>
      <c r="G30" s="41">
        <f t="shared" ref="G30" si="4">$F$18</f>
        <v>2000</v>
      </c>
      <c r="H30" s="42">
        <f t="shared" si="0"/>
        <v>0</v>
      </c>
      <c r="I30" s="43"/>
      <c r="J30" s="44"/>
      <c r="K30" s="41">
        <f t="shared" ref="K30:K38" si="5">$F$18</f>
        <v>2000</v>
      </c>
      <c r="L30" s="42">
        <f t="shared" si="1"/>
        <v>0</v>
      </c>
      <c r="M30" s="43"/>
      <c r="N30" s="46">
        <f t="shared" si="2"/>
        <v>0</v>
      </c>
      <c r="O30" s="47" t="str">
        <f t="shared" si="3"/>
        <v/>
      </c>
    </row>
    <row r="31" spans="2:15" x14ac:dyDescent="0.25">
      <c r="B31" s="37" t="s">
        <v>29</v>
      </c>
      <c r="C31" s="37"/>
      <c r="D31" s="38"/>
      <c r="E31" s="39"/>
      <c r="F31" s="40"/>
      <c r="G31" s="41">
        <f>$F$18</f>
        <v>2000</v>
      </c>
      <c r="H31" s="42">
        <f t="shared" si="0"/>
        <v>0</v>
      </c>
      <c r="I31" s="43"/>
      <c r="J31" s="44"/>
      <c r="K31" s="41">
        <f t="shared" si="5"/>
        <v>2000</v>
      </c>
      <c r="L31" s="42">
        <f t="shared" si="1"/>
        <v>0</v>
      </c>
      <c r="M31" s="43"/>
      <c r="N31" s="46">
        <f t="shared" si="2"/>
        <v>0</v>
      </c>
      <c r="O31" s="47" t="str">
        <f t="shared" si="3"/>
        <v/>
      </c>
    </row>
    <row r="32" spans="2:15" x14ac:dyDescent="0.25">
      <c r="B32" s="49" t="s">
        <v>68</v>
      </c>
      <c r="C32" s="37"/>
      <c r="D32" s="38" t="s">
        <v>67</v>
      </c>
      <c r="E32" s="39"/>
      <c r="F32" s="40">
        <v>-1E-4</v>
      </c>
      <c r="G32" s="41">
        <f t="shared" ref="G32:G38" si="6">$F$18</f>
        <v>2000</v>
      </c>
      <c r="H32" s="42">
        <f t="shared" si="0"/>
        <v>-0.2</v>
      </c>
      <c r="I32" s="43"/>
      <c r="J32" s="44">
        <v>-1E-4</v>
      </c>
      <c r="K32" s="41">
        <f t="shared" si="5"/>
        <v>2000</v>
      </c>
      <c r="L32" s="42">
        <f t="shared" si="1"/>
        <v>-0.2</v>
      </c>
      <c r="M32" s="43"/>
      <c r="N32" s="46">
        <f t="shared" si="2"/>
        <v>0</v>
      </c>
      <c r="O32" s="47">
        <f t="shared" si="3"/>
        <v>0</v>
      </c>
    </row>
    <row r="33" spans="2:15" x14ac:dyDescent="0.25">
      <c r="B33" s="49"/>
      <c r="C33" s="37"/>
      <c r="D33" s="38"/>
      <c r="E33" s="39"/>
      <c r="F33" s="40"/>
      <c r="G33" s="41">
        <f t="shared" si="6"/>
        <v>2000</v>
      </c>
      <c r="H33" s="42">
        <f t="shared" si="0"/>
        <v>0</v>
      </c>
      <c r="I33" s="43"/>
      <c r="J33" s="44"/>
      <c r="K33" s="41">
        <f t="shared" si="5"/>
        <v>2000</v>
      </c>
      <c r="L33" s="42">
        <f t="shared" si="1"/>
        <v>0</v>
      </c>
      <c r="M33" s="43"/>
      <c r="N33" s="46">
        <f t="shared" si="2"/>
        <v>0</v>
      </c>
      <c r="O33" s="47" t="str">
        <f t="shared" si="3"/>
        <v/>
      </c>
    </row>
    <row r="34" spans="2:15" x14ac:dyDescent="0.25">
      <c r="B34" s="49"/>
      <c r="C34" s="37"/>
      <c r="D34" s="38"/>
      <c r="E34" s="39"/>
      <c r="F34" s="40"/>
      <c r="G34" s="41">
        <f t="shared" si="6"/>
        <v>2000</v>
      </c>
      <c r="H34" s="42">
        <f t="shared" si="0"/>
        <v>0</v>
      </c>
      <c r="I34" s="43"/>
      <c r="J34" s="44"/>
      <c r="K34" s="41">
        <f t="shared" si="5"/>
        <v>2000</v>
      </c>
      <c r="L34" s="42">
        <f t="shared" si="1"/>
        <v>0</v>
      </c>
      <c r="M34" s="43"/>
      <c r="N34" s="46">
        <f t="shared" si="2"/>
        <v>0</v>
      </c>
      <c r="O34" s="47" t="str">
        <f t="shared" si="3"/>
        <v/>
      </c>
    </row>
    <row r="35" spans="2:15" x14ac:dyDescent="0.25">
      <c r="B35" s="49"/>
      <c r="C35" s="37"/>
      <c r="D35" s="38"/>
      <c r="E35" s="39"/>
      <c r="F35" s="40"/>
      <c r="G35" s="41">
        <f t="shared" si="6"/>
        <v>2000</v>
      </c>
      <c r="H35" s="42">
        <f t="shared" si="0"/>
        <v>0</v>
      </c>
      <c r="I35" s="43"/>
      <c r="J35" s="44"/>
      <c r="K35" s="41">
        <f t="shared" si="5"/>
        <v>2000</v>
      </c>
      <c r="L35" s="42">
        <f t="shared" si="1"/>
        <v>0</v>
      </c>
      <c r="M35" s="43"/>
      <c r="N35" s="46">
        <f t="shared" si="2"/>
        <v>0</v>
      </c>
      <c r="O35" s="47" t="str">
        <f t="shared" si="3"/>
        <v/>
      </c>
    </row>
    <row r="36" spans="2:15" x14ac:dyDescent="0.25">
      <c r="B36" s="49"/>
      <c r="C36" s="37"/>
      <c r="D36" s="38"/>
      <c r="E36" s="39"/>
      <c r="F36" s="40"/>
      <c r="G36" s="41">
        <f t="shared" si="6"/>
        <v>2000</v>
      </c>
      <c r="H36" s="42">
        <f t="shared" si="0"/>
        <v>0</v>
      </c>
      <c r="I36" s="43"/>
      <c r="J36" s="44"/>
      <c r="K36" s="41">
        <f t="shared" si="5"/>
        <v>2000</v>
      </c>
      <c r="L36" s="42">
        <f t="shared" si="1"/>
        <v>0</v>
      </c>
      <c r="M36" s="43"/>
      <c r="N36" s="46">
        <f t="shared" si="2"/>
        <v>0</v>
      </c>
      <c r="O36" s="47" t="str">
        <f t="shared" si="3"/>
        <v/>
      </c>
    </row>
    <row r="37" spans="2:15" x14ac:dyDescent="0.25">
      <c r="B37" s="49"/>
      <c r="C37" s="37"/>
      <c r="D37" s="38"/>
      <c r="E37" s="39"/>
      <c r="F37" s="40"/>
      <c r="G37" s="41">
        <f t="shared" si="6"/>
        <v>2000</v>
      </c>
      <c r="H37" s="42">
        <f t="shared" si="0"/>
        <v>0</v>
      </c>
      <c r="I37" s="43"/>
      <c r="J37" s="44"/>
      <c r="K37" s="41">
        <f t="shared" si="5"/>
        <v>2000</v>
      </c>
      <c r="L37" s="42">
        <f t="shared" si="1"/>
        <v>0</v>
      </c>
      <c r="M37" s="43"/>
      <c r="N37" s="46">
        <f t="shared" si="2"/>
        <v>0</v>
      </c>
      <c r="O37" s="47" t="str">
        <f t="shared" si="3"/>
        <v/>
      </c>
    </row>
    <row r="38" spans="2:15" x14ac:dyDescent="0.25">
      <c r="B38" s="49"/>
      <c r="C38" s="37"/>
      <c r="D38" s="38"/>
      <c r="E38" s="39"/>
      <c r="F38" s="40"/>
      <c r="G38" s="41">
        <f t="shared" si="6"/>
        <v>2000</v>
      </c>
      <c r="H38" s="42">
        <f t="shared" si="0"/>
        <v>0</v>
      </c>
      <c r="I38" s="43"/>
      <c r="J38" s="44"/>
      <c r="K38" s="41">
        <f t="shared" si="5"/>
        <v>2000</v>
      </c>
      <c r="L38" s="42">
        <f t="shared" si="1"/>
        <v>0</v>
      </c>
      <c r="M38" s="43"/>
      <c r="N38" s="46">
        <f t="shared" si="2"/>
        <v>0</v>
      </c>
      <c r="O38" s="47" t="str">
        <f t="shared" si="3"/>
        <v/>
      </c>
    </row>
    <row r="39" spans="2:15" s="61" customFormat="1" x14ac:dyDescent="0.25">
      <c r="B39" s="50" t="s">
        <v>30</v>
      </c>
      <c r="C39" s="51"/>
      <c r="D39" s="52"/>
      <c r="E39" s="51"/>
      <c r="F39" s="53"/>
      <c r="G39" s="54"/>
      <c r="H39" s="55">
        <f>SUM(H23:H38)</f>
        <v>32.96</v>
      </c>
      <c r="I39" s="56"/>
      <c r="J39" s="57"/>
      <c r="K39" s="58"/>
      <c r="L39" s="55">
        <f>SUM(L23:L38)</f>
        <v>32.96</v>
      </c>
      <c r="M39" s="56"/>
      <c r="N39" s="59">
        <f t="shared" si="2"/>
        <v>0</v>
      </c>
      <c r="O39" s="60">
        <f t="shared" si="3"/>
        <v>0</v>
      </c>
    </row>
    <row r="40" spans="2:15" ht="25.5" x14ac:dyDescent="0.25">
      <c r="B40" s="62" t="s">
        <v>31</v>
      </c>
      <c r="C40" s="37"/>
      <c r="D40" s="38" t="s">
        <v>67</v>
      </c>
      <c r="E40" s="39"/>
      <c r="F40" s="40">
        <v>-2.8E-3</v>
      </c>
      <c r="G40" s="41">
        <f>$F$18</f>
        <v>2000</v>
      </c>
      <c r="H40" s="42">
        <f>G40*F40</f>
        <v>-5.6</v>
      </c>
      <c r="I40" s="43"/>
      <c r="J40" s="44">
        <v>-2.8E-3</v>
      </c>
      <c r="K40" s="41">
        <f>$F$18</f>
        <v>2000</v>
      </c>
      <c r="L40" s="42">
        <f>K40*J40</f>
        <v>-5.6</v>
      </c>
      <c r="M40" s="43"/>
      <c r="N40" s="46">
        <f>L40-H40</f>
        <v>0</v>
      </c>
      <c r="O40" s="47">
        <f>IF((H40)=0,"",(N40/H40))</f>
        <v>0</v>
      </c>
    </row>
    <row r="41" spans="2:15" ht="25.5" x14ac:dyDescent="0.25">
      <c r="B41" s="62" t="s">
        <v>31</v>
      </c>
      <c r="C41" s="37"/>
      <c r="D41" s="38" t="s">
        <v>67</v>
      </c>
      <c r="E41" s="39"/>
      <c r="F41" s="40">
        <v>-2.0999999999999999E-3</v>
      </c>
      <c r="G41" s="41">
        <f t="shared" ref="G41:G44" si="7">$F$18</f>
        <v>2000</v>
      </c>
      <c r="H41" s="42">
        <f t="shared" ref="H41:H45" si="8">G41*F41</f>
        <v>-4.2</v>
      </c>
      <c r="I41" s="63"/>
      <c r="J41" s="44">
        <v>-2.0999999999999999E-3</v>
      </c>
      <c r="K41" s="41">
        <f t="shared" ref="K41:K44" si="9">$F$18</f>
        <v>2000</v>
      </c>
      <c r="L41" s="42">
        <f t="shared" ref="L41:L45" si="10">K41*J41</f>
        <v>-4.2</v>
      </c>
      <c r="M41" s="64"/>
      <c r="N41" s="46">
        <f t="shared" ref="N41:N45" si="11">L41-H41</f>
        <v>0</v>
      </c>
      <c r="O41" s="47">
        <f t="shared" ref="O41:O45" si="12">IF((H41)=0,"",(N41/H41))</f>
        <v>0</v>
      </c>
    </row>
    <row r="42" spans="2:15" x14ac:dyDescent="0.25">
      <c r="B42" s="62" t="s">
        <v>69</v>
      </c>
      <c r="C42" s="37"/>
      <c r="D42" s="38" t="s">
        <v>67</v>
      </c>
      <c r="E42" s="39"/>
      <c r="F42" s="40"/>
      <c r="G42" s="41">
        <f t="shared" si="7"/>
        <v>2000</v>
      </c>
      <c r="H42" s="42">
        <f t="shared" si="8"/>
        <v>0</v>
      </c>
      <c r="I42" s="63"/>
      <c r="J42" s="44">
        <v>-1.47E-2</v>
      </c>
      <c r="K42" s="41">
        <f t="shared" si="9"/>
        <v>2000</v>
      </c>
      <c r="L42" s="42">
        <f t="shared" si="10"/>
        <v>-29.4</v>
      </c>
      <c r="M42" s="64"/>
      <c r="N42" s="46">
        <f t="shared" si="11"/>
        <v>-29.4</v>
      </c>
      <c r="O42" s="47" t="str">
        <f t="shared" si="12"/>
        <v/>
      </c>
    </row>
    <row r="43" spans="2:15" x14ac:dyDescent="0.25">
      <c r="B43" s="62"/>
      <c r="C43" s="37"/>
      <c r="D43" s="38"/>
      <c r="E43" s="39"/>
      <c r="F43" s="40"/>
      <c r="G43" s="41">
        <f t="shared" si="7"/>
        <v>2000</v>
      </c>
      <c r="H43" s="42">
        <f t="shared" si="8"/>
        <v>0</v>
      </c>
      <c r="I43" s="63"/>
      <c r="J43" s="44"/>
      <c r="K43" s="41">
        <f t="shared" si="9"/>
        <v>2000</v>
      </c>
      <c r="L43" s="42">
        <f t="shared" si="10"/>
        <v>0</v>
      </c>
      <c r="M43" s="64"/>
      <c r="N43" s="46">
        <f t="shared" si="11"/>
        <v>0</v>
      </c>
      <c r="O43" s="47" t="str">
        <f t="shared" si="12"/>
        <v/>
      </c>
    </row>
    <row r="44" spans="2:15" x14ac:dyDescent="0.25">
      <c r="B44" s="65" t="s">
        <v>32</v>
      </c>
      <c r="C44" s="37"/>
      <c r="D44" s="38"/>
      <c r="E44" s="39"/>
      <c r="F44" s="40">
        <v>6.9999999999999999E-4</v>
      </c>
      <c r="G44" s="41">
        <f t="shared" si="7"/>
        <v>2000</v>
      </c>
      <c r="H44" s="42">
        <f>G44*F44</f>
        <v>1.4</v>
      </c>
      <c r="I44" s="43"/>
      <c r="J44" s="44">
        <v>6.9999999999999999E-4</v>
      </c>
      <c r="K44" s="41">
        <f t="shared" si="9"/>
        <v>2000</v>
      </c>
      <c r="L44" s="42">
        <f>K44*J44</f>
        <v>1.4</v>
      </c>
      <c r="M44" s="43"/>
      <c r="N44" s="46">
        <f>L44-H44</f>
        <v>0</v>
      </c>
      <c r="O44" s="47">
        <f>IF((H44)=0,"",(N44/H44))</f>
        <v>0</v>
      </c>
    </row>
    <row r="45" spans="2:15" x14ac:dyDescent="0.25">
      <c r="B45" s="65" t="s">
        <v>33</v>
      </c>
      <c r="C45" s="37"/>
      <c r="D45" s="38"/>
      <c r="E45" s="39"/>
      <c r="F45" s="66">
        <f>IF(ISBLANK(D16)=TRUE, 0, IF(D16="TOU", 0.64*$F$55+0.18*$F$56+0.18*$F$57, IF(AND(D16="non-TOU", G59&gt;0), F59,F58)))</f>
        <v>8.3919999999999995E-2</v>
      </c>
      <c r="G45" s="67">
        <f>$F$18*(1+$F$74)-$F$18</f>
        <v>20.919999999999845</v>
      </c>
      <c r="H45" s="42">
        <f t="shared" si="8"/>
        <v>1.7556063999999869</v>
      </c>
      <c r="I45" s="43"/>
      <c r="J45" s="68">
        <f>0.64*$F$55+0.18*$F$56+0.18*$F$57</f>
        <v>8.3919999999999995E-2</v>
      </c>
      <c r="K45" s="67">
        <f>$F$18*(1+$J$74)-$F$18</f>
        <v>20.919999999999845</v>
      </c>
      <c r="L45" s="42">
        <f t="shared" si="10"/>
        <v>1.7556063999999869</v>
      </c>
      <c r="M45" s="43"/>
      <c r="N45" s="46">
        <f t="shared" si="11"/>
        <v>0</v>
      </c>
      <c r="O45" s="47">
        <f t="shared" si="12"/>
        <v>0</v>
      </c>
    </row>
    <row r="46" spans="2:15" x14ac:dyDescent="0.25">
      <c r="B46" s="65" t="s">
        <v>34</v>
      </c>
      <c r="C46" s="37"/>
      <c r="D46" s="38"/>
      <c r="E46" s="39"/>
      <c r="F46" s="66">
        <v>0.79</v>
      </c>
      <c r="G46" s="41">
        <v>1</v>
      </c>
      <c r="H46" s="42">
        <f>G46*F46</f>
        <v>0.79</v>
      </c>
      <c r="I46" s="43"/>
      <c r="J46" s="66">
        <v>0.79</v>
      </c>
      <c r="K46" s="41">
        <v>1</v>
      </c>
      <c r="L46" s="42">
        <f>K46*J46</f>
        <v>0.79</v>
      </c>
      <c r="M46" s="43"/>
      <c r="N46" s="46">
        <f>L46-H46</f>
        <v>0</v>
      </c>
      <c r="O46" s="47"/>
    </row>
    <row r="47" spans="2:15" ht="25.5" x14ac:dyDescent="0.25">
      <c r="B47" s="69" t="s">
        <v>35</v>
      </c>
      <c r="C47" s="70"/>
      <c r="D47" s="70"/>
      <c r="E47" s="70"/>
      <c r="F47" s="71"/>
      <c r="G47" s="72"/>
      <c r="H47" s="73">
        <f>SUM(H40:H46)+H39</f>
        <v>27.105606399999989</v>
      </c>
      <c r="I47" s="56"/>
      <c r="J47" s="72"/>
      <c r="K47" s="74"/>
      <c r="L47" s="73">
        <f>SUM(L40:L46)+L39</f>
        <v>-2.2943936000000207</v>
      </c>
      <c r="M47" s="56"/>
      <c r="N47" s="59">
        <f t="shared" ref="N47:N65" si="13">L47-H47</f>
        <v>-29.400000000000009</v>
      </c>
      <c r="O47" s="60">
        <f t="shared" ref="O47:O65" si="14">IF((H47)=0,"",(N47/H47))</f>
        <v>-1.0846464589702012</v>
      </c>
    </row>
    <row r="48" spans="2:15" x14ac:dyDescent="0.25">
      <c r="B48" s="43" t="s">
        <v>36</v>
      </c>
      <c r="C48" s="43"/>
      <c r="D48" s="75" t="s">
        <v>67</v>
      </c>
      <c r="E48" s="76"/>
      <c r="F48" s="44">
        <v>5.5999999999999999E-3</v>
      </c>
      <c r="G48" s="77">
        <f>F18*(1+F74)</f>
        <v>2020.9199999999998</v>
      </c>
      <c r="H48" s="42">
        <f>G48*F48</f>
        <v>11.317151999999998</v>
      </c>
      <c r="I48" s="43"/>
      <c r="J48" s="44">
        <v>5.5999999999999999E-3</v>
      </c>
      <c r="K48" s="78">
        <f>F18*(1+J74)</f>
        <v>2020.9199999999998</v>
      </c>
      <c r="L48" s="42">
        <f>K48*J48</f>
        <v>11.317151999999998</v>
      </c>
      <c r="M48" s="43"/>
      <c r="N48" s="46">
        <f t="shared" si="13"/>
        <v>0</v>
      </c>
      <c r="O48" s="47">
        <f t="shared" si="14"/>
        <v>0</v>
      </c>
    </row>
    <row r="49" spans="2:19" ht="30" x14ac:dyDescent="0.25">
      <c r="B49" s="79" t="s">
        <v>37</v>
      </c>
      <c r="C49" s="43"/>
      <c r="D49" s="75" t="s">
        <v>67</v>
      </c>
      <c r="E49" s="76"/>
      <c r="F49" s="44">
        <v>4.1999999999999997E-3</v>
      </c>
      <c r="G49" s="77">
        <f>G48</f>
        <v>2020.9199999999998</v>
      </c>
      <c r="H49" s="42">
        <f>G49*F49</f>
        <v>8.4878639999999983</v>
      </c>
      <c r="I49" s="43"/>
      <c r="J49" s="44">
        <v>4.1999999999999997E-3</v>
      </c>
      <c r="K49" s="78">
        <f>K48</f>
        <v>2020.9199999999998</v>
      </c>
      <c r="L49" s="42">
        <f>K49*J49</f>
        <v>8.4878639999999983</v>
      </c>
      <c r="M49" s="43"/>
      <c r="N49" s="46">
        <f t="shared" si="13"/>
        <v>0</v>
      </c>
      <c r="O49" s="47">
        <f t="shared" si="14"/>
        <v>0</v>
      </c>
    </row>
    <row r="50" spans="2:19" ht="25.5" x14ac:dyDescent="0.25">
      <c r="B50" s="69" t="s">
        <v>38</v>
      </c>
      <c r="C50" s="51"/>
      <c r="D50" s="51"/>
      <c r="E50" s="51"/>
      <c r="F50" s="80"/>
      <c r="G50" s="72"/>
      <c r="H50" s="73">
        <f>SUM(H47:H49)</f>
        <v>46.91062239999998</v>
      </c>
      <c r="I50" s="81"/>
      <c r="J50" s="82"/>
      <c r="K50" s="83"/>
      <c r="L50" s="73">
        <f>SUM(L47:L49)</f>
        <v>17.510622399999974</v>
      </c>
      <c r="M50" s="81"/>
      <c r="N50" s="59">
        <f t="shared" si="13"/>
        <v>-29.400000000000006</v>
      </c>
      <c r="O50" s="60">
        <f t="shared" si="14"/>
        <v>-0.62672372473148041</v>
      </c>
    </row>
    <row r="51" spans="2:19" ht="30" x14ac:dyDescent="0.25">
      <c r="B51" s="84" t="s">
        <v>39</v>
      </c>
      <c r="C51" s="37"/>
      <c r="D51" s="38" t="s">
        <v>67</v>
      </c>
      <c r="E51" s="39"/>
      <c r="F51" s="85">
        <v>4.4000000000000003E-3</v>
      </c>
      <c r="G51" s="77">
        <f>G49</f>
        <v>2020.9199999999998</v>
      </c>
      <c r="H51" s="86">
        <f t="shared" ref="H51:H57" si="15">G51*F51</f>
        <v>8.8920479999999991</v>
      </c>
      <c r="I51" s="43"/>
      <c r="J51" s="87">
        <v>4.4000000000000003E-3</v>
      </c>
      <c r="K51" s="78">
        <f>K49</f>
        <v>2020.9199999999998</v>
      </c>
      <c r="L51" s="86">
        <f t="shared" ref="L51:L57" si="16">K51*J51</f>
        <v>8.8920479999999991</v>
      </c>
      <c r="M51" s="43"/>
      <c r="N51" s="46">
        <f t="shared" si="13"/>
        <v>0</v>
      </c>
      <c r="O51" s="88">
        <f t="shared" si="14"/>
        <v>0</v>
      </c>
    </row>
    <row r="52" spans="2:19" ht="30" x14ac:dyDescent="0.25">
      <c r="B52" s="84" t="s">
        <v>40</v>
      </c>
      <c r="C52" s="37"/>
      <c r="D52" s="38" t="s">
        <v>67</v>
      </c>
      <c r="E52" s="39"/>
      <c r="F52" s="85">
        <v>1.1999999999999999E-3</v>
      </c>
      <c r="G52" s="77">
        <f>G49</f>
        <v>2020.9199999999998</v>
      </c>
      <c r="H52" s="86">
        <f t="shared" si="15"/>
        <v>2.4251039999999997</v>
      </c>
      <c r="I52" s="43"/>
      <c r="J52" s="87">
        <v>1.1999999999999999E-3</v>
      </c>
      <c r="K52" s="78">
        <f>K49</f>
        <v>2020.9199999999998</v>
      </c>
      <c r="L52" s="86">
        <f t="shared" si="16"/>
        <v>2.4251039999999997</v>
      </c>
      <c r="M52" s="43"/>
      <c r="N52" s="46">
        <f t="shared" si="13"/>
        <v>0</v>
      </c>
      <c r="O52" s="88">
        <f t="shared" si="14"/>
        <v>0</v>
      </c>
    </row>
    <row r="53" spans="2:19" x14ac:dyDescent="0.25">
      <c r="B53" s="37" t="s">
        <v>41</v>
      </c>
      <c r="C53" s="37"/>
      <c r="D53" s="38" t="s">
        <v>25</v>
      </c>
      <c r="E53" s="39"/>
      <c r="F53" s="85">
        <v>0.25</v>
      </c>
      <c r="G53" s="41">
        <v>1</v>
      </c>
      <c r="H53" s="86">
        <f t="shared" si="15"/>
        <v>0.25</v>
      </c>
      <c r="I53" s="43"/>
      <c r="J53" s="87">
        <v>0.25</v>
      </c>
      <c r="K53" s="45">
        <v>1</v>
      </c>
      <c r="L53" s="86">
        <f t="shared" si="16"/>
        <v>0.25</v>
      </c>
      <c r="M53" s="43"/>
      <c r="N53" s="46">
        <f t="shared" si="13"/>
        <v>0</v>
      </c>
      <c r="O53" s="88">
        <f t="shared" si="14"/>
        <v>0</v>
      </c>
    </row>
    <row r="54" spans="2:19" x14ac:dyDescent="0.25">
      <c r="B54" s="37" t="s">
        <v>42</v>
      </c>
      <c r="C54" s="37"/>
      <c r="D54" s="38" t="s">
        <v>67</v>
      </c>
      <c r="E54" s="39"/>
      <c r="F54" s="40">
        <v>7.0000000000000001E-3</v>
      </c>
      <c r="G54" s="89">
        <f>F18</f>
        <v>2000</v>
      </c>
      <c r="H54" s="86">
        <f t="shared" si="15"/>
        <v>14</v>
      </c>
      <c r="I54" s="43"/>
      <c r="J54" s="87">
        <v>7.0000000000000001E-3</v>
      </c>
      <c r="K54" s="90">
        <f>F18</f>
        <v>2000</v>
      </c>
      <c r="L54" s="86">
        <f t="shared" si="16"/>
        <v>14</v>
      </c>
      <c r="M54" s="43"/>
      <c r="N54" s="46">
        <f t="shared" si="13"/>
        <v>0</v>
      </c>
      <c r="O54" s="88">
        <f t="shared" si="14"/>
        <v>0</v>
      </c>
    </row>
    <row r="55" spans="2:19" x14ac:dyDescent="0.25">
      <c r="B55" s="65" t="s">
        <v>43</v>
      </c>
      <c r="C55" s="37"/>
      <c r="D55" s="38" t="s">
        <v>67</v>
      </c>
      <c r="E55" s="39"/>
      <c r="F55" s="91">
        <v>6.7000000000000004E-2</v>
      </c>
      <c r="G55" s="92">
        <f>0.64*$F$18</f>
        <v>1280</v>
      </c>
      <c r="H55" s="86">
        <f t="shared" si="15"/>
        <v>85.76</v>
      </c>
      <c r="I55" s="43"/>
      <c r="J55" s="85">
        <v>6.7000000000000004E-2</v>
      </c>
      <c r="K55" s="92">
        <f>G55</f>
        <v>1280</v>
      </c>
      <c r="L55" s="86">
        <f t="shared" si="16"/>
        <v>85.76</v>
      </c>
      <c r="M55" s="43"/>
      <c r="N55" s="46">
        <f t="shared" si="13"/>
        <v>0</v>
      </c>
      <c r="O55" s="88">
        <f t="shared" si="14"/>
        <v>0</v>
      </c>
      <c r="S55" s="93"/>
    </row>
    <row r="56" spans="2:19" x14ac:dyDescent="0.25">
      <c r="B56" s="65" t="s">
        <v>44</v>
      </c>
      <c r="C56" s="37"/>
      <c r="D56" s="38" t="s">
        <v>67</v>
      </c>
      <c r="E56" s="39"/>
      <c r="F56" s="91">
        <v>0.104</v>
      </c>
      <c r="G56" s="92">
        <f>0.18*$F$18</f>
        <v>360</v>
      </c>
      <c r="H56" s="86">
        <f t="shared" si="15"/>
        <v>37.44</v>
      </c>
      <c r="I56" s="43"/>
      <c r="J56" s="85">
        <v>0.104</v>
      </c>
      <c r="K56" s="92">
        <f>G56</f>
        <v>360</v>
      </c>
      <c r="L56" s="86">
        <f t="shared" si="16"/>
        <v>37.44</v>
      </c>
      <c r="M56" s="43"/>
      <c r="N56" s="46">
        <f t="shared" si="13"/>
        <v>0</v>
      </c>
      <c r="O56" s="88">
        <f t="shared" si="14"/>
        <v>0</v>
      </c>
      <c r="S56" s="93"/>
    </row>
    <row r="57" spans="2:19" x14ac:dyDescent="0.25">
      <c r="B57" s="18" t="s">
        <v>45</v>
      </c>
      <c r="C57" s="37"/>
      <c r="D57" s="38" t="s">
        <v>67</v>
      </c>
      <c r="E57" s="39"/>
      <c r="F57" s="91">
        <v>0.124</v>
      </c>
      <c r="G57" s="92">
        <f>0.18*$F$18</f>
        <v>360</v>
      </c>
      <c r="H57" s="86">
        <f t="shared" si="15"/>
        <v>44.64</v>
      </c>
      <c r="I57" s="43"/>
      <c r="J57" s="85">
        <v>0.124</v>
      </c>
      <c r="K57" s="92">
        <f>G57</f>
        <v>360</v>
      </c>
      <c r="L57" s="86">
        <f t="shared" si="16"/>
        <v>44.64</v>
      </c>
      <c r="M57" s="43"/>
      <c r="N57" s="46">
        <f t="shared" si="13"/>
        <v>0</v>
      </c>
      <c r="O57" s="88">
        <f t="shared" si="14"/>
        <v>0</v>
      </c>
      <c r="S57" s="93"/>
    </row>
    <row r="58" spans="2:19" s="101" customFormat="1" x14ac:dyDescent="0.2">
      <c r="B58" s="94" t="s">
        <v>46</v>
      </c>
      <c r="C58" s="95"/>
      <c r="D58" s="96" t="s">
        <v>67</v>
      </c>
      <c r="E58" s="97"/>
      <c r="F58" s="91">
        <v>7.4999999999999997E-2</v>
      </c>
      <c r="G58" s="98">
        <f>IF(AND($T$1=1, F18&gt;=600), 600, IF(AND($T$1=1, AND(F18&lt;600, F18&gt;=0)), F18, IF(AND($T$1=2, F18&gt;=1000), 1000, IF(AND($T$1=2, AND(F18&lt;1000, F18&gt;=0)), F18))))</f>
        <v>600</v>
      </c>
      <c r="H58" s="86">
        <f>G58*F58</f>
        <v>45</v>
      </c>
      <c r="I58" s="99"/>
      <c r="J58" s="85">
        <v>7.4999999999999997E-2</v>
      </c>
      <c r="K58" s="98">
        <f>G58</f>
        <v>600</v>
      </c>
      <c r="L58" s="86">
        <f>K58*J58</f>
        <v>45</v>
      </c>
      <c r="M58" s="99"/>
      <c r="N58" s="100">
        <f t="shared" si="13"/>
        <v>0</v>
      </c>
      <c r="O58" s="88">
        <f t="shared" si="14"/>
        <v>0</v>
      </c>
    </row>
    <row r="59" spans="2:19" s="101" customFormat="1" ht="15.75" thickBot="1" x14ac:dyDescent="0.25">
      <c r="B59" s="94" t="s">
        <v>47</v>
      </c>
      <c r="C59" s="95"/>
      <c r="D59" s="96" t="s">
        <v>67</v>
      </c>
      <c r="E59" s="97"/>
      <c r="F59" s="91">
        <v>8.7999999999999995E-2</v>
      </c>
      <c r="G59" s="98">
        <f>IF(AND($T$1=1, F18&gt;=600), F18-600, IF(AND($T$1=1, AND(F18&lt;600, F18&gt;=0)), 0, IF(AND($T$1=2, F18&gt;=1000), F18-1000, IF(AND($T$1=2, AND(F18&lt;1000, F18&gt;=0)), 0))))</f>
        <v>1400</v>
      </c>
      <c r="H59" s="86">
        <f>G59*F59</f>
        <v>123.19999999999999</v>
      </c>
      <c r="I59" s="99"/>
      <c r="J59" s="85">
        <v>8.7999999999999995E-2</v>
      </c>
      <c r="K59" s="98">
        <f>G59</f>
        <v>1400</v>
      </c>
      <c r="L59" s="86">
        <f>K59*J59</f>
        <v>123.19999999999999</v>
      </c>
      <c r="M59" s="99"/>
      <c r="N59" s="100">
        <f t="shared" si="13"/>
        <v>0</v>
      </c>
      <c r="O59" s="88">
        <f t="shared" si="14"/>
        <v>0</v>
      </c>
    </row>
    <row r="60" spans="2:19" ht="15.75" thickBot="1" x14ac:dyDescent="0.3">
      <c r="B60" s="102"/>
      <c r="C60" s="103"/>
      <c r="D60" s="104"/>
      <c r="E60" s="103"/>
      <c r="F60" s="105"/>
      <c r="G60" s="106"/>
      <c r="H60" s="107"/>
      <c r="I60" s="108"/>
      <c r="J60" s="105"/>
      <c r="K60" s="109"/>
      <c r="L60" s="107"/>
      <c r="M60" s="108"/>
      <c r="N60" s="110"/>
      <c r="O60" s="111"/>
    </row>
    <row r="61" spans="2:19" x14ac:dyDescent="0.25">
      <c r="B61" s="112" t="s">
        <v>48</v>
      </c>
      <c r="C61" s="37"/>
      <c r="D61" s="37"/>
      <c r="E61" s="37"/>
      <c r="F61" s="113"/>
      <c r="G61" s="114"/>
      <c r="H61" s="115">
        <f>SUM(H51:H57,H50)</f>
        <v>240.31777439999996</v>
      </c>
      <c r="I61" s="116"/>
      <c r="J61" s="117"/>
      <c r="K61" s="117"/>
      <c r="L61" s="115">
        <f>SUM(L51:L57,L50)</f>
        <v>210.91777439999998</v>
      </c>
      <c r="M61" s="118"/>
      <c r="N61" s="119">
        <f t="shared" ref="N61" si="17">L61-H61</f>
        <v>-29.399999999999977</v>
      </c>
      <c r="O61" s="120">
        <f t="shared" ref="O61" si="18">IF((H61)=0,"",(N61/H61))</f>
        <v>-0.12233801712504534</v>
      </c>
      <c r="S61" s="93"/>
    </row>
    <row r="62" spans="2:19" x14ac:dyDescent="0.25">
      <c r="B62" s="121" t="s">
        <v>49</v>
      </c>
      <c r="C62" s="37"/>
      <c r="D62" s="37"/>
      <c r="E62" s="37"/>
      <c r="F62" s="122">
        <v>0.13</v>
      </c>
      <c r="G62" s="123"/>
      <c r="H62" s="124">
        <f>H61*F62</f>
        <v>31.241310671999997</v>
      </c>
      <c r="I62" s="125"/>
      <c r="J62" s="126">
        <v>0.13</v>
      </c>
      <c r="K62" s="125"/>
      <c r="L62" s="127">
        <f>L61*J62</f>
        <v>27.419310671999998</v>
      </c>
      <c r="M62" s="128"/>
      <c r="N62" s="129">
        <f t="shared" si="13"/>
        <v>-3.8219999999999992</v>
      </c>
      <c r="O62" s="130">
        <f t="shared" si="14"/>
        <v>-0.1223380171250454</v>
      </c>
      <c r="S62" s="93"/>
    </row>
    <row r="63" spans="2:19" x14ac:dyDescent="0.25">
      <c r="B63" s="131" t="s">
        <v>50</v>
      </c>
      <c r="C63" s="37"/>
      <c r="D63" s="37"/>
      <c r="E63" s="37"/>
      <c r="F63" s="132"/>
      <c r="G63" s="123"/>
      <c r="H63" s="124">
        <f>H61+H62</f>
        <v>271.55908507199996</v>
      </c>
      <c r="I63" s="125"/>
      <c r="J63" s="125"/>
      <c r="K63" s="125"/>
      <c r="L63" s="127">
        <f>L61+L62</f>
        <v>238.33708507199998</v>
      </c>
      <c r="M63" s="128"/>
      <c r="N63" s="129">
        <f t="shared" si="13"/>
        <v>-33.22199999999998</v>
      </c>
      <c r="O63" s="130">
        <f t="shared" si="14"/>
        <v>-0.12233801712504536</v>
      </c>
      <c r="S63" s="93"/>
    </row>
    <row r="64" spans="2:19" x14ac:dyDescent="0.25">
      <c r="B64" s="133" t="s">
        <v>51</v>
      </c>
      <c r="C64" s="133"/>
      <c r="D64" s="133"/>
      <c r="E64" s="37"/>
      <c r="F64" s="132"/>
      <c r="G64" s="123"/>
      <c r="H64" s="134">
        <f>ROUND(-H63*10%,2)</f>
        <v>-27.16</v>
      </c>
      <c r="I64" s="125"/>
      <c r="J64" s="125"/>
      <c r="K64" s="125"/>
      <c r="L64" s="135">
        <f>ROUND(-L63*10%,2)</f>
        <v>-23.83</v>
      </c>
      <c r="M64" s="128"/>
      <c r="N64" s="136">
        <f t="shared" si="13"/>
        <v>3.3300000000000018</v>
      </c>
      <c r="O64" s="137">
        <f t="shared" si="14"/>
        <v>-0.1226067746686304</v>
      </c>
    </row>
    <row r="65" spans="1:15" ht="15.75" thickBot="1" x14ac:dyDescent="0.3">
      <c r="B65" s="138" t="s">
        <v>52</v>
      </c>
      <c r="C65" s="138"/>
      <c r="D65" s="138"/>
      <c r="E65" s="139"/>
      <c r="F65" s="140"/>
      <c r="G65" s="141"/>
      <c r="H65" s="142">
        <f>H63+H64</f>
        <v>244.39908507199996</v>
      </c>
      <c r="I65" s="143"/>
      <c r="J65" s="143"/>
      <c r="K65" s="143"/>
      <c r="L65" s="144">
        <f>L63+L64</f>
        <v>214.507085072</v>
      </c>
      <c r="M65" s="145"/>
      <c r="N65" s="146">
        <f t="shared" si="13"/>
        <v>-29.891999999999967</v>
      </c>
      <c r="O65" s="147">
        <f t="shared" si="14"/>
        <v>-0.12230815017655973</v>
      </c>
    </row>
    <row r="66" spans="1:15" s="101" customFormat="1" ht="15.75" thickBot="1" x14ac:dyDescent="0.25">
      <c r="B66" s="148"/>
      <c r="C66" s="149"/>
      <c r="D66" s="150"/>
      <c r="E66" s="149"/>
      <c r="F66" s="105"/>
      <c r="G66" s="151"/>
      <c r="H66" s="107"/>
      <c r="I66" s="152"/>
      <c r="J66" s="105"/>
      <c r="K66" s="153"/>
      <c r="L66" s="107"/>
      <c r="M66" s="152"/>
      <c r="N66" s="154"/>
      <c r="O66" s="111"/>
    </row>
    <row r="67" spans="1:15" s="101" customFormat="1" ht="12.75" x14ac:dyDescent="0.2">
      <c r="B67" s="155" t="s">
        <v>53</v>
      </c>
      <c r="C67" s="95"/>
      <c r="D67" s="95"/>
      <c r="E67" s="95"/>
      <c r="F67" s="156"/>
      <c r="G67" s="157"/>
      <c r="H67" s="158">
        <f>SUM(H58:H59,H50,H51:H54)</f>
        <v>240.67777439999995</v>
      </c>
      <c r="I67" s="159"/>
      <c r="J67" s="160"/>
      <c r="K67" s="160"/>
      <c r="L67" s="158">
        <f>SUM(L58:L59,L50,L51:L54)</f>
        <v>211.27777439999997</v>
      </c>
      <c r="M67" s="161"/>
      <c r="N67" s="162">
        <f t="shared" ref="N67:N71" si="19">L67-H67</f>
        <v>-29.399999999999977</v>
      </c>
      <c r="O67" s="120">
        <f t="shared" ref="O67:O71" si="20">IF((H67)=0,"",(N67/H67))</f>
        <v>-0.12215502687480387</v>
      </c>
    </row>
    <row r="68" spans="1:15" s="101" customFormat="1" ht="12.75" x14ac:dyDescent="0.2">
      <c r="B68" s="163" t="s">
        <v>49</v>
      </c>
      <c r="C68" s="95"/>
      <c r="D68" s="95"/>
      <c r="E68" s="95"/>
      <c r="F68" s="164">
        <v>0.13</v>
      </c>
      <c r="G68" s="157"/>
      <c r="H68" s="165">
        <f>H67*F68</f>
        <v>31.288110671999995</v>
      </c>
      <c r="I68" s="166"/>
      <c r="J68" s="167">
        <v>0.13</v>
      </c>
      <c r="K68" s="168"/>
      <c r="L68" s="169">
        <f>L67*J68</f>
        <v>27.466110671999996</v>
      </c>
      <c r="M68" s="170"/>
      <c r="N68" s="171">
        <f t="shared" si="19"/>
        <v>-3.8219999999999992</v>
      </c>
      <c r="O68" s="130">
        <f t="shared" si="20"/>
        <v>-0.12215502687480394</v>
      </c>
    </row>
    <row r="69" spans="1:15" s="101" customFormat="1" ht="12.75" x14ac:dyDescent="0.2">
      <c r="B69" s="172" t="s">
        <v>50</v>
      </c>
      <c r="C69" s="95"/>
      <c r="D69" s="95"/>
      <c r="E69" s="95"/>
      <c r="F69" s="173"/>
      <c r="G69" s="174"/>
      <c r="H69" s="165">
        <f>H67+H68</f>
        <v>271.96588507199994</v>
      </c>
      <c r="I69" s="166"/>
      <c r="J69" s="166"/>
      <c r="K69" s="166"/>
      <c r="L69" s="169">
        <f>L67+L68</f>
        <v>238.74388507199996</v>
      </c>
      <c r="M69" s="170"/>
      <c r="N69" s="171">
        <f t="shared" si="19"/>
        <v>-33.22199999999998</v>
      </c>
      <c r="O69" s="130">
        <f t="shared" si="20"/>
        <v>-0.1221550268748039</v>
      </c>
    </row>
    <row r="70" spans="1:15" s="101" customFormat="1" ht="12.75" x14ac:dyDescent="0.2">
      <c r="B70" s="175" t="s">
        <v>51</v>
      </c>
      <c r="C70" s="175"/>
      <c r="D70" s="175"/>
      <c r="E70" s="95"/>
      <c r="F70" s="173"/>
      <c r="G70" s="174"/>
      <c r="H70" s="176">
        <f>ROUND(-H69*10%,2)</f>
        <v>-27.2</v>
      </c>
      <c r="I70" s="166"/>
      <c r="J70" s="166"/>
      <c r="K70" s="166"/>
      <c r="L70" s="177">
        <f>ROUND(-L69*10%,2)</f>
        <v>-23.87</v>
      </c>
      <c r="M70" s="170"/>
      <c r="N70" s="178">
        <f t="shared" si="19"/>
        <v>3.3299999999999983</v>
      </c>
      <c r="O70" s="137">
        <f t="shared" si="20"/>
        <v>-0.12242647058823523</v>
      </c>
    </row>
    <row r="71" spans="1:15" s="101" customFormat="1" ht="13.5" thickBot="1" x14ac:dyDescent="0.25">
      <c r="B71" s="179" t="s">
        <v>54</v>
      </c>
      <c r="C71" s="179"/>
      <c r="D71" s="179"/>
      <c r="E71" s="180"/>
      <c r="F71" s="181"/>
      <c r="G71" s="182"/>
      <c r="H71" s="183">
        <f>SUM(H69:H70)</f>
        <v>244.76588507199995</v>
      </c>
      <c r="I71" s="184"/>
      <c r="J71" s="184"/>
      <c r="K71" s="184"/>
      <c r="L71" s="185">
        <f>SUM(L69:L70)</f>
        <v>214.87388507199995</v>
      </c>
      <c r="M71" s="186"/>
      <c r="N71" s="187">
        <f t="shared" si="19"/>
        <v>-29.891999999999996</v>
      </c>
      <c r="O71" s="188">
        <f t="shared" si="20"/>
        <v>-0.12212486225850883</v>
      </c>
    </row>
    <row r="72" spans="1:15" s="101" customFormat="1" ht="15.75" thickBot="1" x14ac:dyDescent="0.25">
      <c r="B72" s="148"/>
      <c r="C72" s="149"/>
      <c r="D72" s="150"/>
      <c r="E72" s="149"/>
      <c r="F72" s="189"/>
      <c r="G72" s="190"/>
      <c r="H72" s="191"/>
      <c r="I72" s="192"/>
      <c r="J72" s="189"/>
      <c r="K72" s="151"/>
      <c r="L72" s="193"/>
      <c r="M72" s="152"/>
      <c r="N72" s="194"/>
      <c r="O72" s="111"/>
    </row>
    <row r="73" spans="1:15" x14ac:dyDescent="0.25">
      <c r="L73" s="93"/>
    </row>
    <row r="74" spans="1:15" x14ac:dyDescent="0.25">
      <c r="B74" s="19" t="s">
        <v>55</v>
      </c>
      <c r="F74" s="197">
        <v>1.0460000000000001E-2</v>
      </c>
      <c r="J74" s="197">
        <v>1.0460000000000001E-2</v>
      </c>
    </row>
    <row r="76" spans="1:15" x14ac:dyDescent="0.25">
      <c r="A76" s="195" t="s">
        <v>56</v>
      </c>
    </row>
    <row r="78" spans="1:15" x14ac:dyDescent="0.25">
      <c r="A78" s="11" t="s">
        <v>57</v>
      </c>
    </row>
    <row r="79" spans="1:15" x14ac:dyDescent="0.25">
      <c r="A79" s="11" t="s">
        <v>58</v>
      </c>
    </row>
    <row r="81" spans="1:2" x14ac:dyDescent="0.25">
      <c r="A81" s="18" t="s">
        <v>59</v>
      </c>
    </row>
    <row r="82" spans="1:2" x14ac:dyDescent="0.25">
      <c r="A82" s="18" t="s">
        <v>60</v>
      </c>
    </row>
    <row r="84" spans="1:2" x14ac:dyDescent="0.25">
      <c r="A84" s="11" t="s">
        <v>61</v>
      </c>
    </row>
    <row r="85" spans="1:2" x14ac:dyDescent="0.25">
      <c r="A85" s="11" t="s">
        <v>62</v>
      </c>
    </row>
    <row r="86" spans="1:2" x14ac:dyDescent="0.25">
      <c r="A86" s="11" t="s">
        <v>63</v>
      </c>
    </row>
    <row r="87" spans="1:2" x14ac:dyDescent="0.25">
      <c r="A87" s="11" t="s">
        <v>64</v>
      </c>
    </row>
    <row r="88" spans="1:2" x14ac:dyDescent="0.25">
      <c r="A88" s="11" t="s">
        <v>65</v>
      </c>
    </row>
    <row r="90" spans="1:2" x14ac:dyDescent="0.25">
      <c r="A90" s="196"/>
      <c r="B90" s="11" t="s">
        <v>66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E48:E49 E40:E46 E23:E38 E51:E57 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4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Residential</vt:lpstr>
      <vt:lpstr>GS &lt; 50 kW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cp:lastPrinted>2013-08-01T15:36:23Z</cp:lastPrinted>
  <dcterms:created xsi:type="dcterms:W3CDTF">2013-08-01T14:56:35Z</dcterms:created>
  <dcterms:modified xsi:type="dcterms:W3CDTF">2013-08-01T15:56:28Z</dcterms:modified>
</cp:coreProperties>
</file>