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555" windowHeight="5700" tabRatio="896" firstSheet="7" activeTab="12"/>
  </bookViews>
  <sheets>
    <sheet name="Residential (100 kWh)" sheetId="1" r:id="rId1"/>
    <sheet name="Residential (250 kWh)" sheetId="27" r:id="rId2"/>
    <sheet name="Residential (500 kWh)" sheetId="28" r:id="rId3"/>
    <sheet name="Residential (800 kWh)" sheetId="29" r:id="rId4"/>
    <sheet name="Residential (1000 kWh)" sheetId="30" r:id="rId5"/>
    <sheet name="Residential (1500 kWh)" sheetId="32" r:id="rId6"/>
    <sheet name="Residential (2000 kWh)" sheetId="33" r:id="rId7"/>
    <sheet name="GS&lt;50 kW(1000 kWh)" sheetId="35" r:id="rId8"/>
    <sheet name="GS&lt;50 kW(2000 kWh)" sheetId="36" r:id="rId9"/>
    <sheet name="GS&lt;50 kW(5000 kWh)" sheetId="37" r:id="rId10"/>
    <sheet name="GS&lt;50 kW(10000 kWh)" sheetId="38" r:id="rId11"/>
    <sheet name="GS&lt;50 kW(15000 kWh)" sheetId="39" r:id="rId12"/>
    <sheet name="GS&gt;50-699 kW (100 kW)" sheetId="41" r:id="rId13"/>
    <sheet name="GS&gt;50-699 kW (500 kW)" sheetId="43" r:id="rId14"/>
    <sheet name="GS&gt;700-4,999kW (1000 kW)" sheetId="44" r:id="rId15"/>
    <sheet name="GS&gt;700-4,999kW (2100 kW)" sheetId="45" r:id="rId16"/>
    <sheet name="Large User (9500 kW)" sheetId="46" r:id="rId17"/>
    <sheet name="Large User (20000 kW)" sheetId="48" r:id="rId18"/>
    <sheet name="USL (150kWh)" sheetId="49" r:id="rId19"/>
    <sheet name="USL (1500 kWh)" sheetId="51" r:id="rId20"/>
    <sheet name="Street Lighting (1kW)" sheetId="52" r:id="rId21"/>
    <sheet name="Street Lighting (3800 kW)" sheetId="53" r:id="rId22"/>
    <sheet name="HOEP &amp; GA" sheetId="42" r:id="rId23"/>
    <sheet name="Table 11" sheetId="54" r:id="rId24"/>
  </sheets>
  <definedNames>
    <definedName name="_xlnm.Print_Area" localSheetId="7">'GS&lt;50 kW(1000 kWh)'!$A$1:$M$70</definedName>
    <definedName name="_xlnm.Print_Area" localSheetId="10">'GS&lt;50 kW(10000 kWh)'!$A$1:$O$69</definedName>
    <definedName name="_xlnm.Print_Area" localSheetId="11">'GS&lt;50 kW(15000 kWh)'!$A$1:$N$68</definedName>
    <definedName name="_xlnm.Print_Area" localSheetId="8">'GS&lt;50 kW(2000 kWh)'!$A$1:$N$71</definedName>
    <definedName name="_xlnm.Print_Area" localSheetId="9">'GS&lt;50 kW(5000 kWh)'!$A$1:$M$72</definedName>
    <definedName name="_xlnm.Print_Area" localSheetId="12">'GS&gt;50-699 kW (100 kW)'!$A$1:$M$60</definedName>
    <definedName name="_xlnm.Print_Area" localSheetId="13">'GS&gt;50-699 kW (500 kW)'!$A$1:$M$60</definedName>
    <definedName name="_xlnm.Print_Area" localSheetId="14">'GS&gt;700-4,999kW (1000 kW)'!$A$1:$M$59</definedName>
    <definedName name="_xlnm.Print_Area" localSheetId="15">'GS&gt;700-4,999kW (2100 kW)'!$A$1:$M$61</definedName>
    <definedName name="_xlnm.Print_Area" localSheetId="22">'HOEP &amp; GA'!$A$1:$R$42</definedName>
    <definedName name="_xlnm.Print_Area" localSheetId="17">'Large User (20000 kW)'!$A$1:$L$61</definedName>
    <definedName name="_xlnm.Print_Area" localSheetId="16">'Large User (9500 kW)'!$A$1:$M$61</definedName>
    <definedName name="_xlnm.Print_Area" localSheetId="0">'Residential (100 kWh)'!$A$1:$N$78</definedName>
    <definedName name="_xlnm.Print_Area" localSheetId="4">'Residential (1000 kWh)'!$A$1:$O$67</definedName>
    <definedName name="_xlnm.Print_Area" localSheetId="5">'Residential (1500 kWh)'!$A$1:$N$78</definedName>
    <definedName name="_xlnm.Print_Area" localSheetId="6">'Residential (2000 kWh)'!$A$1:$M$74</definedName>
    <definedName name="_xlnm.Print_Area" localSheetId="1">'Residential (250 kWh)'!$A$1:$N$77</definedName>
    <definedName name="_xlnm.Print_Area" localSheetId="2">'Residential (500 kWh)'!$A$1:$O$64</definedName>
    <definedName name="_xlnm.Print_Area" localSheetId="3">'Residential (800 kWh)'!$A$1:$L$64</definedName>
    <definedName name="_xlnm.Print_Area" localSheetId="20">'Street Lighting (1kW)'!$A$1:$M$67</definedName>
    <definedName name="_xlnm.Print_Area" localSheetId="21">'Street Lighting (3800 kW)'!$A$1:$M$67</definedName>
    <definedName name="_xlnm.Print_Area" localSheetId="23">'Table 11'!$A$1:$O$23</definedName>
    <definedName name="_xlnm.Print_Area" localSheetId="19">'USL (1500 kWh)'!$A$1:$M$67</definedName>
    <definedName name="_xlnm.Print_Area" localSheetId="18">'USL (150kWh)'!$A$1:$M$68</definedName>
  </definedNames>
  <calcPr calcId="125725"/>
</workbook>
</file>

<file path=xl/calcChain.xml><?xml version="1.0" encoding="utf-8"?>
<calcChain xmlns="http://schemas.openxmlformats.org/spreadsheetml/2006/main">
  <c r="C46" i="41"/>
  <c r="C33" i="1"/>
  <c r="N6" i="54"/>
  <c r="N5"/>
  <c r="N7"/>
  <c r="O5" i="42"/>
  <c r="O22" i="39" l="1"/>
  <c r="H33" i="49" l="1"/>
  <c r="G45" i="48"/>
  <c r="C45"/>
  <c r="G44"/>
  <c r="I44" s="1"/>
  <c r="C44"/>
  <c r="E44" s="1"/>
  <c r="G43"/>
  <c r="C43"/>
  <c r="G42"/>
  <c r="C42"/>
  <c r="H40"/>
  <c r="G40"/>
  <c r="I40" s="1"/>
  <c r="D40"/>
  <c r="C40"/>
  <c r="E40" s="1"/>
  <c r="H39"/>
  <c r="G39"/>
  <c r="I39" s="1"/>
  <c r="D39"/>
  <c r="C39"/>
  <c r="E39" s="1"/>
  <c r="H37"/>
  <c r="G37"/>
  <c r="I37" s="1"/>
  <c r="D37"/>
  <c r="E37" s="1"/>
  <c r="L37" s="1"/>
  <c r="H36"/>
  <c r="I36" s="1"/>
  <c r="D36"/>
  <c r="E36" s="1"/>
  <c r="L36" s="1"/>
  <c r="G34"/>
  <c r="I34" s="1"/>
  <c r="C34"/>
  <c r="E34" s="1"/>
  <c r="H33"/>
  <c r="G33"/>
  <c r="I33" s="1"/>
  <c r="D33"/>
  <c r="C33"/>
  <c r="E33" s="1"/>
  <c r="G32"/>
  <c r="I32" s="1"/>
  <c r="C32"/>
  <c r="E32" s="1"/>
  <c r="C25"/>
  <c r="D46" s="1"/>
  <c r="H46" s="1"/>
  <c r="H36" i="46"/>
  <c r="I36" s="1"/>
  <c r="D36"/>
  <c r="E36" s="1"/>
  <c r="L36" s="1"/>
  <c r="D37"/>
  <c r="E37"/>
  <c r="G37"/>
  <c r="H37"/>
  <c r="I37"/>
  <c r="K37"/>
  <c r="L37"/>
  <c r="G45" i="45"/>
  <c r="C45"/>
  <c r="G44"/>
  <c r="I44" s="1"/>
  <c r="C44"/>
  <c r="E44" s="1"/>
  <c r="G43"/>
  <c r="C43"/>
  <c r="G42"/>
  <c r="C42"/>
  <c r="H40"/>
  <c r="G40"/>
  <c r="I40" s="1"/>
  <c r="D40"/>
  <c r="C40"/>
  <c r="E40" s="1"/>
  <c r="H39"/>
  <c r="G39"/>
  <c r="I39" s="1"/>
  <c r="D39"/>
  <c r="C39"/>
  <c r="E39" s="1"/>
  <c r="H37"/>
  <c r="G37"/>
  <c r="I37" s="1"/>
  <c r="D37"/>
  <c r="E37" s="1"/>
  <c r="L37" s="1"/>
  <c r="H36"/>
  <c r="I36" s="1"/>
  <c r="D36"/>
  <c r="E36" s="1"/>
  <c r="L36" s="1"/>
  <c r="G34"/>
  <c r="I34" s="1"/>
  <c r="C34"/>
  <c r="E34" s="1"/>
  <c r="H33"/>
  <c r="G33"/>
  <c r="I33" s="1"/>
  <c r="D33"/>
  <c r="C33"/>
  <c r="E33" s="1"/>
  <c r="G32"/>
  <c r="I32" s="1"/>
  <c r="C32"/>
  <c r="E32" s="1"/>
  <c r="C25"/>
  <c r="D46" s="1"/>
  <c r="H46" s="1"/>
  <c r="H36" i="44"/>
  <c r="I36" s="1"/>
  <c r="D36"/>
  <c r="E36" s="1"/>
  <c r="L36" s="1"/>
  <c r="G45" i="43"/>
  <c r="C45"/>
  <c r="G44"/>
  <c r="I44" s="1"/>
  <c r="C44"/>
  <c r="E44" s="1"/>
  <c r="G43"/>
  <c r="C43"/>
  <c r="G42"/>
  <c r="C42"/>
  <c r="H40"/>
  <c r="G40"/>
  <c r="I40" s="1"/>
  <c r="D40"/>
  <c r="C40"/>
  <c r="E40" s="1"/>
  <c r="H39"/>
  <c r="G39"/>
  <c r="I39" s="1"/>
  <c r="D39"/>
  <c r="C39"/>
  <c r="E39" s="1"/>
  <c r="H37"/>
  <c r="G37"/>
  <c r="I37" s="1"/>
  <c r="D37"/>
  <c r="E37" s="1"/>
  <c r="L37" s="1"/>
  <c r="H36"/>
  <c r="I36" s="1"/>
  <c r="D36"/>
  <c r="E36" s="1"/>
  <c r="L36" s="1"/>
  <c r="G34"/>
  <c r="I34" s="1"/>
  <c r="C34"/>
  <c r="E34" s="1"/>
  <c r="H33"/>
  <c r="G33"/>
  <c r="I33" s="1"/>
  <c r="D33"/>
  <c r="C33"/>
  <c r="E33" s="1"/>
  <c r="G32"/>
  <c r="I32" s="1"/>
  <c r="C32"/>
  <c r="E32" s="1"/>
  <c r="C25"/>
  <c r="D46" s="1"/>
  <c r="H46" s="1"/>
  <c r="H36" i="41"/>
  <c r="I36" s="1"/>
  <c r="D36"/>
  <c r="E36" s="1"/>
  <c r="L36" s="1"/>
  <c r="C27" i="39"/>
  <c r="H47"/>
  <c r="H46"/>
  <c r="D47"/>
  <c r="D46"/>
  <c r="H44"/>
  <c r="H43"/>
  <c r="D44"/>
  <c r="D43"/>
  <c r="H38"/>
  <c r="H47" i="38"/>
  <c r="H46"/>
  <c r="D47"/>
  <c r="D46"/>
  <c r="H44"/>
  <c r="H43"/>
  <c r="D44"/>
  <c r="D43"/>
  <c r="H38"/>
  <c r="D38"/>
  <c r="H47" i="37"/>
  <c r="H46"/>
  <c r="D47"/>
  <c r="D46"/>
  <c r="H44"/>
  <c r="H43"/>
  <c r="D44"/>
  <c r="D43"/>
  <c r="H38"/>
  <c r="D38"/>
  <c r="H46" i="36"/>
  <c r="D47"/>
  <c r="D46"/>
  <c r="H44"/>
  <c r="H43"/>
  <c r="D44"/>
  <c r="D43"/>
  <c r="H38"/>
  <c r="D38"/>
  <c r="H47" i="35"/>
  <c r="H46"/>
  <c r="D47"/>
  <c r="D46"/>
  <c r="H44"/>
  <c r="H43"/>
  <c r="D44"/>
  <c r="D43"/>
  <c r="H38"/>
  <c r="D38"/>
  <c r="D38" i="39"/>
  <c r="H52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G47"/>
  <c r="I47" s="1"/>
  <c r="C47"/>
  <c r="E47" s="1"/>
  <c r="G46"/>
  <c r="I46" s="1"/>
  <c r="C46"/>
  <c r="E46" s="1"/>
  <c r="G44"/>
  <c r="I44" s="1"/>
  <c r="C44"/>
  <c r="E44" s="1"/>
  <c r="G43"/>
  <c r="I43" s="1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G38"/>
  <c r="I38" s="1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H52" i="38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G47"/>
  <c r="I47" s="1"/>
  <c r="C47"/>
  <c r="E47" s="1"/>
  <c r="G46"/>
  <c r="I46" s="1"/>
  <c r="C46"/>
  <c r="E46" s="1"/>
  <c r="G44"/>
  <c r="I44" s="1"/>
  <c r="C44"/>
  <c r="E44" s="1"/>
  <c r="G43"/>
  <c r="I43" s="1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G38"/>
  <c r="I38" s="1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H52" i="37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G47"/>
  <c r="I47" s="1"/>
  <c r="C47"/>
  <c r="E47" s="1"/>
  <c r="G46"/>
  <c r="I46" s="1"/>
  <c r="C46"/>
  <c r="E46" s="1"/>
  <c r="G44"/>
  <c r="I44" s="1"/>
  <c r="C44"/>
  <c r="E44" s="1"/>
  <c r="G43"/>
  <c r="I43" s="1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G38"/>
  <c r="I38" s="1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H52" i="36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C47"/>
  <c r="E47" s="1"/>
  <c r="G46"/>
  <c r="I46" s="1"/>
  <c r="C46"/>
  <c r="E46" s="1"/>
  <c r="G44"/>
  <c r="I44" s="1"/>
  <c r="C44"/>
  <c r="E44" s="1"/>
  <c r="G43"/>
  <c r="I43" s="1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G38"/>
  <c r="I38" s="1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G38" i="35"/>
  <c r="C38"/>
  <c r="H52" i="33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H52" i="32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H52" i="30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H52" i="29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H52" i="28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H52" i="27"/>
  <c r="G52"/>
  <c r="I52" s="1"/>
  <c r="D52"/>
  <c r="C52"/>
  <c r="E52" s="1"/>
  <c r="H51"/>
  <c r="G51"/>
  <c r="I51" s="1"/>
  <c r="D51"/>
  <c r="C51"/>
  <c r="E51" s="1"/>
  <c r="H50"/>
  <c r="G50"/>
  <c r="I50" s="1"/>
  <c r="D50"/>
  <c r="C50"/>
  <c r="E50" s="1"/>
  <c r="H49"/>
  <c r="G49"/>
  <c r="I49" s="1"/>
  <c r="D49"/>
  <c r="C49"/>
  <c r="E49" s="1"/>
  <c r="G48"/>
  <c r="I48" s="1"/>
  <c r="C48"/>
  <c r="E48" s="1"/>
  <c r="H47"/>
  <c r="G47"/>
  <c r="I47" s="1"/>
  <c r="D47"/>
  <c r="C47"/>
  <c r="E47" s="1"/>
  <c r="H46"/>
  <c r="G46"/>
  <c r="I46" s="1"/>
  <c r="D46"/>
  <c r="C46"/>
  <c r="E46" s="1"/>
  <c r="H44"/>
  <c r="I44" s="1"/>
  <c r="D44"/>
  <c r="C44"/>
  <c r="E44" s="1"/>
  <c r="H43"/>
  <c r="G43"/>
  <c r="I43" s="1"/>
  <c r="D43"/>
  <c r="C43"/>
  <c r="E43" s="1"/>
  <c r="G41"/>
  <c r="I41" s="1"/>
  <c r="K41" s="1"/>
  <c r="L41" s="1"/>
  <c r="C41"/>
  <c r="L40"/>
  <c r="H40"/>
  <c r="I40" s="1"/>
  <c r="K40" s="1"/>
  <c r="D40"/>
  <c r="L39"/>
  <c r="H39"/>
  <c r="G39"/>
  <c r="I39" s="1"/>
  <c r="K39" s="1"/>
  <c r="D39"/>
  <c r="H38"/>
  <c r="G38"/>
  <c r="I38" s="1"/>
  <c r="D38"/>
  <c r="C38"/>
  <c r="E38" s="1"/>
  <c r="L36"/>
  <c r="H36"/>
  <c r="I36" s="1"/>
  <c r="K36" s="1"/>
  <c r="D36"/>
  <c r="G35"/>
  <c r="I35" s="1"/>
  <c r="C35"/>
  <c r="E35" s="1"/>
  <c r="H34"/>
  <c r="G34"/>
  <c r="I34" s="1"/>
  <c r="D34"/>
  <c r="C34"/>
  <c r="E34" s="1"/>
  <c r="G33"/>
  <c r="I33" s="1"/>
  <c r="C33"/>
  <c r="E33" s="1"/>
  <c r="G47" i="1"/>
  <c r="G48"/>
  <c r="G49"/>
  <c r="G46"/>
  <c r="G43"/>
  <c r="G38"/>
  <c r="C38"/>
  <c r="I39" i="51"/>
  <c r="L39" i="49"/>
  <c r="H39"/>
  <c r="G39"/>
  <c r="I39" s="1"/>
  <c r="K39" s="1"/>
  <c r="G39" i="51"/>
  <c r="G39" i="35"/>
  <c r="G39" i="1"/>
  <c r="H40" i="52"/>
  <c r="H40" i="53"/>
  <c r="C52"/>
  <c r="C51"/>
  <c r="C50"/>
  <c r="H49"/>
  <c r="C49"/>
  <c r="E49" s="1"/>
  <c r="C48"/>
  <c r="C47"/>
  <c r="H45"/>
  <c r="G45"/>
  <c r="I45" s="1"/>
  <c r="D45"/>
  <c r="C45"/>
  <c r="E45" s="1"/>
  <c r="H44"/>
  <c r="G44"/>
  <c r="I44" s="1"/>
  <c r="D44"/>
  <c r="C44"/>
  <c r="E44" s="1"/>
  <c r="L40"/>
  <c r="L37"/>
  <c r="I37"/>
  <c r="K37" s="1"/>
  <c r="H35"/>
  <c r="G35"/>
  <c r="I35" s="1"/>
  <c r="D35"/>
  <c r="C35"/>
  <c r="E35" s="1"/>
  <c r="H34"/>
  <c r="G34"/>
  <c r="I34" s="1"/>
  <c r="D34"/>
  <c r="C34"/>
  <c r="E34" s="1"/>
  <c r="C26"/>
  <c r="D52" s="1"/>
  <c r="H52" s="1"/>
  <c r="D22"/>
  <c r="D21"/>
  <c r="G50" s="1"/>
  <c r="D20"/>
  <c r="G49" s="1"/>
  <c r="I49" s="1"/>
  <c r="K49" s="1"/>
  <c r="D19"/>
  <c r="G48" s="1"/>
  <c r="D18"/>
  <c r="G47" s="1"/>
  <c r="L17"/>
  <c r="K17"/>
  <c r="D14"/>
  <c r="G40" s="1"/>
  <c r="I40" s="1"/>
  <c r="K40" s="1"/>
  <c r="C14"/>
  <c r="D12"/>
  <c r="C12"/>
  <c r="L10"/>
  <c r="G36" s="1"/>
  <c r="I36" s="1"/>
  <c r="K10"/>
  <c r="C36" s="1"/>
  <c r="E36" s="1"/>
  <c r="L36" s="1"/>
  <c r="D9"/>
  <c r="D8"/>
  <c r="D7"/>
  <c r="D6"/>
  <c r="G52" s="1"/>
  <c r="I52" s="1"/>
  <c r="D5"/>
  <c r="G51" s="1"/>
  <c r="G40" i="52"/>
  <c r="H48"/>
  <c r="H49"/>
  <c r="H50"/>
  <c r="H51"/>
  <c r="H47"/>
  <c r="H45"/>
  <c r="H44"/>
  <c r="D45"/>
  <c r="D44"/>
  <c r="I40"/>
  <c r="H35"/>
  <c r="D35"/>
  <c r="H34"/>
  <c r="D34"/>
  <c r="C26"/>
  <c r="D48" s="1"/>
  <c r="D5"/>
  <c r="D52"/>
  <c r="H52" s="1"/>
  <c r="C52"/>
  <c r="E52" s="1"/>
  <c r="L52" s="1"/>
  <c r="C51"/>
  <c r="C50"/>
  <c r="C49"/>
  <c r="E49" s="1"/>
  <c r="C48"/>
  <c r="C47"/>
  <c r="G45"/>
  <c r="I45" s="1"/>
  <c r="C45"/>
  <c r="E45" s="1"/>
  <c r="G44"/>
  <c r="I44" s="1"/>
  <c r="C44"/>
  <c r="E44" s="1"/>
  <c r="L40"/>
  <c r="K40"/>
  <c r="L37"/>
  <c r="I37"/>
  <c r="K37" s="1"/>
  <c r="G35"/>
  <c r="I35" s="1"/>
  <c r="C35"/>
  <c r="E35" s="1"/>
  <c r="G34"/>
  <c r="I34" s="1"/>
  <c r="C34"/>
  <c r="E34" s="1"/>
  <c r="D22"/>
  <c r="D21"/>
  <c r="G50" s="1"/>
  <c r="D20"/>
  <c r="G49" s="1"/>
  <c r="I49" s="1"/>
  <c r="K49" s="1"/>
  <c r="D19"/>
  <c r="G48" s="1"/>
  <c r="I48" s="1"/>
  <c r="D18"/>
  <c r="G47" s="1"/>
  <c r="I47" s="1"/>
  <c r="L17"/>
  <c r="K17"/>
  <c r="D14"/>
  <c r="C14"/>
  <c r="D12"/>
  <c r="C12"/>
  <c r="L10"/>
  <c r="G36" s="1"/>
  <c r="I36" s="1"/>
  <c r="K10"/>
  <c r="C36" s="1"/>
  <c r="E36" s="1"/>
  <c r="L36" s="1"/>
  <c r="D9"/>
  <c r="D8"/>
  <c r="D7"/>
  <c r="D6"/>
  <c r="G52" s="1"/>
  <c r="G51"/>
  <c r="H33" i="51"/>
  <c r="D51"/>
  <c r="H51" s="1"/>
  <c r="C51"/>
  <c r="E51" s="1"/>
  <c r="D50"/>
  <c r="H50" s="1"/>
  <c r="C50"/>
  <c r="E50" s="1"/>
  <c r="H49"/>
  <c r="D49"/>
  <c r="C49"/>
  <c r="E49" s="1"/>
  <c r="C48"/>
  <c r="E48" s="1"/>
  <c r="H47"/>
  <c r="D47"/>
  <c r="C47"/>
  <c r="E47" s="1"/>
  <c r="H46"/>
  <c r="D46"/>
  <c r="C46"/>
  <c r="E46" s="1"/>
  <c r="H44"/>
  <c r="G44"/>
  <c r="I44" s="1"/>
  <c r="D44"/>
  <c r="C44"/>
  <c r="E44" s="1"/>
  <c r="H43"/>
  <c r="G43"/>
  <c r="I43" s="1"/>
  <c r="D43"/>
  <c r="C43"/>
  <c r="E43" s="1"/>
  <c r="L39"/>
  <c r="H39"/>
  <c r="K39" s="1"/>
  <c r="D39"/>
  <c r="L36"/>
  <c r="I36"/>
  <c r="K36" s="1"/>
  <c r="H34"/>
  <c r="G34"/>
  <c r="I34" s="1"/>
  <c r="D34"/>
  <c r="C34"/>
  <c r="E34" s="1"/>
  <c r="G33"/>
  <c r="I33" s="1"/>
  <c r="D33"/>
  <c r="C33"/>
  <c r="E33" s="1"/>
  <c r="D22"/>
  <c r="D21"/>
  <c r="G49" s="1"/>
  <c r="I49" s="1"/>
  <c r="K49" s="1"/>
  <c r="D20"/>
  <c r="G48" s="1"/>
  <c r="I48" s="1"/>
  <c r="K48" s="1"/>
  <c r="D19"/>
  <c r="G47" s="1"/>
  <c r="I47" s="1"/>
  <c r="K47" s="1"/>
  <c r="D18"/>
  <c r="G46" s="1"/>
  <c r="I46" s="1"/>
  <c r="K46" s="1"/>
  <c r="L17"/>
  <c r="K17"/>
  <c r="D14"/>
  <c r="C14"/>
  <c r="D12"/>
  <c r="C12"/>
  <c r="L10"/>
  <c r="G35" s="1"/>
  <c r="I35" s="1"/>
  <c r="K10"/>
  <c r="C35" s="1"/>
  <c r="E35" s="1"/>
  <c r="L35" s="1"/>
  <c r="D9"/>
  <c r="D8"/>
  <c r="D7"/>
  <c r="D6"/>
  <c r="G51" s="1"/>
  <c r="I51" s="1"/>
  <c r="K51" s="1"/>
  <c r="D5"/>
  <c r="G50" s="1"/>
  <c r="I50" s="1"/>
  <c r="K50" s="1"/>
  <c r="D33" i="49"/>
  <c r="D51"/>
  <c r="H51" s="1"/>
  <c r="D50"/>
  <c r="H50" s="1"/>
  <c r="C51"/>
  <c r="C50"/>
  <c r="E51"/>
  <c r="E50"/>
  <c r="H49"/>
  <c r="D49"/>
  <c r="C49"/>
  <c r="E49" s="1"/>
  <c r="C48"/>
  <c r="E48" s="1"/>
  <c r="H47"/>
  <c r="D47"/>
  <c r="C47"/>
  <c r="E47" s="1"/>
  <c r="H46"/>
  <c r="D46"/>
  <c r="C46"/>
  <c r="E46" s="1"/>
  <c r="H44"/>
  <c r="G44"/>
  <c r="I44" s="1"/>
  <c r="D44"/>
  <c r="C44"/>
  <c r="E44" s="1"/>
  <c r="H43"/>
  <c r="G43"/>
  <c r="I43" s="1"/>
  <c r="D43"/>
  <c r="C43"/>
  <c r="E43" s="1"/>
  <c r="D39"/>
  <c r="L36"/>
  <c r="I36"/>
  <c r="K36" s="1"/>
  <c r="H34"/>
  <c r="G34"/>
  <c r="I34" s="1"/>
  <c r="D34"/>
  <c r="C34"/>
  <c r="E34" s="1"/>
  <c r="G33"/>
  <c r="I33" s="1"/>
  <c r="C33"/>
  <c r="E33" s="1"/>
  <c r="D22"/>
  <c r="D21"/>
  <c r="G49" s="1"/>
  <c r="I49" s="1"/>
  <c r="K49" s="1"/>
  <c r="D20"/>
  <c r="G48" s="1"/>
  <c r="I48" s="1"/>
  <c r="K48" s="1"/>
  <c r="D19"/>
  <c r="G47" s="1"/>
  <c r="I47" s="1"/>
  <c r="K47" s="1"/>
  <c r="D18"/>
  <c r="G46" s="1"/>
  <c r="I46" s="1"/>
  <c r="K46" s="1"/>
  <c r="L17"/>
  <c r="K17"/>
  <c r="D14"/>
  <c r="C14"/>
  <c r="D12"/>
  <c r="C12"/>
  <c r="L10"/>
  <c r="G35" s="1"/>
  <c r="I35" s="1"/>
  <c r="K10"/>
  <c r="C35" s="1"/>
  <c r="E35" s="1"/>
  <c r="D9"/>
  <c r="D8"/>
  <c r="D7"/>
  <c r="D6"/>
  <c r="G51" s="1"/>
  <c r="D5"/>
  <c r="G50" s="1"/>
  <c r="D21" i="48"/>
  <c r="D20"/>
  <c r="D19"/>
  <c r="D18"/>
  <c r="L17"/>
  <c r="K17"/>
  <c r="D14"/>
  <c r="C14"/>
  <c r="D12"/>
  <c r="C12"/>
  <c r="L10"/>
  <c r="K10"/>
  <c r="D6"/>
  <c r="C6"/>
  <c r="D5"/>
  <c r="D7" s="1"/>
  <c r="G46" s="1"/>
  <c r="C5"/>
  <c r="C7" s="1"/>
  <c r="C46" s="1"/>
  <c r="C45" i="46"/>
  <c r="C44"/>
  <c r="E44" s="1"/>
  <c r="C43"/>
  <c r="C42"/>
  <c r="H40"/>
  <c r="G40"/>
  <c r="I40" s="1"/>
  <c r="D40"/>
  <c r="C40"/>
  <c r="E40" s="1"/>
  <c r="H39"/>
  <c r="G39"/>
  <c r="I39" s="1"/>
  <c r="D39"/>
  <c r="C39"/>
  <c r="E39" s="1"/>
  <c r="H33"/>
  <c r="G33"/>
  <c r="I33" s="1"/>
  <c r="D33"/>
  <c r="C33"/>
  <c r="E33" s="1"/>
  <c r="G32"/>
  <c r="I32" s="1"/>
  <c r="C32"/>
  <c r="E32" s="1"/>
  <c r="C25"/>
  <c r="D46" s="1"/>
  <c r="H46" s="1"/>
  <c r="D21"/>
  <c r="G45" s="1"/>
  <c r="D20"/>
  <c r="G44" s="1"/>
  <c r="I44" s="1"/>
  <c r="K44" s="1"/>
  <c r="D19"/>
  <c r="G43" s="1"/>
  <c r="D18"/>
  <c r="G42" s="1"/>
  <c r="L17"/>
  <c r="K17"/>
  <c r="D14"/>
  <c r="C14"/>
  <c r="D12"/>
  <c r="C12"/>
  <c r="L10"/>
  <c r="G34" s="1"/>
  <c r="I34" s="1"/>
  <c r="K10"/>
  <c r="C34" s="1"/>
  <c r="E34" s="1"/>
  <c r="D6"/>
  <c r="C6"/>
  <c r="D5"/>
  <c r="D7" s="1"/>
  <c r="G46" s="1"/>
  <c r="I46" s="1"/>
  <c r="C5"/>
  <c r="C7" s="1"/>
  <c r="C46" s="1"/>
  <c r="E46" s="1"/>
  <c r="D22" i="45"/>
  <c r="D21"/>
  <c r="D20"/>
  <c r="D19"/>
  <c r="D18"/>
  <c r="L17"/>
  <c r="K17"/>
  <c r="D14"/>
  <c r="C14"/>
  <c r="D12"/>
  <c r="C12"/>
  <c r="L10"/>
  <c r="K10"/>
  <c r="D6"/>
  <c r="C6"/>
  <c r="D5"/>
  <c r="D7" s="1"/>
  <c r="G46" s="1"/>
  <c r="C5"/>
  <c r="C7" s="1"/>
  <c r="C46" s="1"/>
  <c r="C45" i="44"/>
  <c r="C44"/>
  <c r="E44" s="1"/>
  <c r="C43"/>
  <c r="C42"/>
  <c r="H40"/>
  <c r="G40"/>
  <c r="I40" s="1"/>
  <c r="D40"/>
  <c r="C40"/>
  <c r="E40" s="1"/>
  <c r="H39"/>
  <c r="G39"/>
  <c r="I39" s="1"/>
  <c r="D39"/>
  <c r="C39"/>
  <c r="E39" s="1"/>
  <c r="H37"/>
  <c r="D37"/>
  <c r="E37" s="1"/>
  <c r="L37" s="1"/>
  <c r="H33"/>
  <c r="G33"/>
  <c r="I33" s="1"/>
  <c r="D33"/>
  <c r="C33"/>
  <c r="E33" s="1"/>
  <c r="G32"/>
  <c r="I32" s="1"/>
  <c r="C32"/>
  <c r="E32" s="1"/>
  <c r="C25"/>
  <c r="D46" s="1"/>
  <c r="H46" s="1"/>
  <c r="D22"/>
  <c r="D21"/>
  <c r="G45" s="1"/>
  <c r="D20"/>
  <c r="G44" s="1"/>
  <c r="I44" s="1"/>
  <c r="K44" s="1"/>
  <c r="D19"/>
  <c r="G43" s="1"/>
  <c r="D18"/>
  <c r="G42" s="1"/>
  <c r="L17"/>
  <c r="K17"/>
  <c r="D14"/>
  <c r="G37" s="1"/>
  <c r="I37" s="1"/>
  <c r="K37" s="1"/>
  <c r="C14"/>
  <c r="D12"/>
  <c r="C12"/>
  <c r="L10"/>
  <c r="G34" s="1"/>
  <c r="I34" s="1"/>
  <c r="K10"/>
  <c r="C34" s="1"/>
  <c r="E34" s="1"/>
  <c r="D6"/>
  <c r="C6"/>
  <c r="D5"/>
  <c r="D7" s="1"/>
  <c r="G46" s="1"/>
  <c r="I46" s="1"/>
  <c r="C5"/>
  <c r="C7" s="1"/>
  <c r="C46" s="1"/>
  <c r="E46" s="1"/>
  <c r="I52" i="52" l="1"/>
  <c r="K52" s="1"/>
  <c r="E35" i="48"/>
  <c r="I35"/>
  <c r="K32"/>
  <c r="L32" s="1"/>
  <c r="K33"/>
  <c r="L33" s="1"/>
  <c r="K34"/>
  <c r="L34" s="1"/>
  <c r="K36"/>
  <c r="K37"/>
  <c r="K39"/>
  <c r="L39" s="1"/>
  <c r="K40"/>
  <c r="L40" s="1"/>
  <c r="K44"/>
  <c r="L44" s="1"/>
  <c r="E46"/>
  <c r="I46"/>
  <c r="K46" s="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K36" i="46"/>
  <c r="E35" i="45"/>
  <c r="I35"/>
  <c r="K32"/>
  <c r="L32" s="1"/>
  <c r="K33"/>
  <c r="L33" s="1"/>
  <c r="K34"/>
  <c r="L34" s="1"/>
  <c r="K36"/>
  <c r="K37"/>
  <c r="K39"/>
  <c r="L39" s="1"/>
  <c r="K40"/>
  <c r="L40" s="1"/>
  <c r="K44"/>
  <c r="L44" s="1"/>
  <c r="E46"/>
  <c r="I46"/>
  <c r="K46" s="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K36" i="44"/>
  <c r="E35" i="43"/>
  <c r="I35"/>
  <c r="K32"/>
  <c r="L32" s="1"/>
  <c r="K33"/>
  <c r="L33" s="1"/>
  <c r="K34"/>
  <c r="L34" s="1"/>
  <c r="K36"/>
  <c r="K37"/>
  <c r="K39"/>
  <c r="L39" s="1"/>
  <c r="K40"/>
  <c r="L40" s="1"/>
  <c r="K44"/>
  <c r="L44" s="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K36" i="41"/>
  <c r="E37" i="39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8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7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6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3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2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30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29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28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7" i="27"/>
  <c r="I37"/>
  <c r="K33"/>
  <c r="L33" s="1"/>
  <c r="K34"/>
  <c r="L34" s="1"/>
  <c r="K35"/>
  <c r="L35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E38" i="53"/>
  <c r="I38"/>
  <c r="K34"/>
  <c r="L34" s="1"/>
  <c r="K36"/>
  <c r="K35"/>
  <c r="L35" s="1"/>
  <c r="K44"/>
  <c r="L44" s="1"/>
  <c r="K45"/>
  <c r="L45" s="1"/>
  <c r="L49"/>
  <c r="E52"/>
  <c r="L52" s="1"/>
  <c r="C11"/>
  <c r="D11"/>
  <c r="D47"/>
  <c r="H47" s="1"/>
  <c r="I47" s="1"/>
  <c r="D48"/>
  <c r="H48" s="1"/>
  <c r="I48" s="1"/>
  <c r="D50"/>
  <c r="H50" s="1"/>
  <c r="I50" s="1"/>
  <c r="D51"/>
  <c r="H51" s="1"/>
  <c r="I51" s="1"/>
  <c r="E48" i="52"/>
  <c r="K48" s="1"/>
  <c r="L48" s="1"/>
  <c r="D51"/>
  <c r="I51" s="1"/>
  <c r="D50"/>
  <c r="E50" s="1"/>
  <c r="I50"/>
  <c r="K50" s="1"/>
  <c r="D47"/>
  <c r="E47" s="1"/>
  <c r="E38"/>
  <c r="I38"/>
  <c r="K34"/>
  <c r="L34" s="1"/>
  <c r="K36"/>
  <c r="K35"/>
  <c r="L35" s="1"/>
  <c r="K44"/>
  <c r="L44" s="1"/>
  <c r="K45"/>
  <c r="L45" s="1"/>
  <c r="L49"/>
  <c r="C11"/>
  <c r="D11"/>
  <c r="L51" i="51"/>
  <c r="E37"/>
  <c r="I37"/>
  <c r="K33"/>
  <c r="L33" s="1"/>
  <c r="K35"/>
  <c r="K34"/>
  <c r="L34" s="1"/>
  <c r="K43"/>
  <c r="L43" s="1"/>
  <c r="K44"/>
  <c r="L44" s="1"/>
  <c r="L46"/>
  <c r="L47"/>
  <c r="L48"/>
  <c r="L49"/>
  <c r="L50"/>
  <c r="C11"/>
  <c r="D11"/>
  <c r="I50" i="49"/>
  <c r="K50" s="1"/>
  <c r="I51"/>
  <c r="K51" s="1"/>
  <c r="E37"/>
  <c r="I37"/>
  <c r="K33"/>
  <c r="L33" s="1"/>
  <c r="K35"/>
  <c r="L35" s="1"/>
  <c r="K34"/>
  <c r="L34" s="1"/>
  <c r="K43"/>
  <c r="L43" s="1"/>
  <c r="K44"/>
  <c r="L44" s="1"/>
  <c r="L46"/>
  <c r="L47"/>
  <c r="L48"/>
  <c r="L49"/>
  <c r="L50"/>
  <c r="L51"/>
  <c r="C11"/>
  <c r="D11"/>
  <c r="C11" i="48"/>
  <c r="D11"/>
  <c r="E35" i="46"/>
  <c r="I35"/>
  <c r="K32"/>
  <c r="L32" s="1"/>
  <c r="K46"/>
  <c r="L46" s="1"/>
  <c r="K34"/>
  <c r="L34" s="1"/>
  <c r="K33"/>
  <c r="L33" s="1"/>
  <c r="K39"/>
  <c r="L39" s="1"/>
  <c r="K40"/>
  <c r="L40" s="1"/>
  <c r="L44"/>
  <c r="C11"/>
  <c r="D1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C11" i="45"/>
  <c r="D11"/>
  <c r="E35" i="44"/>
  <c r="I35"/>
  <c r="K32"/>
  <c r="L32" s="1"/>
  <c r="K46"/>
  <c r="L46" s="1"/>
  <c r="K34"/>
  <c r="L34" s="1"/>
  <c r="K33"/>
  <c r="L33" s="1"/>
  <c r="K39"/>
  <c r="L39" s="1"/>
  <c r="K40"/>
  <c r="L40" s="1"/>
  <c r="L44"/>
  <c r="C11"/>
  <c r="D11"/>
  <c r="D42"/>
  <c r="E42" s="1"/>
  <c r="H42"/>
  <c r="I42" s="1"/>
  <c r="K42" s="1"/>
  <c r="D43"/>
  <c r="E43" s="1"/>
  <c r="H43"/>
  <c r="I43" s="1"/>
  <c r="K43" s="1"/>
  <c r="D45"/>
  <c r="E45" s="1"/>
  <c r="H45"/>
  <c r="I45" s="1"/>
  <c r="K45" s="1"/>
  <c r="C25" i="41"/>
  <c r="D22" i="43"/>
  <c r="D21"/>
  <c r="D20"/>
  <c r="D19"/>
  <c r="D18"/>
  <c r="L17"/>
  <c r="K17"/>
  <c r="D14"/>
  <c r="C14"/>
  <c r="D12"/>
  <c r="C12"/>
  <c r="L10"/>
  <c r="K10"/>
  <c r="D6"/>
  <c r="C6"/>
  <c r="D5"/>
  <c r="D7" s="1"/>
  <c r="G46" s="1"/>
  <c r="I46" s="1"/>
  <c r="C5"/>
  <c r="C7" s="1"/>
  <c r="C46" s="1"/>
  <c r="E46" s="1"/>
  <c r="D37" i="41"/>
  <c r="H37"/>
  <c r="H40"/>
  <c r="H39"/>
  <c r="H33"/>
  <c r="D40"/>
  <c r="D39"/>
  <c r="D33"/>
  <c r="D42"/>
  <c r="K46" i="43" l="1"/>
  <c r="L45" i="48"/>
  <c r="L43"/>
  <c r="L42"/>
  <c r="I38"/>
  <c r="K35"/>
  <c r="E38"/>
  <c r="L35"/>
  <c r="L46"/>
  <c r="L45" i="45"/>
  <c r="L43"/>
  <c r="L42"/>
  <c r="I38"/>
  <c r="K35"/>
  <c r="E38"/>
  <c r="L35"/>
  <c r="L46"/>
  <c r="L45" i="43"/>
  <c r="L43"/>
  <c r="L42"/>
  <c r="I38"/>
  <c r="K35"/>
  <c r="E38"/>
  <c r="L35"/>
  <c r="L46"/>
  <c r="I42" i="39"/>
  <c r="K37"/>
  <c r="E42"/>
  <c r="L37"/>
  <c r="I42" i="38"/>
  <c r="K37"/>
  <c r="E42"/>
  <c r="L37"/>
  <c r="I42" i="37"/>
  <c r="K37"/>
  <c r="E42"/>
  <c r="L37"/>
  <c r="I42" i="36"/>
  <c r="K37"/>
  <c r="E42"/>
  <c r="L37"/>
  <c r="I42" i="33"/>
  <c r="K37"/>
  <c r="E42"/>
  <c r="L37"/>
  <c r="I42" i="32"/>
  <c r="K37"/>
  <c r="E42"/>
  <c r="L37"/>
  <c r="I42" i="30"/>
  <c r="K37"/>
  <c r="E42"/>
  <c r="L37"/>
  <c r="I42" i="29"/>
  <c r="K37"/>
  <c r="E42"/>
  <c r="L37"/>
  <c r="I42" i="28"/>
  <c r="K37"/>
  <c r="E42"/>
  <c r="L37"/>
  <c r="I42" i="27"/>
  <c r="K37"/>
  <c r="E42"/>
  <c r="L37"/>
  <c r="I43" i="53"/>
  <c r="K38"/>
  <c r="E43"/>
  <c r="L38"/>
  <c r="E51"/>
  <c r="E50"/>
  <c r="E48"/>
  <c r="E47"/>
  <c r="K52"/>
  <c r="K47" i="52"/>
  <c r="L47"/>
  <c r="L50"/>
  <c r="E51"/>
  <c r="I43"/>
  <c r="K38"/>
  <c r="E43"/>
  <c r="L38"/>
  <c r="I42" i="51"/>
  <c r="K37"/>
  <c r="E42"/>
  <c r="L37"/>
  <c r="I42" i="49"/>
  <c r="K37"/>
  <c r="E42"/>
  <c r="L37"/>
  <c r="L45" i="46"/>
  <c r="L43"/>
  <c r="L42"/>
  <c r="I38"/>
  <c r="K35"/>
  <c r="E38"/>
  <c r="L35"/>
  <c r="L45" i="44"/>
  <c r="L43"/>
  <c r="L42"/>
  <c r="I38"/>
  <c r="K35"/>
  <c r="E38"/>
  <c r="L35"/>
  <c r="C11" i="43"/>
  <c r="D11"/>
  <c r="D46" i="41"/>
  <c r="H46" s="1"/>
  <c r="E41" i="48" l="1"/>
  <c r="I41"/>
  <c r="K38"/>
  <c r="L38" s="1"/>
  <c r="E41" i="45"/>
  <c r="I41"/>
  <c r="K38"/>
  <c r="L38" s="1"/>
  <c r="E41" i="43"/>
  <c r="I41"/>
  <c r="K38"/>
  <c r="L38" s="1"/>
  <c r="E45" i="39"/>
  <c r="I45"/>
  <c r="K42"/>
  <c r="L42" s="1"/>
  <c r="E45" i="38"/>
  <c r="I45"/>
  <c r="K42"/>
  <c r="L42" s="1"/>
  <c r="E45" i="37"/>
  <c r="I45"/>
  <c r="K42"/>
  <c r="L42" s="1"/>
  <c r="E45" i="36"/>
  <c r="I45"/>
  <c r="K42"/>
  <c r="L42" s="1"/>
  <c r="E45" i="33"/>
  <c r="I45"/>
  <c r="K42"/>
  <c r="L42" s="1"/>
  <c r="E45" i="32"/>
  <c r="I45"/>
  <c r="K42"/>
  <c r="L42" s="1"/>
  <c r="E45" i="30"/>
  <c r="I45"/>
  <c r="K42"/>
  <c r="L42" s="1"/>
  <c r="E45" i="29"/>
  <c r="I45"/>
  <c r="K42"/>
  <c r="L42" s="1"/>
  <c r="E45" i="28"/>
  <c r="I45"/>
  <c r="K42"/>
  <c r="L42" s="1"/>
  <c r="E45" i="27"/>
  <c r="I45"/>
  <c r="K42"/>
  <c r="L42" s="1"/>
  <c r="E46" i="53"/>
  <c r="I46"/>
  <c r="K43"/>
  <c r="L43" s="1"/>
  <c r="K47"/>
  <c r="L47" s="1"/>
  <c r="K48"/>
  <c r="L48" s="1"/>
  <c r="K50"/>
  <c r="L50" s="1"/>
  <c r="K51"/>
  <c r="L51" s="1"/>
  <c r="K51" i="52"/>
  <c r="L51" s="1"/>
  <c r="E46"/>
  <c r="I46"/>
  <c r="K43"/>
  <c r="L43" s="1"/>
  <c r="E45" i="51"/>
  <c r="I45"/>
  <c r="K42"/>
  <c r="L42" s="1"/>
  <c r="E45" i="49"/>
  <c r="I45"/>
  <c r="K42"/>
  <c r="L42" s="1"/>
  <c r="E41" i="46"/>
  <c r="I41"/>
  <c r="K38"/>
  <c r="L38" s="1"/>
  <c r="E41" i="44"/>
  <c r="I41"/>
  <c r="K38"/>
  <c r="L38" s="1"/>
  <c r="I48" i="48" l="1"/>
  <c r="K41"/>
  <c r="E48"/>
  <c r="L41"/>
  <c r="I48" i="45"/>
  <c r="K41"/>
  <c r="E48"/>
  <c r="L41"/>
  <c r="I48" i="43"/>
  <c r="K41"/>
  <c r="E48"/>
  <c r="L41"/>
  <c r="I54" i="39"/>
  <c r="K45"/>
  <c r="E54"/>
  <c r="L45"/>
  <c r="I54" i="38"/>
  <c r="K45"/>
  <c r="E54"/>
  <c r="L45"/>
  <c r="I54" i="37"/>
  <c r="K45"/>
  <c r="E54"/>
  <c r="L45"/>
  <c r="I54" i="36"/>
  <c r="K45"/>
  <c r="E54"/>
  <c r="L45"/>
  <c r="I54" i="33"/>
  <c r="K45"/>
  <c r="E54"/>
  <c r="L45"/>
  <c r="I54" i="32"/>
  <c r="K45"/>
  <c r="E54"/>
  <c r="L45"/>
  <c r="I54" i="30"/>
  <c r="K45"/>
  <c r="E54"/>
  <c r="L45"/>
  <c r="I54" i="29"/>
  <c r="K45"/>
  <c r="E54"/>
  <c r="L45"/>
  <c r="I54" i="28"/>
  <c r="K45"/>
  <c r="E54"/>
  <c r="L45"/>
  <c r="I54" i="27"/>
  <c r="K45"/>
  <c r="E54"/>
  <c r="L45"/>
  <c r="I54" i="53"/>
  <c r="K46"/>
  <c r="E54"/>
  <c r="L46"/>
  <c r="I54" i="52"/>
  <c r="K46"/>
  <c r="E54"/>
  <c r="L46"/>
  <c r="I53" i="51"/>
  <c r="K45"/>
  <c r="E53"/>
  <c r="L45"/>
  <c r="I53" i="49"/>
  <c r="K45"/>
  <c r="E53"/>
  <c r="L45"/>
  <c r="I48" i="46"/>
  <c r="K41"/>
  <c r="E48"/>
  <c r="L41"/>
  <c r="I48" i="44"/>
  <c r="K41"/>
  <c r="E48"/>
  <c r="L41"/>
  <c r="E49" i="48" l="1"/>
  <c r="I49"/>
  <c r="K49" s="1"/>
  <c r="K48"/>
  <c r="L48" s="1"/>
  <c r="E49" i="45"/>
  <c r="I49"/>
  <c r="K49" s="1"/>
  <c r="K48"/>
  <c r="L48" s="1"/>
  <c r="E49" i="43"/>
  <c r="I49"/>
  <c r="K49" s="1"/>
  <c r="K48"/>
  <c r="L48" s="1"/>
  <c r="E55" i="39"/>
  <c r="I55"/>
  <c r="K55" s="1"/>
  <c r="K54"/>
  <c r="L54" s="1"/>
  <c r="E55" i="38"/>
  <c r="I55"/>
  <c r="K55" s="1"/>
  <c r="K54"/>
  <c r="L54" s="1"/>
  <c r="E55" i="37"/>
  <c r="I55"/>
  <c r="K55" s="1"/>
  <c r="K54"/>
  <c r="L54" s="1"/>
  <c r="E55" i="36"/>
  <c r="I55"/>
  <c r="K55" s="1"/>
  <c r="K54"/>
  <c r="L54" s="1"/>
  <c r="E55" i="33"/>
  <c r="I55"/>
  <c r="K55" s="1"/>
  <c r="K54"/>
  <c r="L54" s="1"/>
  <c r="E55" i="32"/>
  <c r="I55"/>
  <c r="K55" s="1"/>
  <c r="K54"/>
  <c r="L54" s="1"/>
  <c r="E55" i="30"/>
  <c r="I55"/>
  <c r="K55" s="1"/>
  <c r="K54"/>
  <c r="L54" s="1"/>
  <c r="E55" i="29"/>
  <c r="I55"/>
  <c r="K55" s="1"/>
  <c r="K54"/>
  <c r="L54" s="1"/>
  <c r="E55" i="28"/>
  <c r="I55"/>
  <c r="K55" s="1"/>
  <c r="K54"/>
  <c r="L54" s="1"/>
  <c r="E55" i="27"/>
  <c r="I55"/>
  <c r="K55" s="1"/>
  <c r="K54"/>
  <c r="L54" s="1"/>
  <c r="E55" i="53"/>
  <c r="I55"/>
  <c r="K55" s="1"/>
  <c r="K54"/>
  <c r="L54" s="1"/>
  <c r="E55" i="52"/>
  <c r="I55"/>
  <c r="K55" s="1"/>
  <c r="K54"/>
  <c r="L54" s="1"/>
  <c r="E54" i="51"/>
  <c r="I54"/>
  <c r="K54" s="1"/>
  <c r="K53"/>
  <c r="L53" s="1"/>
  <c r="E54" i="49"/>
  <c r="I54"/>
  <c r="K54" s="1"/>
  <c r="K53"/>
  <c r="L53" s="1"/>
  <c r="E49" i="46"/>
  <c r="I49"/>
  <c r="K49" s="1"/>
  <c r="K48"/>
  <c r="L48" s="1"/>
  <c r="E49" i="44"/>
  <c r="I49"/>
  <c r="K49" s="1"/>
  <c r="K48"/>
  <c r="L48" s="1"/>
  <c r="I50" i="48" l="1"/>
  <c r="L49"/>
  <c r="E50"/>
  <c r="I50" i="45"/>
  <c r="L49"/>
  <c r="E50"/>
  <c r="I50" i="43"/>
  <c r="L49"/>
  <c r="E50"/>
  <c r="I56" i="39"/>
  <c r="L55"/>
  <c r="E56"/>
  <c r="I56" i="38"/>
  <c r="L55"/>
  <c r="E56"/>
  <c r="I56" i="37"/>
  <c r="I57" s="1"/>
  <c r="L55"/>
  <c r="E56"/>
  <c r="E57" s="1"/>
  <c r="I56" i="36"/>
  <c r="L55"/>
  <c r="E56"/>
  <c r="I56" i="33"/>
  <c r="L55"/>
  <c r="E56"/>
  <c r="I56" i="32"/>
  <c r="L55"/>
  <c r="E56"/>
  <c r="I56" i="30"/>
  <c r="L55"/>
  <c r="E56"/>
  <c r="I56" i="29"/>
  <c r="L55"/>
  <c r="E56"/>
  <c r="I56" i="28"/>
  <c r="L55"/>
  <c r="E56"/>
  <c r="I56" i="27"/>
  <c r="L55"/>
  <c r="E56"/>
  <c r="I56" i="53"/>
  <c r="L55"/>
  <c r="E56"/>
  <c r="I56" i="52"/>
  <c r="L55"/>
  <c r="E56"/>
  <c r="I55" i="51"/>
  <c r="L54"/>
  <c r="E55"/>
  <c r="I55" i="49"/>
  <c r="L54"/>
  <c r="E55"/>
  <c r="I50" i="46"/>
  <c r="L49"/>
  <c r="E50"/>
  <c r="I50" i="44"/>
  <c r="L49"/>
  <c r="E50"/>
  <c r="K50" i="48" l="1"/>
  <c r="K50" i="45"/>
  <c r="K50" i="43"/>
  <c r="E57" i="39"/>
  <c r="I57"/>
  <c r="K57" s="1"/>
  <c r="K56"/>
  <c r="L56" s="1"/>
  <c r="E57" i="38"/>
  <c r="I57"/>
  <c r="K57" s="1"/>
  <c r="K56"/>
  <c r="L56" s="1"/>
  <c r="K57" i="37"/>
  <c r="K56"/>
  <c r="L56" s="1"/>
  <c r="E57" i="36"/>
  <c r="I57"/>
  <c r="K57" s="1"/>
  <c r="K56"/>
  <c r="L56" s="1"/>
  <c r="E57" i="33"/>
  <c r="I57"/>
  <c r="K57" s="1"/>
  <c r="K56"/>
  <c r="L56" s="1"/>
  <c r="E57" i="32"/>
  <c r="I57"/>
  <c r="K57" s="1"/>
  <c r="K56"/>
  <c r="L56" s="1"/>
  <c r="E57" i="30"/>
  <c r="I57"/>
  <c r="K57" s="1"/>
  <c r="K56"/>
  <c r="L56" s="1"/>
  <c r="E57" i="29"/>
  <c r="I57"/>
  <c r="K57" s="1"/>
  <c r="K56"/>
  <c r="L56" s="1"/>
  <c r="E57" i="28"/>
  <c r="I57"/>
  <c r="K57" s="1"/>
  <c r="K56"/>
  <c r="L56" s="1"/>
  <c r="E57" i="27"/>
  <c r="I57"/>
  <c r="K57" s="1"/>
  <c r="K56"/>
  <c r="L56" s="1"/>
  <c r="K56" i="53"/>
  <c r="L56" s="1"/>
  <c r="K56" i="52"/>
  <c r="L56" s="1"/>
  <c r="E56" i="51"/>
  <c r="I56"/>
  <c r="K56" s="1"/>
  <c r="K55"/>
  <c r="L55" s="1"/>
  <c r="E56" i="49"/>
  <c r="I56"/>
  <c r="K56" s="1"/>
  <c r="K55"/>
  <c r="L55" s="1"/>
  <c r="K50" i="46"/>
  <c r="K50" i="44"/>
  <c r="L50" i="48" l="1"/>
  <c r="L50" i="46"/>
  <c r="L50" i="45"/>
  <c r="L50" i="44"/>
  <c r="L50" i="43"/>
  <c r="I58" i="39"/>
  <c r="L57"/>
  <c r="E58"/>
  <c r="I58" i="38"/>
  <c r="L57"/>
  <c r="E58"/>
  <c r="I58" i="37"/>
  <c r="L57"/>
  <c r="E58"/>
  <c r="I58" i="36"/>
  <c r="L57"/>
  <c r="E58"/>
  <c r="I58" i="33"/>
  <c r="L57"/>
  <c r="E58"/>
  <c r="I58" i="32"/>
  <c r="L57"/>
  <c r="E58"/>
  <c r="I58" i="30"/>
  <c r="L57"/>
  <c r="E58"/>
  <c r="I58" i="29"/>
  <c r="L57"/>
  <c r="E58"/>
  <c r="I58" i="28"/>
  <c r="L57"/>
  <c r="E58"/>
  <c r="I58" i="27"/>
  <c r="L57"/>
  <c r="E58"/>
  <c r="I57" i="51"/>
  <c r="L56"/>
  <c r="E57"/>
  <c r="I57" i="49"/>
  <c r="L56"/>
  <c r="E57"/>
  <c r="K58" i="39" l="1"/>
  <c r="L58" s="1"/>
  <c r="K58" i="38"/>
  <c r="L58" s="1"/>
  <c r="K58" i="37"/>
  <c r="L58" s="1"/>
  <c r="K58" i="36"/>
  <c r="L58" s="1"/>
  <c r="K58" i="33"/>
  <c r="L58" s="1"/>
  <c r="K58" i="32"/>
  <c r="L58" s="1"/>
  <c r="K58" i="30"/>
  <c r="L58" s="1"/>
  <c r="K58" i="29"/>
  <c r="L58" s="1"/>
  <c r="K58" i="28"/>
  <c r="L58" s="1"/>
  <c r="K58" i="27"/>
  <c r="L58" s="1"/>
  <c r="K57" i="51"/>
  <c r="L57" s="1"/>
  <c r="K57" i="49"/>
  <c r="L57" s="1"/>
  <c r="D5" i="41" l="1"/>
  <c r="D6"/>
  <c r="C6"/>
  <c r="C5"/>
  <c r="O15" i="42"/>
  <c r="C7" i="41"/>
  <c r="E46"/>
  <c r="H45"/>
  <c r="D45"/>
  <c r="C45"/>
  <c r="E45" s="1"/>
  <c r="C44"/>
  <c r="E44" s="1"/>
  <c r="H43"/>
  <c r="D43"/>
  <c r="C43"/>
  <c r="E43" s="1"/>
  <c r="H42"/>
  <c r="C42"/>
  <c r="E42" s="1"/>
  <c r="G40"/>
  <c r="I40" s="1"/>
  <c r="C40"/>
  <c r="E40" s="1"/>
  <c r="G39"/>
  <c r="I39" s="1"/>
  <c r="C39"/>
  <c r="E39" s="1"/>
  <c r="E37"/>
  <c r="L37" s="1"/>
  <c r="G33"/>
  <c r="I33" s="1"/>
  <c r="C33"/>
  <c r="E33" s="1"/>
  <c r="G32"/>
  <c r="I32" s="1"/>
  <c r="C32"/>
  <c r="E32" s="1"/>
  <c r="D22"/>
  <c r="D21"/>
  <c r="G45" s="1"/>
  <c r="I45" s="1"/>
  <c r="K45" s="1"/>
  <c r="D20"/>
  <c r="G44" s="1"/>
  <c r="I44" s="1"/>
  <c r="K44" s="1"/>
  <c r="D19"/>
  <c r="G43" s="1"/>
  <c r="I43" s="1"/>
  <c r="K43" s="1"/>
  <c r="D18"/>
  <c r="G42" s="1"/>
  <c r="I42" s="1"/>
  <c r="K42" s="1"/>
  <c r="L17"/>
  <c r="K17"/>
  <c r="D14"/>
  <c r="G37" s="1"/>
  <c r="I37" s="1"/>
  <c r="C14"/>
  <c r="D12"/>
  <c r="C12"/>
  <c r="L10"/>
  <c r="G34" s="1"/>
  <c r="I34" s="1"/>
  <c r="K10"/>
  <c r="C34" s="1"/>
  <c r="E34" s="1"/>
  <c r="D7"/>
  <c r="G46" s="1"/>
  <c r="I46" s="1"/>
  <c r="K46" s="1"/>
  <c r="D22" i="39"/>
  <c r="D21"/>
  <c r="D20"/>
  <c r="D19"/>
  <c r="D18"/>
  <c r="L17"/>
  <c r="K17"/>
  <c r="D14"/>
  <c r="C14"/>
  <c r="D12"/>
  <c r="C12"/>
  <c r="L10"/>
  <c r="K10"/>
  <c r="D9"/>
  <c r="D8"/>
  <c r="D7"/>
  <c r="D6"/>
  <c r="D5"/>
  <c r="D22" i="38"/>
  <c r="D21"/>
  <c r="D20"/>
  <c r="D19"/>
  <c r="D18"/>
  <c r="L17"/>
  <c r="K17"/>
  <c r="D14"/>
  <c r="C14"/>
  <c r="D12"/>
  <c r="C12"/>
  <c r="L10"/>
  <c r="K10"/>
  <c r="D9"/>
  <c r="D8"/>
  <c r="D7"/>
  <c r="D6"/>
  <c r="D5"/>
  <c r="D22" i="37"/>
  <c r="D21"/>
  <c r="D20"/>
  <c r="D19"/>
  <c r="D18"/>
  <c r="L17"/>
  <c r="K17"/>
  <c r="D14"/>
  <c r="C14"/>
  <c r="D12"/>
  <c r="C12"/>
  <c r="L10"/>
  <c r="K10"/>
  <c r="D9"/>
  <c r="D8"/>
  <c r="D7"/>
  <c r="D6"/>
  <c r="D5"/>
  <c r="D22" i="36"/>
  <c r="D21"/>
  <c r="D20"/>
  <c r="D19"/>
  <c r="D18"/>
  <c r="L17"/>
  <c r="K17"/>
  <c r="D14"/>
  <c r="C14"/>
  <c r="D12"/>
  <c r="C12"/>
  <c r="L10"/>
  <c r="K10"/>
  <c r="D9"/>
  <c r="D8"/>
  <c r="D7"/>
  <c r="D6"/>
  <c r="D5"/>
  <c r="G51" i="35"/>
  <c r="G52"/>
  <c r="G50"/>
  <c r="G47"/>
  <c r="G48"/>
  <c r="G49"/>
  <c r="G46"/>
  <c r="G44"/>
  <c r="G43"/>
  <c r="I35"/>
  <c r="G35"/>
  <c r="E35"/>
  <c r="C35"/>
  <c r="I35" i="1"/>
  <c r="E35"/>
  <c r="G35"/>
  <c r="C35"/>
  <c r="H52" i="35"/>
  <c r="I52"/>
  <c r="D52"/>
  <c r="C52"/>
  <c r="E52" s="1"/>
  <c r="H51"/>
  <c r="I51"/>
  <c r="D51"/>
  <c r="C51"/>
  <c r="E51" s="1"/>
  <c r="H50"/>
  <c r="I50"/>
  <c r="D50"/>
  <c r="C50"/>
  <c r="E50" s="1"/>
  <c r="H49"/>
  <c r="I49" s="1"/>
  <c r="D49"/>
  <c r="C49"/>
  <c r="E49" s="1"/>
  <c r="I48"/>
  <c r="C48"/>
  <c r="E48" s="1"/>
  <c r="I47"/>
  <c r="C47"/>
  <c r="E47" s="1"/>
  <c r="I46"/>
  <c r="C46"/>
  <c r="E46" s="1"/>
  <c r="I44"/>
  <c r="C44"/>
  <c r="E44" s="1"/>
  <c r="I43"/>
  <c r="C43"/>
  <c r="E43" s="1"/>
  <c r="L40"/>
  <c r="H40"/>
  <c r="I40" s="1"/>
  <c r="K40" s="1"/>
  <c r="D40"/>
  <c r="L39"/>
  <c r="H39"/>
  <c r="I39" s="1"/>
  <c r="K39" s="1"/>
  <c r="D39"/>
  <c r="I38"/>
  <c r="E38"/>
  <c r="L36"/>
  <c r="H36"/>
  <c r="I36" s="1"/>
  <c r="K36" s="1"/>
  <c r="D36"/>
  <c r="H34"/>
  <c r="G34"/>
  <c r="I34" s="1"/>
  <c r="D34"/>
  <c r="C34"/>
  <c r="E34" s="1"/>
  <c r="G33"/>
  <c r="I33" s="1"/>
  <c r="C33"/>
  <c r="E33" s="1"/>
  <c r="D22"/>
  <c r="D21"/>
  <c r="D20"/>
  <c r="D19"/>
  <c r="D18"/>
  <c r="L17"/>
  <c r="K17"/>
  <c r="D14"/>
  <c r="C14"/>
  <c r="D12"/>
  <c r="G41" s="1"/>
  <c r="I41" s="1"/>
  <c r="K41" s="1"/>
  <c r="L41" s="1"/>
  <c r="C12"/>
  <c r="C41" s="1"/>
  <c r="L10"/>
  <c r="K35" s="1"/>
  <c r="L35" s="1"/>
  <c r="K10"/>
  <c r="C11" s="1"/>
  <c r="D9"/>
  <c r="D8"/>
  <c r="D7"/>
  <c r="D6"/>
  <c r="D5"/>
  <c r="D22" i="33"/>
  <c r="D21"/>
  <c r="D20"/>
  <c r="D19"/>
  <c r="D18"/>
  <c r="L17"/>
  <c r="K17"/>
  <c r="D14"/>
  <c r="C14"/>
  <c r="D12"/>
  <c r="C12"/>
  <c r="L10"/>
  <c r="K10"/>
  <c r="C11" s="1"/>
  <c r="D9"/>
  <c r="D8"/>
  <c r="D7"/>
  <c r="D6"/>
  <c r="D5"/>
  <c r="D22" i="32"/>
  <c r="D21"/>
  <c r="D20"/>
  <c r="D19"/>
  <c r="D18"/>
  <c r="L17"/>
  <c r="K17"/>
  <c r="D14"/>
  <c r="C14"/>
  <c r="D12"/>
  <c r="C12"/>
  <c r="L10"/>
  <c r="K10"/>
  <c r="C11" s="1"/>
  <c r="D9"/>
  <c r="D8"/>
  <c r="D7"/>
  <c r="D6"/>
  <c r="D5"/>
  <c r="D22" i="30"/>
  <c r="D21"/>
  <c r="D20"/>
  <c r="D19"/>
  <c r="D18"/>
  <c r="L17"/>
  <c r="K17"/>
  <c r="D14"/>
  <c r="C14"/>
  <c r="D12"/>
  <c r="C12"/>
  <c r="L10"/>
  <c r="K10"/>
  <c r="C11" s="1"/>
  <c r="D9"/>
  <c r="D8"/>
  <c r="D7"/>
  <c r="D6"/>
  <c r="D5"/>
  <c r="K37" i="41" l="1"/>
  <c r="E35"/>
  <c r="I35"/>
  <c r="K35" s="1"/>
  <c r="K32"/>
  <c r="L32" s="1"/>
  <c r="K34"/>
  <c r="L34" s="1"/>
  <c r="K33"/>
  <c r="L33" s="1"/>
  <c r="K39"/>
  <c r="L39" s="1"/>
  <c r="K40"/>
  <c r="L40" s="1"/>
  <c r="L42"/>
  <c r="L43"/>
  <c r="L44"/>
  <c r="L45"/>
  <c r="L46"/>
  <c r="C11"/>
  <c r="D11"/>
  <c r="C11" i="39"/>
  <c r="D11"/>
  <c r="C11" i="38"/>
  <c r="D11"/>
  <c r="C11" i="37"/>
  <c r="D11"/>
  <c r="C11" i="36"/>
  <c r="D11"/>
  <c r="E37" i="35"/>
  <c r="I37"/>
  <c r="K33"/>
  <c r="L33" s="1"/>
  <c r="K34"/>
  <c r="L34" s="1"/>
  <c r="K38"/>
  <c r="L38" s="1"/>
  <c r="K43"/>
  <c r="L43" s="1"/>
  <c r="K44"/>
  <c r="L44" s="1"/>
  <c r="K46"/>
  <c r="L46" s="1"/>
  <c r="K47"/>
  <c r="L47" s="1"/>
  <c r="K48"/>
  <c r="L48" s="1"/>
  <c r="K49"/>
  <c r="L49" s="1"/>
  <c r="K50"/>
  <c r="L50" s="1"/>
  <c r="K51"/>
  <c r="L51" s="1"/>
  <c r="K52"/>
  <c r="L52" s="1"/>
  <c r="D11"/>
  <c r="D11" i="33"/>
  <c r="D11" i="32"/>
  <c r="D11" i="30"/>
  <c r="D22" i="29"/>
  <c r="D21"/>
  <c r="D20"/>
  <c r="D19"/>
  <c r="D18"/>
  <c r="L17"/>
  <c r="K17"/>
  <c r="D14"/>
  <c r="C14"/>
  <c r="D12"/>
  <c r="C12"/>
  <c r="L10"/>
  <c r="K10"/>
  <c r="C11" s="1"/>
  <c r="D9"/>
  <c r="D8"/>
  <c r="D7"/>
  <c r="D6"/>
  <c r="D5"/>
  <c r="D22" i="28"/>
  <c r="D21"/>
  <c r="D20"/>
  <c r="D19"/>
  <c r="D18"/>
  <c r="L17"/>
  <c r="K17"/>
  <c r="D14"/>
  <c r="C14"/>
  <c r="D12"/>
  <c r="C12"/>
  <c r="L10"/>
  <c r="K10"/>
  <c r="C11" s="1"/>
  <c r="D9"/>
  <c r="D8"/>
  <c r="D7"/>
  <c r="D6"/>
  <c r="D5"/>
  <c r="D22" i="27"/>
  <c r="D21"/>
  <c r="D20"/>
  <c r="D19"/>
  <c r="D18"/>
  <c r="L17"/>
  <c r="K17"/>
  <c r="D14"/>
  <c r="C14"/>
  <c r="D12"/>
  <c r="C12"/>
  <c r="L10"/>
  <c r="K10"/>
  <c r="C11" s="1"/>
  <c r="D9"/>
  <c r="D8"/>
  <c r="D7"/>
  <c r="D6"/>
  <c r="D5"/>
  <c r="D12" i="1"/>
  <c r="G41" s="1"/>
  <c r="I41" s="1"/>
  <c r="K41" s="1"/>
  <c r="L41" s="1"/>
  <c r="C12"/>
  <c r="C41" s="1"/>
  <c r="L40"/>
  <c r="L39"/>
  <c r="L36"/>
  <c r="I48"/>
  <c r="H38"/>
  <c r="I38"/>
  <c r="H52"/>
  <c r="H51"/>
  <c r="H50"/>
  <c r="G52"/>
  <c r="I52" s="1"/>
  <c r="G51"/>
  <c r="I51" s="1"/>
  <c r="G50"/>
  <c r="I50" s="1"/>
  <c r="C52"/>
  <c r="C51"/>
  <c r="C50"/>
  <c r="H49"/>
  <c r="I49" s="1"/>
  <c r="H47"/>
  <c r="I47" s="1"/>
  <c r="H46"/>
  <c r="I46" s="1"/>
  <c r="H44"/>
  <c r="I44" s="1"/>
  <c r="H43"/>
  <c r="I43" s="1"/>
  <c r="H40"/>
  <c r="I40" s="1"/>
  <c r="K40" s="1"/>
  <c r="H39"/>
  <c r="I39" s="1"/>
  <c r="K39" s="1"/>
  <c r="H36"/>
  <c r="I36" s="1"/>
  <c r="K36" s="1"/>
  <c r="H34"/>
  <c r="D51"/>
  <c r="E51" s="1"/>
  <c r="D52"/>
  <c r="E52" s="1"/>
  <c r="D50"/>
  <c r="E50" s="1"/>
  <c r="C49"/>
  <c r="C47"/>
  <c r="C48"/>
  <c r="E48" s="1"/>
  <c r="C46"/>
  <c r="D47"/>
  <c r="D46"/>
  <c r="D44"/>
  <c r="D43"/>
  <c r="C44"/>
  <c r="E44" s="1"/>
  <c r="C43"/>
  <c r="E43" s="1"/>
  <c r="D38"/>
  <c r="E38"/>
  <c r="D49"/>
  <c r="D40"/>
  <c r="D39"/>
  <c r="D36"/>
  <c r="D34"/>
  <c r="L10"/>
  <c r="D11" s="1"/>
  <c r="K10"/>
  <c r="C11" s="1"/>
  <c r="G34"/>
  <c r="I34" s="1"/>
  <c r="C34"/>
  <c r="E34" s="1"/>
  <c r="G33"/>
  <c r="I33" s="1"/>
  <c r="E33"/>
  <c r="L35" i="41" l="1"/>
  <c r="I38"/>
  <c r="E38"/>
  <c r="I42" i="35"/>
  <c r="K37"/>
  <c r="E42"/>
  <c r="L37"/>
  <c r="D11" i="29"/>
  <c r="D11" i="28"/>
  <c r="D11" i="27"/>
  <c r="K33" i="1"/>
  <c r="L33" s="1"/>
  <c r="K34"/>
  <c r="L34" s="1"/>
  <c r="E46"/>
  <c r="E47"/>
  <c r="E49"/>
  <c r="K43"/>
  <c r="L43" s="1"/>
  <c r="K44"/>
  <c r="L44" s="1"/>
  <c r="K46"/>
  <c r="K47"/>
  <c r="K49"/>
  <c r="K50"/>
  <c r="L50" s="1"/>
  <c r="K51"/>
  <c r="L51" s="1"/>
  <c r="K52"/>
  <c r="L52" s="1"/>
  <c r="K38"/>
  <c r="L38" s="1"/>
  <c r="K48"/>
  <c r="L48" s="1"/>
  <c r="E37"/>
  <c r="D18"/>
  <c r="D19"/>
  <c r="D20"/>
  <c r="D21"/>
  <c r="D22"/>
  <c r="D6"/>
  <c r="D7"/>
  <c r="D8"/>
  <c r="D9"/>
  <c r="D5"/>
  <c r="K38" i="41" l="1"/>
  <c r="L38" s="1"/>
  <c r="E41"/>
  <c r="E48" s="1"/>
  <c r="I41"/>
  <c r="E45" i="35"/>
  <c r="I45"/>
  <c r="K42"/>
  <c r="L42" s="1"/>
  <c r="L49" i="1"/>
  <c r="L47"/>
  <c r="L46"/>
  <c r="I37"/>
  <c r="K35"/>
  <c r="L35" s="1"/>
  <c r="E42"/>
  <c r="I48" i="41" l="1"/>
  <c r="K41"/>
  <c r="L41"/>
  <c r="I54" i="35"/>
  <c r="K45"/>
  <c r="E54"/>
  <c r="L45"/>
  <c r="E45" i="1"/>
  <c r="K37"/>
  <c r="L37" s="1"/>
  <c r="I42"/>
  <c r="L17"/>
  <c r="D14" s="1"/>
  <c r="K17"/>
  <c r="E49" i="41" l="1"/>
  <c r="E50" s="1"/>
  <c r="I49"/>
  <c r="K49" s="1"/>
  <c r="K48"/>
  <c r="L48" s="1"/>
  <c r="E55" i="35"/>
  <c r="I55"/>
  <c r="K55" s="1"/>
  <c r="K54"/>
  <c r="L54" s="1"/>
  <c r="E54" i="1"/>
  <c r="I45"/>
  <c r="K42"/>
  <c r="C14"/>
  <c r="L42" l="1"/>
  <c r="I50" i="41"/>
  <c r="L49"/>
  <c r="I56" i="35"/>
  <c r="L55"/>
  <c r="E56"/>
  <c r="E55" i="1"/>
  <c r="I54"/>
  <c r="K45"/>
  <c r="L45" l="1"/>
  <c r="E57" i="35"/>
  <c r="I57"/>
  <c r="K57" s="1"/>
  <c r="K56"/>
  <c r="L56" s="1"/>
  <c r="E56" i="1"/>
  <c r="K54"/>
  <c r="L54" s="1"/>
  <c r="I55"/>
  <c r="I58" i="35" l="1"/>
  <c r="L57"/>
  <c r="E58"/>
  <c r="E57" i="1"/>
  <c r="I56"/>
  <c r="K55"/>
  <c r="L55" s="1"/>
  <c r="K50" i="41" l="1"/>
  <c r="K58" i="35"/>
  <c r="L58" s="1"/>
  <c r="E58" i="1"/>
  <c r="K56"/>
  <c r="L56" s="1"/>
  <c r="I57"/>
  <c r="L50" i="41" l="1"/>
  <c r="I58" i="1"/>
  <c r="K58" s="1"/>
  <c r="K57"/>
  <c r="L57" s="1"/>
  <c r="L58" l="1"/>
</calcChain>
</file>

<file path=xl/sharedStrings.xml><?xml version="1.0" encoding="utf-8"?>
<sst xmlns="http://schemas.openxmlformats.org/spreadsheetml/2006/main" count="1756" uniqueCount="101">
  <si>
    <t>kWh</t>
  </si>
  <si>
    <t>Consumption</t>
  </si>
  <si>
    <t>RPP Tier One</t>
  </si>
  <si>
    <t>Load Factor</t>
  </si>
  <si>
    <t>Loss Factor</t>
  </si>
  <si>
    <t>Volume</t>
  </si>
  <si>
    <t>Energy First Tier (kWh)</t>
  </si>
  <si>
    <t>Energy Second Tier (kWh)</t>
  </si>
  <si>
    <t>TOU - Off Peak</t>
  </si>
  <si>
    <t>TOU - Mid Peak</t>
  </si>
  <si>
    <t>TOU - On Peak</t>
  </si>
  <si>
    <t>Service Charge</t>
  </si>
  <si>
    <t>Distribution Volumetric Rate</t>
  </si>
  <si>
    <t>Low Voltage Volumetric Rate</t>
  </si>
  <si>
    <t>Distribution Volumetric Rate Rider(s)</t>
  </si>
  <si>
    <t xml:space="preserve">Wholesale Market Service Rate </t>
  </si>
  <si>
    <t>Rural Rate Protection Charge</t>
  </si>
  <si>
    <t>Standard Supply Service – Administration Charge (if applicable)</t>
  </si>
  <si>
    <t>Debt Retirement Charge (DRC)</t>
  </si>
  <si>
    <t>HST</t>
  </si>
  <si>
    <t>Total Bill on TOU (including OCEB)</t>
  </si>
  <si>
    <t>TOU Proportions</t>
  </si>
  <si>
    <t>Monthly Rates and Charges</t>
  </si>
  <si>
    <t>2013 Rates</t>
  </si>
  <si>
    <t>Retail Transmission Rate – Network Service Rate</t>
  </si>
  <si>
    <t>Retail Transmission Rate – Line and Transformation Connection Service Rate</t>
  </si>
  <si>
    <t xml:space="preserve">Applicants must provide bill impacts for residential at 800 kWh and GS&lt;50kW at 2000 kWh. In addition, their filing should cover the range that is relevant to their service territory, class by class. A general guideline of consumption levels follows:
Residential (kWh) - 100, 250, 500, 800, 1000, 1500, 2000
GS&lt;50kW (kWh) - 1000, 2000, 5000, 10000, 15000
GS&gt;50kW (kW) 100, 500, 1000
Large User - range appropriate for utility
Street/Sentinel Lighting Classes and USL - 150 kWh and 1 kW, range appropriate for utility.
</t>
  </si>
  <si>
    <t>Rate Riders</t>
  </si>
  <si>
    <t>GEA Funding Adder</t>
  </si>
  <si>
    <t>Smart Meter Incr. Revenue RR</t>
  </si>
  <si>
    <t>Volumentric Rate Riders</t>
  </si>
  <si>
    <t>Residential Customer Class Bill Impact Analysis</t>
  </si>
  <si>
    <t>kW</t>
  </si>
  <si>
    <t>General Service &gt; 50 - 699 kW Customer Class Bill Impact Analysis</t>
  </si>
  <si>
    <t>General Service &gt; 700 - 4,999 kW Customer Class Bill Impact Analysis</t>
  </si>
  <si>
    <t>Large User Customer Class Bill Impact Analysis</t>
  </si>
  <si>
    <t>Unmetered &amp; Scattered Loads Customer Class Bill Impact Analysis</t>
  </si>
  <si>
    <t>Street Lighting Customer Class Bill Impact Analysis</t>
  </si>
  <si>
    <t>Connections</t>
  </si>
  <si>
    <t>2014 Rates</t>
  </si>
  <si>
    <t>Smart Meter Disposition Rate Rider</t>
  </si>
  <si>
    <t>Smart Meter Entity Charge</t>
  </si>
  <si>
    <t>Deferral/ Variance Account Disposition</t>
  </si>
  <si>
    <t xml:space="preserve">GA Sub-Account Diposition </t>
  </si>
  <si>
    <t>Current Board-Approved</t>
  </si>
  <si>
    <t>Proposed</t>
  </si>
  <si>
    <t>Impact</t>
  </si>
  <si>
    <t>Rate</t>
  </si>
  <si>
    <t>Charge</t>
  </si>
  <si>
    <t>$ Change</t>
  </si>
  <si>
    <t>% Change</t>
  </si>
  <si>
    <t>($)</t>
  </si>
  <si>
    <t>Monthly Service Charge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</si>
  <si>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</si>
  <si>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</si>
  <si>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</si>
  <si>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</si>
  <si>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</si>
  <si>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</si>
  <si>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</si>
  <si>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</si>
  <si>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</si>
  <si>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</si>
  <si>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</si>
  <si>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</si>
  <si>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</si>
  <si>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</si>
  <si>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</si>
  <si>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</si>
  <si>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Actual HOEP (cents/kWh)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</si>
  <si>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</si>
  <si>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</si>
  <si>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</si>
  <si>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</si>
  <si>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</si>
  <si>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</si>
  <si>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</si>
  <si>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</si>
  <si>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</si>
  <si>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</si>
  <si>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</si>
  <si>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</si>
  <si>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</si>
  <si>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 Global Adjustment Rate (cents/kWh)</t>
  </si>
  <si>
    <t>-</t>
  </si>
  <si>
    <t>Total Energy</t>
  </si>
  <si>
    <t>Average  ( July 2012-June 2013)</t>
  </si>
  <si>
    <t xml:space="preserve">Energy </t>
  </si>
  <si>
    <t>HOEP (12 month average - Jul'12 to Jun'13)</t>
  </si>
  <si>
    <t>GA (12 month average - Jul'12 to Jun'13)</t>
  </si>
  <si>
    <t>Total Bill  (before Taxes)</t>
  </si>
  <si>
    <t>Total Bill (including OCEB)</t>
  </si>
  <si>
    <t>Total Bill (before Taxes)</t>
  </si>
  <si>
    <t>GS &lt;50 kW Customer Class Bill Impact Analysis</t>
  </si>
  <si>
    <t>Consumption, kWh</t>
  </si>
  <si>
    <t>Demand, kW</t>
  </si>
  <si>
    <t>Energy (Including Global Adjustment)</t>
  </si>
  <si>
    <t>Total Bill (including HST)</t>
  </si>
  <si>
    <t>Average Energy Rate</t>
  </si>
  <si>
    <t>Table 11: Average Energy Rate used for Customer Bill Impact Calculation</t>
  </si>
  <si>
    <t>Average  (July 2012-June 2013)</t>
  </si>
</sst>
</file>

<file path=xl/styles.xml><?xml version="1.0" encoding="utf-8"?>
<styleSheet xmlns="http://schemas.openxmlformats.org/spreadsheetml/2006/main">
  <numFmts count="2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#,##0.00;[Red]\(#,##0.00\)"/>
    <numFmt numFmtId="174" formatCode="0.0000"/>
    <numFmt numFmtId="175" formatCode="0.0000;\(0.0000\)"/>
    <numFmt numFmtId="176" formatCode="#,##0.0000"/>
    <numFmt numFmtId="177" formatCode="0.00000;\(0.00000\)"/>
    <numFmt numFmtId="178" formatCode="_-* #,##0_-;\-* #,##0_-;_-* &quot;-&quot;??_-;_-@_-"/>
    <numFmt numFmtId="179" formatCode="_-* #,##0.0000_-;\-* #,##0.0000_-;_-* &quot;-&quot;??_-;_-@_-"/>
    <numFmt numFmtId="180" formatCode="_(&quot;$&quot;* #,##0.0000_);_(&quot;$&quot;* \(#,##0.0000\);_(&quot;$&quot;* &quot;-&quot;??_);_(@_)"/>
    <numFmt numFmtId="181" formatCode="_(* #,##0.0000_);_(* \(#,##0.0000\);_(* &quot;-&quot;??_);_(@_)"/>
    <numFmt numFmtId="182" formatCode="_-&quot;$&quot;* #,##0.0000_-;\-&quot;$&quot;* #,##0.0000_-;_-&quot;$&quot;* &quot;-&quot;??_-;_-@_-"/>
    <numFmt numFmtId="183" formatCode="#,##0;[Red]\(#,##0\)"/>
    <numFmt numFmtId="184" formatCode="_(&quot;$&quot;* #,##0.0_);_(&quot;$&quot;* \(#,##0.0\);_(&quot;$&quot;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1"/>
      <color theme="1"/>
      <name val="Arial"/>
      <family val="2"/>
    </font>
    <font>
      <b/>
      <i/>
      <vertAlign val="superscript"/>
      <sz val="10"/>
      <name val="Arial"/>
      <family val="2"/>
    </font>
    <font>
      <sz val="11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EEEDD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1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43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14" fillId="14" borderId="0" applyNumberFormat="0" applyBorder="0" applyAlignment="0" applyProtection="0"/>
    <xf numFmtId="0" fontId="18" fillId="17" borderId="17" applyNumberFormat="0" applyAlignment="0" applyProtection="0"/>
    <xf numFmtId="0" fontId="20" fillId="18" borderId="20" applyNumberFormat="0" applyAlignment="0" applyProtection="0"/>
    <xf numFmtId="165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6" fillId="16" borderId="17" applyNumberFormat="0" applyAlignment="0" applyProtection="0"/>
    <xf numFmtId="0" fontId="19" fillId="0" borderId="19" applyNumberFormat="0" applyFill="0" applyAlignment="0" applyProtection="0"/>
    <xf numFmtId="0" fontId="15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21" applyNumberFormat="0" applyFont="0" applyAlignment="0" applyProtection="0"/>
    <xf numFmtId="0" fontId="17" fillId="17" borderId="18" applyNumberFormat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22" applyNumberFormat="0" applyFill="0" applyAlignment="0" applyProtection="0"/>
    <xf numFmtId="0" fontId="21" fillId="0" borderId="0" applyNumberFormat="0" applyFill="0" applyBorder="0" applyAlignment="0" applyProtection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</cellStyleXfs>
  <cellXfs count="318">
    <xf numFmtId="0" fontId="0" fillId="0" borderId="0" xfId="0"/>
    <xf numFmtId="0" fontId="0" fillId="0" borderId="0" xfId="0"/>
    <xf numFmtId="0" fontId="6" fillId="0" borderId="0" xfId="29" applyFont="1" applyFill="1" applyBorder="1" applyAlignment="1" applyProtection="1">
      <alignment horizontal="left"/>
    </xf>
    <xf numFmtId="0" fontId="6" fillId="0" borderId="0" xfId="29" applyFont="1" applyFill="1" applyBorder="1" applyAlignment="1" applyProtection="1">
      <alignment horizontal="left" wrapText="1"/>
    </xf>
    <xf numFmtId="0" fontId="6" fillId="0" borderId="0" xfId="29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0" fontId="2" fillId="0" borderId="0" xfId="29" applyFont="1" applyProtection="1"/>
    <xf numFmtId="0" fontId="6" fillId="0" borderId="0" xfId="29" applyFont="1" applyFill="1" applyAlignment="1" applyProtection="1"/>
    <xf numFmtId="0" fontId="2" fillId="0" borderId="0" xfId="29" applyFont="1" applyFill="1" applyBorder="1" applyAlignment="1" applyProtection="1">
      <alignment horizontal="left"/>
    </xf>
    <xf numFmtId="0" fontId="2" fillId="0" borderId="0" xfId="29" applyFont="1" applyFill="1" applyBorder="1" applyAlignment="1" applyProtection="1">
      <alignment horizontal="left" wrapText="1"/>
    </xf>
    <xf numFmtId="0" fontId="2" fillId="0" borderId="0" xfId="29" applyFont="1" applyFill="1" applyBorder="1" applyAlignment="1" applyProtection="1">
      <alignment horizontal="left" vertical="top"/>
    </xf>
    <xf numFmtId="164" fontId="2" fillId="0" borderId="0" xfId="29" applyNumberFormat="1" applyFont="1" applyFill="1" applyBorder="1" applyAlignment="1" applyProtection="1">
      <alignment horizontal="left" vertical="top"/>
    </xf>
    <xf numFmtId="0" fontId="6" fillId="0" borderId="0" xfId="29" applyFont="1" applyFill="1" applyAlignment="1" applyProtection="1">
      <alignment horizontal="center"/>
    </xf>
    <xf numFmtId="0" fontId="6" fillId="0" borderId="0" xfId="29" applyFont="1" applyBorder="1" applyProtection="1"/>
    <xf numFmtId="0" fontId="2" fillId="0" borderId="0" xfId="29" applyFont="1" applyBorder="1" applyProtection="1"/>
    <xf numFmtId="0" fontId="6" fillId="6" borderId="0" xfId="29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2" fillId="0" borderId="0" xfId="29" applyFont="1" applyFill="1" applyBorder="1" applyProtection="1"/>
    <xf numFmtId="174" fontId="2" fillId="6" borderId="0" xfId="29" applyNumberFormat="1" applyFont="1" applyFill="1" applyBorder="1" applyProtection="1"/>
    <xf numFmtId="0" fontId="2" fillId="0" borderId="0" xfId="29" applyFont="1" applyAlignment="1" applyProtection="1">
      <alignment horizontal="center" vertical="center"/>
    </xf>
    <xf numFmtId="173" fontId="2" fillId="0" borderId="0" xfId="29" applyNumberFormat="1" applyFont="1" applyAlignment="1" applyProtection="1">
      <alignment horizontal="center" vertical="center"/>
    </xf>
    <xf numFmtId="173" fontId="6" fillId="0" borderId="0" xfId="29" applyNumberFormat="1" applyFont="1" applyFill="1" applyAlignment="1" applyProtection="1">
      <alignment horizontal="center" vertical="center"/>
    </xf>
    <xf numFmtId="9" fontId="2" fillId="0" borderId="0" xfId="2" applyFont="1" applyFill="1" applyBorder="1" applyProtection="1">
      <protection locked="0"/>
    </xf>
    <xf numFmtId="0" fontId="2" fillId="0" borderId="3" xfId="29" applyFont="1" applyFill="1" applyBorder="1" applyAlignment="1" applyProtection="1">
      <alignment horizontal="left" vertical="top"/>
    </xf>
    <xf numFmtId="0" fontId="6" fillId="0" borderId="3" xfId="29" applyFont="1" applyFill="1" applyBorder="1" applyAlignment="1" applyProtection="1"/>
    <xf numFmtId="10" fontId="0" fillId="0" borderId="3" xfId="2" applyNumberFormat="1" applyFont="1" applyBorder="1"/>
    <xf numFmtId="0" fontId="0" fillId="0" borderId="0" xfId="0"/>
    <xf numFmtId="176" fontId="6" fillId="8" borderId="4" xfId="0" applyNumberFormat="1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0" fillId="0" borderId="0" xfId="0"/>
    <xf numFmtId="176" fontId="6" fillId="8" borderId="4" xfId="0" applyNumberFormat="1" applyFont="1" applyFill="1" applyBorder="1" applyAlignment="1" applyProtection="1">
      <alignment horizontal="left" vertical="center"/>
    </xf>
    <xf numFmtId="176" fontId="6" fillId="8" borderId="3" xfId="0" applyNumberFormat="1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44" fontId="0" fillId="0" borderId="0" xfId="36" applyFont="1"/>
    <xf numFmtId="180" fontId="0" fillId="0" borderId="0" xfId="36" applyNumberFormat="1" applyFont="1"/>
    <xf numFmtId="180" fontId="0" fillId="0" borderId="13" xfId="36" applyNumberFormat="1" applyFont="1" applyBorder="1"/>
    <xf numFmtId="0" fontId="7" fillId="0" borderId="0" xfId="0" applyFont="1"/>
    <xf numFmtId="0" fontId="0" fillId="0" borderId="0" xfId="0" applyFill="1"/>
    <xf numFmtId="0" fontId="6" fillId="0" borderId="0" xfId="29" applyFont="1" applyFill="1" applyBorder="1" applyProtection="1"/>
    <xf numFmtId="0" fontId="6" fillId="0" borderId="0" xfId="29" applyFont="1" applyFill="1" applyBorder="1" applyProtection="1">
      <protection locked="0"/>
    </xf>
    <xf numFmtId="178" fontId="2" fillId="9" borderId="0" xfId="19" applyNumberFormat="1" applyFont="1" applyFill="1" applyBorder="1" applyProtection="1">
      <protection locked="0"/>
    </xf>
    <xf numFmtId="9" fontId="2" fillId="9" borderId="0" xfId="2" applyNumberFormat="1" applyFont="1" applyFill="1" applyBorder="1" applyProtection="1">
      <protection locked="0"/>
    </xf>
    <xf numFmtId="0" fontId="6" fillId="10" borderId="0" xfId="29" applyFont="1" applyFill="1" applyBorder="1" applyProtection="1"/>
    <xf numFmtId="174" fontId="2" fillId="10" borderId="0" xfId="29" applyNumberFormat="1" applyFont="1" applyFill="1" applyBorder="1" applyProtection="1"/>
    <xf numFmtId="165" fontId="2" fillId="9" borderId="0" xfId="19" applyNumberFormat="1" applyFont="1" applyFill="1" applyBorder="1" applyProtection="1">
      <protection locked="0"/>
    </xf>
    <xf numFmtId="179" fontId="2" fillId="11" borderId="11" xfId="1" applyNumberFormat="1" applyFont="1" applyFill="1" applyBorder="1" applyAlignment="1" applyProtection="1">
      <alignment horizontal="center" vertical="center"/>
    </xf>
    <xf numFmtId="165" fontId="2" fillId="11" borderId="11" xfId="1" applyNumberFormat="1" applyFont="1" applyFill="1" applyBorder="1" applyAlignment="1" applyProtection="1">
      <alignment horizontal="center" vertical="center"/>
    </xf>
    <xf numFmtId="177" fontId="2" fillId="11" borderId="11" xfId="1" applyNumberFormat="1" applyFont="1" applyFill="1" applyBorder="1" applyAlignment="1" applyProtection="1">
      <alignment horizontal="right" vertical="center"/>
    </xf>
    <xf numFmtId="177" fontId="2" fillId="11" borderId="10" xfId="1" applyNumberFormat="1" applyFont="1" applyFill="1" applyBorder="1" applyAlignment="1" applyProtection="1">
      <alignment horizontal="right" vertical="center"/>
    </xf>
    <xf numFmtId="165" fontId="2" fillId="11" borderId="10" xfId="1" applyNumberFormat="1" applyFont="1" applyFill="1" applyBorder="1" applyAlignment="1" applyProtection="1">
      <alignment horizontal="center" vertical="center"/>
    </xf>
    <xf numFmtId="179" fontId="2" fillId="11" borderId="10" xfId="1" applyNumberFormat="1" applyFont="1" applyFill="1" applyBorder="1" applyAlignment="1" applyProtection="1">
      <alignment horizontal="center" vertical="center"/>
    </xf>
    <xf numFmtId="179" fontId="2" fillId="11" borderId="12" xfId="1" applyNumberFormat="1" applyFont="1" applyFill="1" applyBorder="1" applyAlignment="1" applyProtection="1">
      <alignment horizontal="center" vertical="center"/>
    </xf>
    <xf numFmtId="0" fontId="0" fillId="11" borderId="0" xfId="0" applyFill="1" applyAlignment="1">
      <alignment horizontal="center"/>
    </xf>
    <xf numFmtId="44" fontId="0" fillId="11" borderId="0" xfId="36" applyFont="1" applyFill="1"/>
    <xf numFmtId="165" fontId="2" fillId="12" borderId="11" xfId="1" applyNumberFormat="1" applyFont="1" applyFill="1" applyBorder="1" applyAlignment="1" applyProtection="1">
      <alignment horizontal="center" vertical="center"/>
    </xf>
    <xf numFmtId="177" fontId="2" fillId="12" borderId="11" xfId="1" applyNumberFormat="1" applyFont="1" applyFill="1" applyBorder="1" applyAlignment="1" applyProtection="1">
      <alignment horizontal="right" vertical="center"/>
    </xf>
    <xf numFmtId="44" fontId="0" fillId="12" borderId="0" xfId="36" applyFont="1" applyFill="1"/>
    <xf numFmtId="177" fontId="2" fillId="12" borderId="10" xfId="1" applyNumberFormat="1" applyFont="1" applyFill="1" applyBorder="1" applyAlignment="1" applyProtection="1">
      <alignment horizontal="right" vertical="center"/>
    </xf>
    <xf numFmtId="180" fontId="0" fillId="12" borderId="0" xfId="36" applyNumberFormat="1" applyFont="1" applyFill="1"/>
    <xf numFmtId="175" fontId="2" fillId="11" borderId="1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7" fillId="0" borderId="0" xfId="0" applyFont="1"/>
    <xf numFmtId="0" fontId="6" fillId="0" borderId="0" xfId="29" applyFont="1" applyFill="1" applyBorder="1" applyAlignment="1" applyProtection="1">
      <alignment horizontal="left"/>
    </xf>
    <xf numFmtId="0" fontId="6" fillId="0" borderId="0" xfId="29" applyFont="1" applyFill="1" applyBorder="1" applyAlignment="1" applyProtection="1">
      <alignment horizontal="left" wrapText="1"/>
    </xf>
    <xf numFmtId="0" fontId="6" fillId="0" borderId="0" xfId="29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0" fontId="2" fillId="0" borderId="0" xfId="29" applyFont="1" applyProtection="1"/>
    <xf numFmtId="0" fontId="6" fillId="0" borderId="0" xfId="29" applyFont="1" applyFill="1" applyAlignment="1" applyProtection="1"/>
    <xf numFmtId="0" fontId="2" fillId="0" borderId="0" xfId="29" applyFont="1" applyFill="1" applyBorder="1" applyAlignment="1" applyProtection="1">
      <alignment horizontal="left"/>
    </xf>
    <xf numFmtId="0" fontId="2" fillId="0" borderId="0" xfId="29" applyFont="1" applyFill="1" applyBorder="1" applyAlignment="1" applyProtection="1">
      <alignment horizontal="left" wrapText="1"/>
    </xf>
    <xf numFmtId="0" fontId="2" fillId="0" borderId="0" xfId="29" applyFont="1" applyFill="1" applyBorder="1" applyAlignment="1" applyProtection="1">
      <alignment horizontal="left" vertical="top"/>
    </xf>
    <xf numFmtId="164" fontId="2" fillId="0" borderId="0" xfId="29" applyNumberFormat="1" applyFont="1" applyFill="1" applyBorder="1" applyAlignment="1" applyProtection="1">
      <alignment horizontal="left" vertical="top"/>
    </xf>
    <xf numFmtId="177" fontId="2" fillId="0" borderId="0" xfId="19" applyNumberFormat="1" applyFont="1" applyFill="1" applyBorder="1" applyAlignment="1" applyProtection="1">
      <alignment horizontal="right" vertical="center"/>
    </xf>
    <xf numFmtId="0" fontId="6" fillId="0" borderId="0" xfId="29" applyFont="1" applyFill="1" applyAlignment="1" applyProtection="1">
      <alignment horizontal="center"/>
    </xf>
    <xf numFmtId="0" fontId="6" fillId="0" borderId="0" xfId="29" applyFont="1" applyBorder="1" applyProtection="1"/>
    <xf numFmtId="0" fontId="2" fillId="0" borderId="0" xfId="29" applyFont="1" applyBorder="1" applyProtection="1"/>
    <xf numFmtId="0" fontId="2" fillId="0" borderId="0" xfId="29" applyFont="1" applyAlignment="1" applyProtection="1">
      <alignment horizontal="center" vertical="center"/>
    </xf>
    <xf numFmtId="173" fontId="2" fillId="0" borderId="0" xfId="29" applyNumberFormat="1" applyFont="1" applyAlignment="1" applyProtection="1">
      <alignment horizontal="center" vertical="center"/>
    </xf>
    <xf numFmtId="173" fontId="6" fillId="0" borderId="0" xfId="29" applyNumberFormat="1" applyFont="1" applyFill="1" applyAlignment="1" applyProtection="1">
      <alignment horizontal="center" vertical="center"/>
    </xf>
    <xf numFmtId="0" fontId="6" fillId="6" borderId="0" xfId="29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2" fillId="0" borderId="0" xfId="29" applyFont="1" applyFill="1" applyBorder="1" applyProtection="1"/>
    <xf numFmtId="174" fontId="2" fillId="6" borderId="0" xfId="29" applyNumberFormat="1" applyFont="1" applyFill="1" applyBorder="1" applyProtection="1"/>
    <xf numFmtId="178" fontId="2" fillId="0" borderId="0" xfId="19" applyNumberFormat="1" applyFont="1" applyFill="1" applyBorder="1" applyProtection="1">
      <protection locked="0"/>
    </xf>
    <xf numFmtId="0" fontId="26" fillId="0" borderId="33" xfId="22" applyFont="1" applyFill="1" applyBorder="1" applyAlignment="1" applyProtection="1">
      <alignment horizontal="right" vertical="center"/>
    </xf>
    <xf numFmtId="0" fontId="26" fillId="0" borderId="0" xfId="22" applyFont="1" applyBorder="1" applyAlignment="1" applyProtection="1">
      <alignment horizontal="right" vertical="center"/>
      <protection locked="0"/>
    </xf>
    <xf numFmtId="0" fontId="26" fillId="0" borderId="25" xfId="22" applyFont="1" applyFill="1" applyBorder="1" applyAlignment="1" applyProtection="1">
      <alignment horizontal="right" vertical="center"/>
      <protection locked="0"/>
    </xf>
    <xf numFmtId="178" fontId="26" fillId="0" borderId="33" xfId="22" applyNumberFormat="1" applyFont="1" applyFill="1" applyBorder="1" applyAlignment="1" applyProtection="1">
      <alignment horizontal="right" vertical="center"/>
      <protection locked="0"/>
    </xf>
    <xf numFmtId="178" fontId="26" fillId="0" borderId="25" xfId="22" applyNumberFormat="1" applyFont="1" applyFill="1" applyBorder="1" applyAlignment="1" applyProtection="1">
      <alignment horizontal="right" vertical="center"/>
      <protection locked="0"/>
    </xf>
    <xf numFmtId="178" fontId="26" fillId="0" borderId="33" xfId="19" applyNumberFormat="1" applyFont="1" applyFill="1" applyBorder="1" applyAlignment="1" applyProtection="1">
      <alignment horizontal="right" vertical="center"/>
      <protection locked="0"/>
    </xf>
    <xf numFmtId="0" fontId="26" fillId="7" borderId="1" xfId="22" applyFont="1" applyFill="1" applyBorder="1" applyAlignment="1" applyProtection="1">
      <alignment horizontal="right" vertical="center"/>
      <protection locked="0"/>
    </xf>
    <xf numFmtId="0" fontId="26" fillId="7" borderId="31" xfId="22" applyFont="1" applyFill="1" applyBorder="1" applyAlignment="1" applyProtection="1">
      <alignment horizontal="right" vertical="center"/>
      <protection locked="0"/>
    </xf>
    <xf numFmtId="178" fontId="26" fillId="2" borderId="33" xfId="19" applyNumberFormat="1" applyFont="1" applyFill="1" applyBorder="1" applyAlignment="1" applyProtection="1">
      <alignment horizontal="right" vertical="center"/>
      <protection locked="0"/>
    </xf>
    <xf numFmtId="178" fontId="26" fillId="2" borderId="25" xfId="19" applyNumberFormat="1" applyFont="1" applyFill="1" applyBorder="1" applyAlignment="1" applyProtection="1">
      <alignment horizontal="right" vertical="center"/>
      <protection locked="0"/>
    </xf>
    <xf numFmtId="0" fontId="25" fillId="7" borderId="1" xfId="22" applyFont="1" applyFill="1" applyBorder="1" applyAlignment="1" applyProtection="1">
      <alignment horizontal="right" vertical="center"/>
      <protection locked="0"/>
    </xf>
    <xf numFmtId="0" fontId="25" fillId="7" borderId="31" xfId="22" applyFont="1" applyFill="1" applyBorder="1" applyAlignment="1" applyProtection="1">
      <alignment horizontal="right" vertical="center"/>
      <protection locked="0"/>
    </xf>
    <xf numFmtId="182" fontId="26" fillId="0" borderId="33" xfId="37" applyNumberFormat="1" applyFont="1" applyFill="1" applyBorder="1" applyAlignment="1" applyProtection="1">
      <alignment horizontal="right" vertical="center"/>
      <protection locked="0"/>
    </xf>
    <xf numFmtId="182" fontId="26" fillId="44" borderId="34" xfId="37" applyNumberFormat="1" applyFont="1" applyFill="1" applyBorder="1" applyAlignment="1" applyProtection="1">
      <alignment horizontal="right" vertical="center"/>
      <protection locked="0"/>
    </xf>
    <xf numFmtId="0" fontId="26" fillId="44" borderId="8" xfId="22" applyFont="1" applyFill="1" applyBorder="1" applyAlignment="1" applyProtection="1">
      <alignment horizontal="right" vertical="center"/>
      <protection locked="0"/>
    </xf>
    <xf numFmtId="0" fontId="26" fillId="44" borderId="2" xfId="22" applyFont="1" applyFill="1" applyBorder="1" applyAlignment="1" applyProtection="1">
      <alignment horizontal="right" vertical="center"/>
      <protection locked="0"/>
    </xf>
    <xf numFmtId="0" fontId="26" fillId="44" borderId="34" xfId="22" applyFont="1" applyFill="1" applyBorder="1" applyAlignment="1" applyProtection="1">
      <alignment horizontal="right" vertical="center"/>
      <protection locked="0"/>
    </xf>
    <xf numFmtId="0" fontId="25" fillId="0" borderId="0" xfId="22" applyFont="1" applyFill="1" applyBorder="1" applyAlignment="1" applyProtection="1">
      <alignment horizontal="right" vertical="center"/>
      <protection locked="0"/>
    </xf>
    <xf numFmtId="0" fontId="26" fillId="0" borderId="0" xfId="22" applyFont="1" applyFill="1" applyBorder="1" applyAlignment="1" applyProtection="1">
      <alignment horizontal="right" vertical="center"/>
      <protection locked="0"/>
    </xf>
    <xf numFmtId="0" fontId="25" fillId="7" borderId="27" xfId="22" applyFont="1" applyFill="1" applyBorder="1" applyAlignment="1" applyProtection="1">
      <alignment horizontal="right" vertical="center"/>
      <protection locked="0"/>
    </xf>
    <xf numFmtId="182" fontId="24" fillId="2" borderId="33" xfId="37" applyNumberFormat="1" applyFont="1" applyFill="1" applyBorder="1" applyAlignment="1" applyProtection="1">
      <alignment horizontal="right" vertical="center"/>
      <protection locked="0"/>
    </xf>
    <xf numFmtId="182" fontId="24" fillId="2" borderId="7" xfId="37" applyNumberFormat="1" applyFont="1" applyFill="1" applyBorder="1" applyAlignment="1" applyProtection="1">
      <alignment horizontal="right" vertical="center"/>
      <protection locked="0"/>
    </xf>
    <xf numFmtId="182" fontId="26" fillId="2" borderId="33" xfId="37" applyNumberFormat="1" applyFont="1" applyFill="1" applyBorder="1" applyAlignment="1" applyProtection="1">
      <alignment horizontal="right" vertical="center"/>
      <protection locked="0"/>
    </xf>
    <xf numFmtId="0" fontId="6" fillId="0" borderId="6" xfId="22" applyFont="1" applyBorder="1" applyAlignment="1" applyProtection="1">
      <alignment horizontal="center"/>
    </xf>
    <xf numFmtId="0" fontId="6" fillId="0" borderId="25" xfId="22" applyFont="1" applyBorder="1" applyAlignment="1" applyProtection="1">
      <alignment horizontal="center"/>
    </xf>
    <xf numFmtId="0" fontId="6" fillId="0" borderId="23" xfId="22" applyFont="1" applyBorder="1" applyAlignment="1" applyProtection="1">
      <alignment horizontal="center"/>
    </xf>
    <xf numFmtId="0" fontId="6" fillId="0" borderId="7" xfId="22" quotePrefix="1" applyFont="1" applyBorder="1" applyAlignment="1" applyProtection="1">
      <alignment horizontal="center"/>
    </xf>
    <xf numFmtId="0" fontId="6" fillId="0" borderId="28" xfId="22" quotePrefix="1" applyFont="1" applyBorder="1" applyAlignment="1" applyProtection="1">
      <alignment horizontal="center"/>
    </xf>
    <xf numFmtId="0" fontId="6" fillId="7" borderId="26" xfId="22" applyFont="1" applyFill="1" applyBorder="1" applyAlignment="1" applyProtection="1">
      <alignment vertical="top"/>
    </xf>
    <xf numFmtId="0" fontId="6" fillId="7" borderId="30" xfId="22" applyFont="1" applyFill="1" applyBorder="1" applyAlignment="1" applyProtection="1">
      <alignment vertical="top" wrapText="1"/>
    </xf>
    <xf numFmtId="164" fontId="24" fillId="0" borderId="25" xfId="37" applyFont="1" applyBorder="1" applyAlignment="1" applyProtection="1">
      <alignment horizontal="right" vertical="center"/>
    </xf>
    <xf numFmtId="164" fontId="24" fillId="0" borderId="28" xfId="37" applyFont="1" applyBorder="1" applyAlignment="1" applyProtection="1">
      <alignment horizontal="right" vertical="center"/>
    </xf>
    <xf numFmtId="164" fontId="25" fillId="7" borderId="31" xfId="22" applyNumberFormat="1" applyFont="1" applyFill="1" applyBorder="1" applyAlignment="1" applyProtection="1">
      <alignment horizontal="right" vertical="center"/>
    </xf>
    <xf numFmtId="164" fontId="26" fillId="0" borderId="25" xfId="37" applyFont="1" applyBorder="1" applyAlignment="1" applyProtection="1">
      <alignment horizontal="right" vertical="center"/>
    </xf>
    <xf numFmtId="164" fontId="26" fillId="44" borderId="2" xfId="37" applyFont="1" applyFill="1" applyBorder="1" applyAlignment="1" applyProtection="1">
      <alignment horizontal="right" vertical="center"/>
    </xf>
    <xf numFmtId="164" fontId="25" fillId="0" borderId="24" xfId="22" applyNumberFormat="1" applyFont="1" applyFill="1" applyBorder="1" applyAlignment="1" applyProtection="1">
      <alignment horizontal="right" vertical="center"/>
    </xf>
    <xf numFmtId="164" fontId="26" fillId="0" borderId="24" xfId="22" applyNumberFormat="1" applyFont="1" applyFill="1" applyBorder="1" applyAlignment="1" applyProtection="1">
      <alignment horizontal="right" vertical="center"/>
    </xf>
    <xf numFmtId="164" fontId="30" fillId="0" borderId="24" xfId="22" applyNumberFormat="1" applyFont="1" applyFill="1" applyBorder="1" applyAlignment="1" applyProtection="1">
      <alignment horizontal="right" vertical="center"/>
    </xf>
    <xf numFmtId="164" fontId="25" fillId="7" borderId="26" xfId="22" applyNumberFormat="1" applyFont="1" applyFill="1" applyBorder="1" applyAlignment="1" applyProtection="1">
      <alignment horizontal="right" vertical="center"/>
    </xf>
    <xf numFmtId="164" fontId="25" fillId="0" borderId="35" xfId="22" applyNumberFormat="1" applyFont="1" applyFill="1" applyBorder="1" applyAlignment="1" applyProtection="1">
      <alignment horizontal="right" vertical="center"/>
    </xf>
    <xf numFmtId="164" fontId="26" fillId="0" borderId="25" xfId="22" applyNumberFormat="1" applyFont="1" applyFill="1" applyBorder="1" applyAlignment="1" applyProtection="1">
      <alignment horizontal="right" vertical="center"/>
    </xf>
    <xf numFmtId="164" fontId="30" fillId="0" borderId="25" xfId="22" applyNumberFormat="1" applyFont="1" applyFill="1" applyBorder="1" applyAlignment="1" applyProtection="1">
      <alignment horizontal="right" vertical="center"/>
    </xf>
    <xf numFmtId="164" fontId="25" fillId="7" borderId="28" xfId="22" applyNumberFormat="1" applyFont="1" applyFill="1" applyBorder="1" applyAlignment="1" applyProtection="1">
      <alignment horizontal="right" vertical="center"/>
    </xf>
    <xf numFmtId="10" fontId="24" fillId="0" borderId="25" xfId="38" applyNumberFormat="1" applyFont="1" applyBorder="1" applyAlignment="1" applyProtection="1">
      <alignment horizontal="right" vertical="center"/>
    </xf>
    <xf numFmtId="9" fontId="26" fillId="0" borderId="33" xfId="22" applyNumberFormat="1" applyFont="1" applyFill="1" applyBorder="1" applyAlignment="1" applyProtection="1">
      <alignment horizontal="right" vertical="center"/>
    </xf>
    <xf numFmtId="9" fontId="26" fillId="0" borderId="0" xfId="22" applyNumberFormat="1" applyFont="1" applyFill="1" applyBorder="1" applyAlignment="1" applyProtection="1">
      <alignment horizontal="right" vertical="center"/>
    </xf>
    <xf numFmtId="0" fontId="25" fillId="0" borderId="33" xfId="22" applyFont="1" applyFill="1" applyBorder="1" applyAlignment="1" applyProtection="1">
      <alignment horizontal="right" vertical="center"/>
    </xf>
    <xf numFmtId="9" fontId="25" fillId="0" borderId="33" xfId="22" applyNumberFormat="1" applyFont="1" applyFill="1" applyBorder="1" applyAlignment="1" applyProtection="1">
      <alignment horizontal="right" vertical="center"/>
    </xf>
    <xf numFmtId="0" fontId="26" fillId="0" borderId="0" xfId="22" applyFont="1" applyFill="1" applyBorder="1" applyAlignment="1" applyProtection="1">
      <alignment horizontal="right" vertical="center"/>
    </xf>
    <xf numFmtId="0" fontId="26" fillId="7" borderId="7" xfId="22" applyFont="1" applyFill="1" applyBorder="1" applyAlignment="1" applyProtection="1">
      <alignment horizontal="right" vertical="center"/>
    </xf>
    <xf numFmtId="0" fontId="26" fillId="7" borderId="27" xfId="22" applyFont="1" applyFill="1" applyBorder="1" applyAlignment="1" applyProtection="1">
      <alignment horizontal="right" vertical="center"/>
    </xf>
    <xf numFmtId="0" fontId="25" fillId="7" borderId="7" xfId="22" applyFont="1" applyFill="1" applyBorder="1" applyAlignment="1" applyProtection="1">
      <alignment horizontal="right" vertical="center"/>
    </xf>
    <xf numFmtId="164" fontId="24" fillId="2" borderId="33" xfId="28" applyFont="1" applyFill="1" applyBorder="1" applyAlignment="1" applyProtection="1">
      <alignment horizontal="right" vertical="center"/>
      <protection locked="0"/>
    </xf>
    <xf numFmtId="44" fontId="0" fillId="11" borderId="27" xfId="36" applyFont="1" applyFill="1" applyBorder="1"/>
    <xf numFmtId="44" fontId="0" fillId="0" borderId="0" xfId="0" applyNumberFormat="1"/>
    <xf numFmtId="10" fontId="24" fillId="7" borderId="1" xfId="38" applyNumberFormat="1" applyFont="1" applyFill="1" applyBorder="1" applyAlignment="1" applyProtection="1">
      <alignment horizontal="right" vertical="center"/>
    </xf>
    <xf numFmtId="10" fontId="24" fillId="0" borderId="33" xfId="38" applyNumberFormat="1" applyFont="1" applyBorder="1" applyAlignment="1" applyProtection="1">
      <alignment horizontal="right" vertical="center"/>
    </xf>
    <xf numFmtId="182" fontId="28" fillId="7" borderId="7" xfId="37" applyNumberFormat="1" applyFont="1" applyFill="1" applyBorder="1" applyAlignment="1" applyProtection="1">
      <alignment horizontal="right" vertical="center"/>
      <protection locked="0"/>
    </xf>
    <xf numFmtId="182" fontId="28" fillId="7" borderId="1" xfId="37" applyNumberFormat="1" applyFont="1" applyFill="1" applyBorder="1" applyAlignment="1" applyProtection="1">
      <alignment horizontal="right" vertical="center"/>
      <protection locked="0"/>
    </xf>
    <xf numFmtId="164" fontId="28" fillId="7" borderId="28" xfId="37" applyFont="1" applyFill="1" applyBorder="1" applyAlignment="1" applyProtection="1">
      <alignment horizontal="right" vertical="center"/>
    </xf>
    <xf numFmtId="0" fontId="25" fillId="0" borderId="0" xfId="22" applyFont="1" applyBorder="1" applyAlignment="1" applyProtection="1">
      <alignment horizontal="right" vertical="center"/>
      <protection locked="0"/>
    </xf>
    <xf numFmtId="164" fontId="28" fillId="7" borderId="31" xfId="37" applyFont="1" applyFill="1" applyBorder="1" applyAlignment="1" applyProtection="1">
      <alignment horizontal="right" vertical="center"/>
    </xf>
    <xf numFmtId="164" fontId="28" fillId="7" borderId="1" xfId="37" applyFont="1" applyFill="1" applyBorder="1" applyAlignment="1" applyProtection="1">
      <alignment horizontal="right" vertical="center"/>
    </xf>
    <xf numFmtId="10" fontId="28" fillId="7" borderId="1" xfId="38" applyNumberFormat="1" applyFont="1" applyFill="1" applyBorder="1" applyAlignment="1" applyProtection="1">
      <alignment horizontal="right" vertical="center"/>
    </xf>
    <xf numFmtId="10" fontId="28" fillId="0" borderId="6" xfId="38" applyNumberFormat="1" applyFont="1" applyBorder="1" applyAlignment="1" applyProtection="1">
      <alignment horizontal="right" vertical="center"/>
    </xf>
    <xf numFmtId="10" fontId="28" fillId="7" borderId="7" xfId="38" applyNumberFormat="1" applyFont="1" applyFill="1" applyBorder="1" applyAlignment="1" applyProtection="1">
      <alignment horizontal="right" vertical="center"/>
    </xf>
    <xf numFmtId="182" fontId="24" fillId="0" borderId="6" xfId="37" applyNumberFormat="1" applyFont="1" applyBorder="1" applyAlignment="1" applyProtection="1">
      <alignment horizontal="right" vertical="center"/>
    </xf>
    <xf numFmtId="182" fontId="24" fillId="0" borderId="33" xfId="37" applyNumberFormat="1" applyFont="1" applyBorder="1" applyAlignment="1" applyProtection="1">
      <alignment horizontal="right" vertical="center"/>
    </xf>
    <xf numFmtId="182" fontId="24" fillId="0" borderId="7" xfId="37" applyNumberFormat="1" applyFont="1" applyBorder="1" applyAlignment="1" applyProtection="1">
      <alignment horizontal="right" vertical="center"/>
    </xf>
    <xf numFmtId="164" fontId="24" fillId="0" borderId="25" xfId="37" applyNumberFormat="1" applyFont="1" applyBorder="1" applyAlignment="1" applyProtection="1">
      <alignment horizontal="right" vertical="center"/>
    </xf>
    <xf numFmtId="164" fontId="24" fillId="2" borderId="33" xfId="37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5" fillId="45" borderId="0" xfId="0" applyFont="1" applyFill="1"/>
    <xf numFmtId="0" fontId="5" fillId="0" borderId="0" xfId="0" applyFont="1"/>
    <xf numFmtId="181" fontId="0" fillId="0" borderId="0" xfId="1" applyNumberFormat="1" applyFont="1"/>
    <xf numFmtId="181" fontId="7" fillId="0" borderId="0" xfId="0" applyNumberFormat="1" applyFont="1"/>
    <xf numFmtId="0" fontId="6" fillId="0" borderId="0" xfId="29" applyFont="1" applyFill="1" applyBorder="1" applyAlignment="1" applyProtection="1"/>
    <xf numFmtId="173" fontId="6" fillId="0" borderId="0" xfId="29" applyNumberFormat="1" applyFont="1" applyFill="1" applyBorder="1" applyAlignment="1" applyProtection="1">
      <alignment horizontal="center" vertical="center"/>
    </xf>
    <xf numFmtId="173" fontId="2" fillId="0" borderId="0" xfId="29" applyNumberFormat="1" applyFont="1" applyBorder="1" applyAlignment="1" applyProtection="1">
      <alignment horizontal="center" vertical="center"/>
    </xf>
    <xf numFmtId="10" fontId="0" fillId="0" borderId="0" xfId="2" applyNumberFormat="1" applyFont="1" applyBorder="1"/>
    <xf numFmtId="0" fontId="0" fillId="0" borderId="0" xfId="0" applyBorder="1"/>
    <xf numFmtId="164" fontId="24" fillId="0" borderId="25" xfId="37" applyFont="1" applyFill="1" applyBorder="1" applyAlignment="1" applyProtection="1">
      <alignment horizontal="right" vertical="center"/>
    </xf>
    <xf numFmtId="164" fontId="26" fillId="0" borderId="25" xfId="37" applyFont="1" applyFill="1" applyBorder="1" applyAlignment="1" applyProtection="1">
      <alignment horizontal="right" vertical="center"/>
    </xf>
    <xf numFmtId="43" fontId="24" fillId="0" borderId="25" xfId="1" applyFont="1" applyBorder="1" applyAlignment="1" applyProtection="1">
      <alignment horizontal="right" vertical="center"/>
    </xf>
    <xf numFmtId="44" fontId="0" fillId="0" borderId="0" xfId="36" applyFont="1" applyFill="1"/>
    <xf numFmtId="44" fontId="0" fillId="0" borderId="27" xfId="36" applyFont="1" applyFill="1" applyBorder="1"/>
    <xf numFmtId="173" fontId="6" fillId="0" borderId="0" xfId="29" applyNumberFormat="1" applyFont="1" applyFill="1" applyBorder="1" applyAlignment="1" applyProtection="1">
      <alignment horizontal="left" vertical="center"/>
    </xf>
    <xf numFmtId="0" fontId="6" fillId="0" borderId="0" xfId="29" applyFont="1" applyProtection="1"/>
    <xf numFmtId="10" fontId="7" fillId="0" borderId="0" xfId="2" applyNumberFormat="1" applyFont="1" applyBorder="1" applyAlignment="1">
      <alignment horizontal="left"/>
    </xf>
    <xf numFmtId="0" fontId="7" fillId="0" borderId="0" xfId="0" applyFont="1" applyBorder="1"/>
    <xf numFmtId="183" fontId="6" fillId="46" borderId="0" xfId="29" applyNumberFormat="1" applyFont="1" applyFill="1" applyBorder="1" applyAlignment="1" applyProtection="1">
      <alignment horizontal="right" vertical="center"/>
    </xf>
    <xf numFmtId="0" fontId="7" fillId="46" borderId="0" xfId="0" applyFont="1" applyFill="1" applyBorder="1" applyAlignment="1">
      <alignment horizontal="right"/>
    </xf>
    <xf numFmtId="0" fontId="2" fillId="44" borderId="37" xfId="22" applyFont="1" applyFill="1" applyBorder="1" applyProtection="1"/>
    <xf numFmtId="182" fontId="26" fillId="44" borderId="38" xfId="37" applyNumberFormat="1" applyFont="1" applyFill="1" applyBorder="1" applyAlignment="1" applyProtection="1">
      <alignment horizontal="right" vertical="center"/>
      <protection locked="0"/>
    </xf>
    <xf numFmtId="0" fontId="26" fillId="44" borderId="36" xfId="22" applyFont="1" applyFill="1" applyBorder="1" applyAlignment="1" applyProtection="1">
      <alignment horizontal="right" vertical="center"/>
      <protection locked="0"/>
    </xf>
    <xf numFmtId="164" fontId="26" fillId="44" borderId="29" xfId="37" applyFont="1" applyFill="1" applyBorder="1" applyAlignment="1" applyProtection="1">
      <alignment horizontal="right" vertical="center"/>
    </xf>
    <xf numFmtId="0" fontId="26" fillId="44" borderId="29" xfId="22" applyFont="1" applyFill="1" applyBorder="1" applyAlignment="1" applyProtection="1">
      <alignment horizontal="right" vertical="center"/>
      <protection locked="0"/>
    </xf>
    <xf numFmtId="0" fontId="26" fillId="44" borderId="38" xfId="22" applyFont="1" applyFill="1" applyBorder="1" applyAlignment="1" applyProtection="1">
      <alignment horizontal="right" vertical="center"/>
      <protection locked="0"/>
    </xf>
    <xf numFmtId="44" fontId="24" fillId="0" borderId="25" xfId="36" applyFont="1" applyBorder="1" applyAlignment="1" applyProtection="1">
      <alignment horizontal="right" vertical="center"/>
    </xf>
    <xf numFmtId="44" fontId="26" fillId="0" borderId="33" xfId="36" applyFont="1" applyBorder="1" applyAlignment="1" applyProtection="1">
      <alignment horizontal="right" vertical="center"/>
    </xf>
    <xf numFmtId="180" fontId="24" fillId="0" borderId="33" xfId="36" applyNumberFormat="1" applyFont="1" applyBorder="1" applyAlignment="1" applyProtection="1">
      <alignment horizontal="right" vertical="center"/>
    </xf>
    <xf numFmtId="180" fontId="24" fillId="2" borderId="33" xfId="36" applyNumberFormat="1" applyFont="1" applyFill="1" applyBorder="1" applyAlignment="1" applyProtection="1">
      <alignment horizontal="right" vertical="center"/>
      <protection locked="0"/>
    </xf>
    <xf numFmtId="184" fontId="24" fillId="2" borderId="33" xfId="36" applyNumberFormat="1" applyFont="1" applyFill="1" applyBorder="1" applyAlignment="1" applyProtection="1">
      <alignment horizontal="right" vertical="center"/>
      <protection locked="0"/>
    </xf>
    <xf numFmtId="44" fontId="25" fillId="0" borderId="6" xfId="36" applyFont="1" applyFill="1" applyBorder="1" applyAlignment="1" applyProtection="1">
      <alignment horizontal="right" vertical="center"/>
    </xf>
    <xf numFmtId="44" fontId="26" fillId="0" borderId="33" xfId="36" applyFont="1" applyFill="1" applyBorder="1" applyAlignment="1" applyProtection="1">
      <alignment horizontal="right" vertical="center"/>
    </xf>
    <xf numFmtId="44" fontId="25" fillId="7" borderId="7" xfId="36" applyFont="1" applyFill="1" applyBorder="1" applyAlignment="1" applyProtection="1">
      <alignment horizontal="right" vertical="center"/>
    </xf>
    <xf numFmtId="44" fontId="28" fillId="7" borderId="1" xfId="36" applyFont="1" applyFill="1" applyBorder="1" applyAlignment="1" applyProtection="1">
      <alignment horizontal="right" vertical="center"/>
    </xf>
    <xf numFmtId="44" fontId="25" fillId="7" borderId="1" xfId="36" applyFont="1" applyFill="1" applyBorder="1" applyAlignment="1" applyProtection="1">
      <alignment horizontal="right" vertical="center"/>
    </xf>
    <xf numFmtId="44" fontId="30" fillId="0" borderId="33" xfId="36" applyFont="1" applyFill="1" applyBorder="1" applyAlignment="1" applyProtection="1">
      <alignment horizontal="right" vertical="center"/>
    </xf>
    <xf numFmtId="44" fontId="26" fillId="0" borderId="0" xfId="36" applyFont="1" applyBorder="1" applyAlignment="1" applyProtection="1">
      <alignment horizontal="right" vertical="center"/>
      <protection locked="0"/>
    </xf>
    <xf numFmtId="44" fontId="28" fillId="7" borderId="31" xfId="36" applyFont="1" applyFill="1" applyBorder="1" applyAlignment="1" applyProtection="1">
      <alignment horizontal="right" vertical="center"/>
    </xf>
    <xf numFmtId="44" fontId="25" fillId="0" borderId="0" xfId="36" applyFont="1" applyBorder="1" applyAlignment="1" applyProtection="1">
      <alignment horizontal="right" vertical="center"/>
      <protection locked="0"/>
    </xf>
    <xf numFmtId="44" fontId="25" fillId="7" borderId="31" xfId="36" applyFont="1" applyFill="1" applyBorder="1" applyAlignment="1" applyProtection="1">
      <alignment horizontal="right" vertical="center"/>
    </xf>
    <xf numFmtId="44" fontId="26" fillId="0" borderId="25" xfId="36" applyFont="1" applyBorder="1" applyAlignment="1" applyProtection="1">
      <alignment horizontal="right" vertical="center"/>
    </xf>
    <xf numFmtId="44" fontId="26" fillId="44" borderId="2" xfId="36" applyFont="1" applyFill="1" applyBorder="1" applyAlignment="1" applyProtection="1">
      <alignment horizontal="right" vertical="center"/>
    </xf>
    <xf numFmtId="44" fontId="26" fillId="44" borderId="2" xfId="36" applyFont="1" applyFill="1" applyBorder="1" applyAlignment="1" applyProtection="1">
      <alignment horizontal="right" vertical="center"/>
      <protection locked="0"/>
    </xf>
    <xf numFmtId="44" fontId="25" fillId="0" borderId="35" xfId="36" applyFont="1" applyFill="1" applyBorder="1" applyAlignment="1" applyProtection="1">
      <alignment horizontal="right" vertical="center"/>
    </xf>
    <xf numFmtId="44" fontId="25" fillId="0" borderId="0" xfId="36" applyFont="1" applyFill="1" applyBorder="1" applyAlignment="1" applyProtection="1">
      <alignment horizontal="right" vertical="center"/>
      <protection locked="0"/>
    </xf>
    <xf numFmtId="44" fontId="26" fillId="0" borderId="25" xfId="36" applyFont="1" applyFill="1" applyBorder="1" applyAlignment="1" applyProtection="1">
      <alignment horizontal="right" vertical="center"/>
    </xf>
    <xf numFmtId="44" fontId="26" fillId="0" borderId="0" xfId="36" applyFont="1" applyFill="1" applyBorder="1" applyAlignment="1" applyProtection="1">
      <alignment horizontal="right" vertical="center"/>
      <protection locked="0"/>
    </xf>
    <xf numFmtId="44" fontId="30" fillId="0" borderId="25" xfId="36" applyFont="1" applyFill="1" applyBorder="1" applyAlignment="1" applyProtection="1">
      <alignment horizontal="right" vertical="center"/>
    </xf>
    <xf numFmtId="44" fontId="25" fillId="7" borderId="28" xfId="36" applyFont="1" applyFill="1" applyBorder="1" applyAlignment="1" applyProtection="1">
      <alignment horizontal="right" vertical="center"/>
    </xf>
    <xf numFmtId="44" fontId="25" fillId="7" borderId="27" xfId="36" applyFont="1" applyFill="1" applyBorder="1" applyAlignment="1" applyProtection="1">
      <alignment horizontal="right" vertical="center"/>
      <protection locked="0"/>
    </xf>
    <xf numFmtId="44" fontId="30" fillId="0" borderId="24" xfId="36" applyFont="1" applyFill="1" applyBorder="1" applyAlignment="1" applyProtection="1">
      <alignment horizontal="right" vertical="center"/>
    </xf>
    <xf numFmtId="43" fontId="24" fillId="0" borderId="6" xfId="37" applyNumberFormat="1" applyFont="1" applyBorder="1" applyAlignment="1" applyProtection="1">
      <alignment horizontal="right" vertical="center"/>
    </xf>
    <xf numFmtId="181" fontId="24" fillId="0" borderId="6" xfId="37" applyNumberFormat="1" applyFont="1" applyBorder="1" applyAlignment="1" applyProtection="1">
      <alignment horizontal="right" vertical="center"/>
    </xf>
    <xf numFmtId="0" fontId="6" fillId="7" borderId="1" xfId="22" applyFont="1" applyFill="1" applyBorder="1" applyAlignment="1" applyProtection="1">
      <alignment vertical="top"/>
    </xf>
    <xf numFmtId="0" fontId="25" fillId="0" borderId="1" xfId="22" applyFont="1" applyBorder="1" applyAlignment="1" applyProtection="1">
      <alignment horizontal="right" vertical="center"/>
      <protection locked="0"/>
    </xf>
    <xf numFmtId="44" fontId="25" fillId="0" borderId="1" xfId="36" applyFont="1" applyBorder="1" applyAlignment="1" applyProtection="1">
      <alignment horizontal="right" vertical="center"/>
      <protection locked="0"/>
    </xf>
    <xf numFmtId="171" fontId="6" fillId="0" borderId="0" xfId="1" applyNumberFormat="1" applyFont="1" applyFill="1" applyBorder="1" applyAlignment="1" applyProtection="1"/>
    <xf numFmtId="9" fontId="6" fillId="9" borderId="0" xfId="2" applyFont="1" applyFill="1" applyBorder="1" applyAlignment="1" applyProtection="1"/>
    <xf numFmtId="171" fontId="0" fillId="0" borderId="0" xfId="1" applyNumberFormat="1" applyFont="1" applyBorder="1"/>
    <xf numFmtId="171" fontId="0" fillId="9" borderId="0" xfId="1" applyNumberFormat="1" applyFont="1" applyFill="1" applyBorder="1"/>
    <xf numFmtId="9" fontId="0" fillId="9" borderId="0" xfId="2" applyFont="1" applyFill="1" applyBorder="1"/>
    <xf numFmtId="44" fontId="25" fillId="0" borderId="33" xfId="36" applyFont="1" applyFill="1" applyBorder="1" applyAlignment="1" applyProtection="1">
      <alignment horizontal="right" vertical="center"/>
    </xf>
    <xf numFmtId="10" fontId="28" fillId="0" borderId="33" xfId="38" applyNumberFormat="1" applyFont="1" applyBorder="1" applyAlignment="1" applyProtection="1">
      <alignment horizontal="right" vertical="center"/>
    </xf>
    <xf numFmtId="44" fontId="26" fillId="44" borderId="34" xfId="36" applyFont="1" applyFill="1" applyBorder="1" applyAlignment="1" applyProtection="1">
      <alignment horizontal="right" vertical="center"/>
    </xf>
    <xf numFmtId="0" fontId="26" fillId="7" borderId="33" xfId="22" applyFont="1" applyFill="1" applyBorder="1" applyAlignment="1" applyProtection="1">
      <alignment horizontal="right" vertical="center"/>
    </xf>
    <xf numFmtId="0" fontId="26" fillId="7" borderId="0" xfId="22" applyFont="1" applyFill="1" applyBorder="1" applyAlignment="1" applyProtection="1">
      <alignment horizontal="right" vertical="center"/>
    </xf>
    <xf numFmtId="164" fontId="25" fillId="7" borderId="24" xfId="22" applyNumberFormat="1" applyFont="1" applyFill="1" applyBorder="1" applyAlignment="1" applyProtection="1">
      <alignment horizontal="right" vertical="center"/>
    </xf>
    <xf numFmtId="0" fontId="25" fillId="7" borderId="33" xfId="22" applyFont="1" applyFill="1" applyBorder="1" applyAlignment="1" applyProtection="1">
      <alignment horizontal="right" vertical="center"/>
    </xf>
    <xf numFmtId="44" fontId="25" fillId="7" borderId="25" xfId="36" applyFont="1" applyFill="1" applyBorder="1" applyAlignment="1" applyProtection="1">
      <alignment horizontal="right" vertical="center"/>
    </xf>
    <xf numFmtId="44" fontId="25" fillId="7" borderId="0" xfId="36" applyFont="1" applyFill="1" applyBorder="1" applyAlignment="1" applyProtection="1">
      <alignment horizontal="right" vertical="center"/>
      <protection locked="0"/>
    </xf>
    <xf numFmtId="44" fontId="25" fillId="7" borderId="33" xfId="36" applyFont="1" applyFill="1" applyBorder="1" applyAlignment="1" applyProtection="1">
      <alignment horizontal="right" vertical="center"/>
    </xf>
    <xf numFmtId="10" fontId="28" fillId="7" borderId="33" xfId="38" applyNumberFormat="1" applyFont="1" applyFill="1" applyBorder="1" applyAlignment="1" applyProtection="1">
      <alignment horizontal="right" vertical="center"/>
    </xf>
    <xf numFmtId="44" fontId="26" fillId="44" borderId="25" xfId="36" applyFont="1" applyFill="1" applyBorder="1" applyAlignment="1" applyProtection="1">
      <alignment horizontal="right" vertical="center"/>
    </xf>
    <xf numFmtId="164" fontId="25" fillId="0" borderId="33" xfId="22" applyNumberFormat="1" applyFont="1" applyFill="1" applyBorder="1" applyAlignment="1" applyProtection="1">
      <alignment horizontal="right" vertical="center"/>
    </xf>
    <xf numFmtId="0" fontId="26" fillId="7" borderId="36" xfId="22" applyFont="1" applyFill="1" applyBorder="1" applyAlignment="1" applyProtection="1">
      <alignment horizontal="right" vertical="center"/>
    </xf>
    <xf numFmtId="0" fontId="26" fillId="7" borderId="29" xfId="22" applyFont="1" applyFill="1" applyBorder="1" applyAlignment="1" applyProtection="1">
      <alignment horizontal="right" vertical="center"/>
    </xf>
    <xf numFmtId="164" fontId="25" fillId="7" borderId="39" xfId="22" applyNumberFormat="1" applyFont="1" applyFill="1" applyBorder="1" applyAlignment="1" applyProtection="1">
      <alignment horizontal="right" vertical="center"/>
    </xf>
    <xf numFmtId="0" fontId="25" fillId="7" borderId="36" xfId="22" applyFont="1" applyFill="1" applyBorder="1" applyAlignment="1" applyProtection="1">
      <alignment horizontal="right" vertical="center"/>
    </xf>
    <xf numFmtId="44" fontId="25" fillId="7" borderId="38" xfId="36" applyFont="1" applyFill="1" applyBorder="1" applyAlignment="1" applyProtection="1">
      <alignment horizontal="right" vertical="center"/>
    </xf>
    <xf numFmtId="44" fontId="25" fillId="7" borderId="29" xfId="36" applyFont="1" applyFill="1" applyBorder="1" applyAlignment="1" applyProtection="1">
      <alignment horizontal="right" vertical="center"/>
      <protection locked="0"/>
    </xf>
    <xf numFmtId="44" fontId="25" fillId="7" borderId="36" xfId="36" applyFont="1" applyFill="1" applyBorder="1" applyAlignment="1" applyProtection="1">
      <alignment horizontal="right" vertical="center"/>
    </xf>
    <xf numFmtId="10" fontId="28" fillId="7" borderId="36" xfId="38" applyNumberFormat="1" applyFont="1" applyFill="1" applyBorder="1" applyAlignment="1" applyProtection="1">
      <alignment horizontal="right" vertical="center"/>
    </xf>
    <xf numFmtId="44" fontId="2" fillId="0" borderId="0" xfId="36" applyFont="1" applyProtection="1"/>
    <xf numFmtId="9" fontId="2" fillId="0" borderId="0" xfId="2" applyFont="1" applyProtection="1"/>
    <xf numFmtId="0" fontId="31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81" fontId="0" fillId="0" borderId="1" xfId="1" applyNumberFormat="1" applyFont="1" applyBorder="1"/>
    <xf numFmtId="0" fontId="7" fillId="0" borderId="40" xfId="0" applyFont="1" applyBorder="1" applyAlignment="1">
      <alignment horizontal="center" vertical="center" wrapText="1"/>
    </xf>
    <xf numFmtId="0" fontId="0" fillId="0" borderId="43" xfId="0" applyBorder="1"/>
    <xf numFmtId="0" fontId="7" fillId="0" borderId="44" xfId="0" applyFont="1" applyBorder="1"/>
    <xf numFmtId="0" fontId="0" fillId="0" borderId="43" xfId="0" applyBorder="1" applyAlignment="1">
      <alignment wrapText="1"/>
    </xf>
    <xf numFmtId="181" fontId="7" fillId="0" borderId="44" xfId="0" applyNumberFormat="1" applyFont="1" applyBorder="1"/>
    <xf numFmtId="0" fontId="0" fillId="0" borderId="45" xfId="0" applyBorder="1"/>
    <xf numFmtId="0" fontId="0" fillId="0" borderId="46" xfId="0" applyBorder="1"/>
    <xf numFmtId="181" fontId="7" fillId="0" borderId="47" xfId="0" applyNumberFormat="1" applyFont="1" applyBorder="1"/>
    <xf numFmtId="0" fontId="7" fillId="0" borderId="4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8" fontId="26" fillId="0" borderId="33" xfId="22" applyNumberFormat="1" applyFont="1" applyFill="1" applyBorder="1" applyAlignment="1" applyProtection="1">
      <alignment horizontal="right" vertical="center"/>
    </xf>
    <xf numFmtId="0" fontId="2" fillId="0" borderId="48" xfId="22" applyFont="1" applyBorder="1" applyProtection="1"/>
    <xf numFmtId="0" fontId="26" fillId="0" borderId="49" xfId="22" applyFont="1" applyBorder="1" applyAlignment="1" applyProtection="1">
      <alignment horizontal="right" vertical="center"/>
      <protection locked="0"/>
    </xf>
    <xf numFmtId="0" fontId="2" fillId="0" borderId="24" xfId="22" applyFont="1" applyBorder="1" applyProtection="1"/>
    <xf numFmtId="0" fontId="2" fillId="0" borderId="24" xfId="22" applyBorder="1" applyAlignment="1" applyProtection="1">
      <alignment vertical="top"/>
    </xf>
    <xf numFmtId="0" fontId="2" fillId="0" borderId="24" xfId="22" applyFill="1" applyBorder="1" applyAlignment="1" applyProtection="1">
      <alignment vertical="top"/>
    </xf>
    <xf numFmtId="0" fontId="2" fillId="0" borderId="26" xfId="22" applyBorder="1" applyAlignment="1" applyProtection="1">
      <alignment vertical="top"/>
    </xf>
    <xf numFmtId="0" fontId="2" fillId="0" borderId="24" xfId="22" applyFont="1" applyFill="1" applyBorder="1" applyAlignment="1" applyProtection="1">
      <alignment vertical="top" wrapText="1"/>
    </xf>
    <xf numFmtId="0" fontId="2" fillId="0" borderId="24" xfId="22" applyFont="1" applyBorder="1" applyAlignment="1" applyProtection="1">
      <alignment vertical="top"/>
    </xf>
    <xf numFmtId="0" fontId="2" fillId="0" borderId="24" xfId="22" applyBorder="1" applyAlignment="1" applyProtection="1">
      <alignment vertical="center"/>
    </xf>
    <xf numFmtId="0" fontId="2" fillId="0" borderId="26" xfId="22" applyBorder="1" applyAlignment="1" applyProtection="1">
      <alignment vertical="center" wrapText="1"/>
    </xf>
    <xf numFmtId="0" fontId="2" fillId="0" borderId="24" xfId="22" applyBorder="1" applyAlignment="1" applyProtection="1">
      <alignment vertical="top" wrapText="1"/>
    </xf>
    <xf numFmtId="0" fontId="2" fillId="44" borderId="9" xfId="22" applyFont="1" applyFill="1" applyBorder="1" applyProtection="1"/>
    <xf numFmtId="10" fontId="26" fillId="44" borderId="34" xfId="38" applyNumberFormat="1" applyFont="1" applyFill="1" applyBorder="1" applyAlignment="1" applyProtection="1">
      <alignment horizontal="right" vertical="center"/>
    </xf>
    <xf numFmtId="0" fontId="6" fillId="0" borderId="24" xfId="22" applyFont="1" applyFill="1" applyBorder="1" applyAlignment="1" applyProtection="1">
      <alignment vertical="top"/>
    </xf>
    <xf numFmtId="0" fontId="2" fillId="0" borderId="24" xfId="22" applyFont="1" applyFill="1" applyBorder="1" applyAlignment="1" applyProtection="1">
      <alignment horizontal="left" vertical="top" indent="1"/>
    </xf>
    <xf numFmtId="0" fontId="6" fillId="0" borderId="24" xfId="22" applyFont="1" applyBorder="1" applyAlignment="1" applyProtection="1">
      <alignment horizontal="left" vertical="top" wrapText="1" indent="1"/>
    </xf>
    <xf numFmtId="0" fontId="27" fillId="0" borderId="24" xfId="22" applyFont="1" applyBorder="1" applyAlignment="1" applyProtection="1">
      <alignment vertical="top" wrapText="1"/>
    </xf>
    <xf numFmtId="0" fontId="6" fillId="7" borderId="39" xfId="22" applyFont="1" applyFill="1" applyBorder="1" applyAlignment="1" applyProtection="1">
      <alignment vertical="top" wrapText="1"/>
    </xf>
    <xf numFmtId="0" fontId="2" fillId="44" borderId="50" xfId="22" applyFont="1" applyFill="1" applyBorder="1" applyProtection="1"/>
    <xf numFmtId="182" fontId="26" fillId="44" borderId="51" xfId="37" applyNumberFormat="1" applyFont="1" applyFill="1" applyBorder="1" applyAlignment="1" applyProtection="1">
      <alignment horizontal="right" vertical="center"/>
      <protection locked="0"/>
    </xf>
    <xf numFmtId="0" fontId="26" fillId="44" borderId="41" xfId="22" applyFont="1" applyFill="1" applyBorder="1" applyAlignment="1" applyProtection="1">
      <alignment horizontal="right" vertical="center"/>
      <protection locked="0"/>
    </xf>
    <xf numFmtId="164" fontId="26" fillId="44" borderId="52" xfId="37" applyFont="1" applyFill="1" applyBorder="1" applyAlignment="1" applyProtection="1">
      <alignment horizontal="right" vertical="center"/>
    </xf>
    <xf numFmtId="0" fontId="26" fillId="44" borderId="52" xfId="22" applyFont="1" applyFill="1" applyBorder="1" applyAlignment="1" applyProtection="1">
      <alignment horizontal="right" vertical="center"/>
      <protection locked="0"/>
    </xf>
    <xf numFmtId="0" fontId="26" fillId="44" borderId="51" xfId="22" applyFont="1" applyFill="1" applyBorder="1" applyAlignment="1" applyProtection="1">
      <alignment horizontal="right" vertical="center"/>
      <protection locked="0"/>
    </xf>
    <xf numFmtId="44" fontId="26" fillId="44" borderId="52" xfId="36" applyFont="1" applyFill="1" applyBorder="1" applyAlignment="1" applyProtection="1">
      <alignment horizontal="right" vertical="center"/>
    </xf>
    <xf numFmtId="44" fontId="26" fillId="44" borderId="52" xfId="36" applyFont="1" applyFill="1" applyBorder="1" applyAlignment="1" applyProtection="1">
      <alignment horizontal="right" vertical="center"/>
      <protection locked="0"/>
    </xf>
    <xf numFmtId="44" fontId="26" fillId="44" borderId="51" xfId="36" applyFont="1" applyFill="1" applyBorder="1" applyAlignment="1" applyProtection="1">
      <alignment horizontal="right" vertical="center"/>
    </xf>
    <xf numFmtId="10" fontId="26" fillId="44" borderId="51" xfId="38" applyNumberFormat="1" applyFont="1" applyFill="1" applyBorder="1" applyAlignment="1" applyProtection="1">
      <alignment horizontal="right" vertical="center"/>
    </xf>
    <xf numFmtId="182" fontId="24" fillId="2" borderId="33" xfId="28" applyNumberFormat="1" applyFont="1" applyFill="1" applyBorder="1" applyAlignment="1" applyProtection="1">
      <alignment horizontal="right" vertical="center"/>
      <protection locked="0"/>
    </xf>
    <xf numFmtId="44" fontId="26" fillId="44" borderId="29" xfId="36" applyFont="1" applyFill="1" applyBorder="1" applyAlignment="1" applyProtection="1">
      <alignment horizontal="right" vertical="center"/>
    </xf>
    <xf numFmtId="44" fontId="26" fillId="44" borderId="29" xfId="36" applyFont="1" applyFill="1" applyBorder="1" applyAlignment="1" applyProtection="1">
      <alignment horizontal="right" vertical="center"/>
      <protection locked="0"/>
    </xf>
    <xf numFmtId="44" fontId="26" fillId="44" borderId="38" xfId="36" applyFont="1" applyFill="1" applyBorder="1" applyAlignment="1" applyProtection="1">
      <alignment horizontal="right" vertical="center"/>
    </xf>
    <xf numFmtId="10" fontId="26" fillId="44" borderId="32" xfId="38" applyNumberFormat="1" applyFont="1" applyFill="1" applyBorder="1" applyAlignment="1" applyProtection="1">
      <alignment horizontal="right" vertical="center"/>
    </xf>
    <xf numFmtId="0" fontId="6" fillId="7" borderId="26" xfId="22" applyFont="1" applyFill="1" applyBorder="1" applyAlignment="1" applyProtection="1">
      <alignment vertical="top" wrapText="1"/>
    </xf>
    <xf numFmtId="0" fontId="6" fillId="7" borderId="24" xfId="22" applyFont="1" applyFill="1" applyBorder="1" applyAlignment="1" applyProtection="1">
      <alignment vertical="top" wrapText="1"/>
    </xf>
    <xf numFmtId="0" fontId="2" fillId="44" borderId="39" xfId="22" applyFont="1" applyFill="1" applyBorder="1" applyProtection="1"/>
    <xf numFmtId="10" fontId="26" fillId="44" borderId="25" xfId="38" applyNumberFormat="1" applyFont="1" applyFill="1" applyBorder="1" applyAlignment="1" applyProtection="1">
      <alignment horizontal="right" vertical="center"/>
    </xf>
    <xf numFmtId="182" fontId="2" fillId="44" borderId="41" xfId="37" applyNumberFormat="1" applyFill="1" applyBorder="1" applyAlignment="1" applyProtection="1">
      <alignment vertical="top"/>
      <protection locked="0"/>
    </xf>
    <xf numFmtId="0" fontId="2" fillId="44" borderId="52" xfId="22" applyFill="1" applyBorder="1" applyAlignment="1" applyProtection="1">
      <alignment vertical="center"/>
      <protection locked="0"/>
    </xf>
    <xf numFmtId="164" fontId="2" fillId="44" borderId="50" xfId="37" applyFill="1" applyBorder="1" applyAlignment="1" applyProtection="1">
      <alignment vertical="center"/>
      <protection locked="0"/>
    </xf>
    <xf numFmtId="0" fontId="2" fillId="44" borderId="41" xfId="22" applyFill="1" applyBorder="1" applyAlignment="1" applyProtection="1">
      <alignment vertical="center"/>
      <protection locked="0"/>
    </xf>
    <xf numFmtId="164" fontId="2" fillId="44" borderId="51" xfId="37" applyFill="1" applyBorder="1" applyAlignment="1" applyProtection="1">
      <alignment vertical="center"/>
      <protection locked="0"/>
    </xf>
    <xf numFmtId="164" fontId="2" fillId="44" borderId="7" xfId="22" applyNumberFormat="1" applyFill="1" applyBorder="1" applyAlignment="1" applyProtection="1">
      <alignment vertical="center"/>
      <protection locked="0"/>
    </xf>
    <xf numFmtId="10" fontId="2" fillId="44" borderId="28" xfId="38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6" fillId="0" borderId="25" xfId="22" applyFont="1" applyFill="1" applyBorder="1" applyAlignment="1" applyProtection="1">
      <alignment horizontal="center" wrapText="1"/>
    </xf>
    <xf numFmtId="0" fontId="2" fillId="0" borderId="28" xfId="22" applyBorder="1" applyAlignment="1" applyProtection="1">
      <alignment wrapText="1"/>
    </xf>
    <xf numFmtId="0" fontId="6" fillId="0" borderId="33" xfId="22" applyFont="1" applyFill="1" applyBorder="1" applyAlignment="1" applyProtection="1">
      <alignment horizontal="center" wrapText="1"/>
    </xf>
    <xf numFmtId="0" fontId="2" fillId="0" borderId="7" xfId="22" applyBorder="1" applyAlignment="1" applyProtection="1">
      <alignment wrapText="1"/>
    </xf>
    <xf numFmtId="0" fontId="6" fillId="0" borderId="30" xfId="22" applyFont="1" applyBorder="1" applyAlignment="1" applyProtection="1">
      <alignment horizontal="center"/>
    </xf>
    <xf numFmtId="0" fontId="6" fillId="0" borderId="13" xfId="22" applyFont="1" applyBorder="1" applyAlignment="1" applyProtection="1">
      <alignment horizontal="center"/>
    </xf>
    <xf numFmtId="0" fontId="6" fillId="0" borderId="31" xfId="22" applyFont="1" applyBorder="1" applyAlignment="1" applyProtection="1">
      <alignment horizontal="center"/>
    </xf>
    <xf numFmtId="0" fontId="31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</cellXfs>
  <cellStyles count="109">
    <cellStyle name="$" xfId="3"/>
    <cellStyle name="$.00" xfId="4"/>
    <cellStyle name="$_9. Rev2Cost_GDPIPI" xfId="23"/>
    <cellStyle name="$_9. Rev2Cost_GDPIPI 2" xfId="32"/>
    <cellStyle name="$_9. Rev2Cost_GDPIPI 3" xfId="105"/>
    <cellStyle name="$_9. Rev2Cost_GDPIPI 4" xfId="99"/>
    <cellStyle name="$_9. Rev2Cost_GDPIPI 5" xfId="93"/>
    <cellStyle name="$_9. Rev2Cost_GDPIPI 6" xfId="87"/>
    <cellStyle name="$_lists" xfId="17"/>
    <cellStyle name="$_lists 2" xfId="30"/>
    <cellStyle name="$_lists 3" xfId="103"/>
    <cellStyle name="$_lists 4" xfId="97"/>
    <cellStyle name="$_lists 5" xfId="91"/>
    <cellStyle name="$_lists 6" xfId="85"/>
    <cellStyle name="$_lists_4. Current Monthly Fixed Charge" xfId="20"/>
    <cellStyle name="$_Sheet4" xfId="26"/>
    <cellStyle name="$_Sheet4 2" xfId="34"/>
    <cellStyle name="$_Sheet4 3" xfId="107"/>
    <cellStyle name="$_Sheet4 4" xfId="101"/>
    <cellStyle name="$_Sheet4 5" xfId="95"/>
    <cellStyle name="$_Sheet4 6" xfId="89"/>
    <cellStyle name="$M" xfId="5"/>
    <cellStyle name="$M.00" xfId="6"/>
    <cellStyle name="$M_9. Rev2Cost_GDPIPI" xfId="24"/>
    <cellStyle name="20% - Accent1 2" xfId="39"/>
    <cellStyle name="20% - Accent2 2" xfId="40"/>
    <cellStyle name="20% - Accent3 2" xfId="41"/>
    <cellStyle name="20% - Accent4 2" xfId="42"/>
    <cellStyle name="20% - Accent5 2" xfId="43"/>
    <cellStyle name="20% - Accent6 2" xfId="44"/>
    <cellStyle name="40% - Accent1 2" xfId="45"/>
    <cellStyle name="40% - Accent2 2" xfId="46"/>
    <cellStyle name="40% - Accent3 2" xfId="47"/>
    <cellStyle name="40% - Accent4 2" xfId="48"/>
    <cellStyle name="40% - Accent5 2" xfId="49"/>
    <cellStyle name="40% - Accent6 2" xfId="50"/>
    <cellStyle name="60% - Accent1 2" xfId="51"/>
    <cellStyle name="60% - Accent2 2" xfId="52"/>
    <cellStyle name="60% - Accent3 2" xfId="53"/>
    <cellStyle name="60% - Accent4 2" xfId="54"/>
    <cellStyle name="60% - Accent5 2" xfId="55"/>
    <cellStyle name="60% - Accent6 2" xfId="56"/>
    <cellStyle name="Accent1 2" xfId="57"/>
    <cellStyle name="Accent2 2" xfId="58"/>
    <cellStyle name="Accent3 2" xfId="59"/>
    <cellStyle name="Accent4 2" xfId="60"/>
    <cellStyle name="Accent5 2" xfId="61"/>
    <cellStyle name="Accent6 2" xfId="62"/>
    <cellStyle name="Bad 2" xfId="63"/>
    <cellStyle name="Calculation 2" xfId="64"/>
    <cellStyle name="Check Cell 2" xfId="65"/>
    <cellStyle name="Comma" xfId="1" builtinId="3"/>
    <cellStyle name="Comma 2" xfId="19"/>
    <cellStyle name="Comma 3" xfId="66"/>
    <cellStyle name="Comma0" xfId="7"/>
    <cellStyle name="Currency" xfId="36" builtinId="4"/>
    <cellStyle name="Currency 2" xfId="28"/>
    <cellStyle name="Currency 2 2" xfId="37"/>
    <cellStyle name="Currency0" xfId="8"/>
    <cellStyle name="Date" xfId="9"/>
    <cellStyle name="Explanatory Text 2" xfId="67"/>
    <cellStyle name="Fixed" xfId="10"/>
    <cellStyle name="Good 2" xfId="68"/>
    <cellStyle name="Grey" xfId="11"/>
    <cellStyle name="Heading 1 2" xfId="69"/>
    <cellStyle name="Heading 2 2" xfId="70"/>
    <cellStyle name="Heading 3 2" xfId="71"/>
    <cellStyle name="Heading 4 2" xfId="72"/>
    <cellStyle name="Input [yellow]" xfId="12"/>
    <cellStyle name="Input 2" xfId="73"/>
    <cellStyle name="Linked Cell 2" xfId="74"/>
    <cellStyle name="M" xfId="13"/>
    <cellStyle name="M.00" xfId="14"/>
    <cellStyle name="M_9. Rev2Cost_GDPIPI" xfId="25"/>
    <cellStyle name="M_9. Rev2Cost_GDPIPI 2" xfId="33"/>
    <cellStyle name="M_9. Rev2Cost_GDPIPI 3" xfId="106"/>
    <cellStyle name="M_9. Rev2Cost_GDPIPI 4" xfId="100"/>
    <cellStyle name="M_9. Rev2Cost_GDPIPI 5" xfId="94"/>
    <cellStyle name="M_9. Rev2Cost_GDPIPI 6" xfId="88"/>
    <cellStyle name="M_lists" xfId="18"/>
    <cellStyle name="M_lists 2" xfId="31"/>
    <cellStyle name="M_lists 3" xfId="104"/>
    <cellStyle name="M_lists 4" xfId="98"/>
    <cellStyle name="M_lists 5" xfId="92"/>
    <cellStyle name="M_lists 6" xfId="86"/>
    <cellStyle name="M_lists_4. Current Monthly Fixed Charge" xfId="21"/>
    <cellStyle name="M_Sheet4" xfId="27"/>
    <cellStyle name="M_Sheet4 2" xfId="35"/>
    <cellStyle name="M_Sheet4 3" xfId="108"/>
    <cellStyle name="M_Sheet4 4" xfId="102"/>
    <cellStyle name="M_Sheet4 5" xfId="96"/>
    <cellStyle name="M_Sheet4 6" xfId="90"/>
    <cellStyle name="Neutral 2" xfId="75"/>
    <cellStyle name="Normal" xfId="0" builtinId="0"/>
    <cellStyle name="Normal - Style1" xfId="15"/>
    <cellStyle name="Normal 2" xfId="22"/>
    <cellStyle name="Normal 3" xfId="76"/>
    <cellStyle name="Normal 4" xfId="77"/>
    <cellStyle name="Normal 5" xfId="78"/>
    <cellStyle name="Normal_14. Bill Impacts" xfId="29"/>
    <cellStyle name="Note 2" xfId="79"/>
    <cellStyle name="Output 2" xfId="80"/>
    <cellStyle name="Percent" xfId="2" builtinId="5"/>
    <cellStyle name="Percent [2]" xfId="16"/>
    <cellStyle name="Percent 2" xfId="38"/>
    <cellStyle name="Percent 3" xfId="81"/>
    <cellStyle name="Title 2" xfId="82"/>
    <cellStyle name="Total 2" xfId="83"/>
    <cellStyle name="Warning Text 2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3"/>
  <sheetViews>
    <sheetView showGridLines="0" topLeftCell="A3" zoomScale="85" zoomScaleNormal="85" workbookViewId="0">
      <selection activeCell="C9" sqref="C9"/>
    </sheetView>
  </sheetViews>
  <sheetFormatPr defaultRowHeight="15"/>
  <cols>
    <col min="1" max="1" width="2.85546875" style="161" customWidth="1"/>
    <col min="2" max="2" width="47.5703125" customWidth="1"/>
    <col min="3" max="3" width="13.5703125" customWidth="1"/>
    <col min="4" max="4" width="13.140625" customWidth="1"/>
    <col min="5" max="5" width="13.5703125" customWidth="1"/>
    <col min="6" max="6" width="2.140625" customWidth="1"/>
    <col min="7" max="7" width="13.28515625" customWidth="1"/>
    <col min="8" max="8" width="13.42578125" customWidth="1"/>
    <col min="9" max="9" width="11.140625" customWidth="1"/>
    <col min="10" max="10" width="2" customWidth="1"/>
    <col min="11" max="12" width="11.140625" customWidth="1"/>
    <col min="13" max="13" width="3.7109375" customWidth="1"/>
  </cols>
  <sheetData>
    <row r="1" spans="1:29" s="32" customFormat="1" ht="23.25">
      <c r="A1" s="161"/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1:29">
      <c r="B2" s="7"/>
      <c r="C2" s="7"/>
      <c r="D2" s="7"/>
      <c r="E2" s="7"/>
      <c r="F2" s="7"/>
      <c r="G2" s="7"/>
      <c r="H2" s="21"/>
      <c r="I2" s="21"/>
      <c r="J2" s="7"/>
      <c r="K2" s="20"/>
      <c r="L2" s="20"/>
      <c r="M2" s="7"/>
      <c r="N2" s="7"/>
      <c r="O2" s="7"/>
      <c r="P2" s="7"/>
      <c r="Q2" s="7"/>
      <c r="R2" s="7"/>
      <c r="S2" s="7"/>
      <c r="T2" s="7"/>
      <c r="U2" s="13"/>
      <c r="V2" s="7"/>
      <c r="W2" s="7"/>
      <c r="X2" s="7"/>
      <c r="Y2" s="7"/>
      <c r="Z2" s="17">
        <v>1</v>
      </c>
      <c r="AA2" s="7" t="s">
        <v>0</v>
      </c>
      <c r="AB2" s="7"/>
      <c r="AC2" s="7"/>
    </row>
    <row r="3" spans="1:29" s="1" customFormat="1" ht="15.75" thickBot="1">
      <c r="A3" s="161"/>
      <c r="B3" s="7"/>
      <c r="C3" s="7"/>
      <c r="D3" s="7"/>
      <c r="E3" s="7"/>
      <c r="F3" s="7"/>
      <c r="G3" s="7"/>
      <c r="H3" s="21"/>
      <c r="I3" s="21"/>
      <c r="J3" s="7"/>
      <c r="K3" s="20"/>
      <c r="L3" s="20"/>
      <c r="M3" s="7"/>
      <c r="N3" s="7"/>
      <c r="O3" s="7"/>
      <c r="P3" s="7"/>
      <c r="Q3" s="7"/>
      <c r="R3" s="7"/>
      <c r="S3" s="7"/>
      <c r="T3" s="7"/>
      <c r="U3" s="13"/>
      <c r="V3" s="7"/>
      <c r="W3" s="7"/>
      <c r="X3" s="7"/>
      <c r="Y3" s="7"/>
      <c r="Z3" s="17"/>
      <c r="AA3" s="7"/>
      <c r="AB3" s="7"/>
      <c r="AC3" s="7"/>
    </row>
    <row r="4" spans="1:29" s="1" customFormat="1" ht="15.75" thickBot="1">
      <c r="A4" s="161"/>
      <c r="B4" s="28" t="s">
        <v>22</v>
      </c>
      <c r="C4" s="34" t="s">
        <v>23</v>
      </c>
      <c r="D4" s="34" t="s">
        <v>39</v>
      </c>
      <c r="E4" s="7"/>
      <c r="G4" s="7" t="s">
        <v>27</v>
      </c>
      <c r="H4" s="21"/>
      <c r="I4" s="7"/>
      <c r="J4" s="20"/>
      <c r="K4" s="20"/>
      <c r="M4" s="7"/>
      <c r="N4" s="7"/>
      <c r="O4" s="7"/>
      <c r="P4" s="7"/>
      <c r="Q4" s="7"/>
      <c r="R4" s="7"/>
      <c r="S4" s="7"/>
      <c r="T4" s="7"/>
      <c r="U4" s="13"/>
      <c r="V4" s="7"/>
      <c r="W4" s="7"/>
      <c r="X4" s="7"/>
      <c r="Y4" s="7"/>
      <c r="Z4" s="17"/>
      <c r="AA4" s="7"/>
      <c r="AB4" s="7"/>
      <c r="AC4" s="7"/>
    </row>
    <row r="5" spans="1:29" s="27" customFormat="1">
      <c r="A5" s="161"/>
      <c r="B5" s="29" t="s">
        <v>6</v>
      </c>
      <c r="C5" s="50">
        <v>7.8E-2</v>
      </c>
      <c r="D5" s="50">
        <f>+C5</f>
        <v>7.8E-2</v>
      </c>
      <c r="E5" s="7"/>
      <c r="F5" s="7"/>
      <c r="G5" s="32"/>
      <c r="K5" s="57">
        <v>2013</v>
      </c>
      <c r="L5" s="57">
        <v>2014</v>
      </c>
      <c r="M5" s="7"/>
      <c r="N5" s="7"/>
      <c r="O5" s="7"/>
      <c r="P5" s="7"/>
      <c r="Q5" s="7"/>
      <c r="R5" s="7"/>
      <c r="S5" s="7"/>
      <c r="T5" s="7"/>
      <c r="U5" s="13"/>
      <c r="V5" s="7"/>
      <c r="W5" s="7"/>
      <c r="X5" s="7"/>
      <c r="Y5" s="7"/>
      <c r="Z5" s="17"/>
      <c r="AA5" s="7"/>
      <c r="AB5" s="7"/>
      <c r="AC5" s="7"/>
    </row>
    <row r="6" spans="1:29" s="27" customFormat="1">
      <c r="A6" s="161"/>
      <c r="B6" s="29" t="s">
        <v>7</v>
      </c>
      <c r="C6" s="50">
        <v>9.0999999999999998E-2</v>
      </c>
      <c r="D6" s="50">
        <f t="shared" ref="D6:D9" si="0">+C6</f>
        <v>9.0999999999999998E-2</v>
      </c>
      <c r="E6" s="7"/>
      <c r="F6" s="7"/>
      <c r="G6" s="65" t="s">
        <v>53</v>
      </c>
      <c r="M6" s="7"/>
      <c r="N6" s="7"/>
      <c r="O6" s="7"/>
      <c r="P6" s="7"/>
      <c r="Q6" s="7"/>
      <c r="R6" s="7"/>
      <c r="S6" s="7"/>
      <c r="T6" s="7"/>
      <c r="U6" s="13"/>
      <c r="V6" s="7"/>
      <c r="W6" s="7"/>
      <c r="X6" s="7"/>
      <c r="Y6" s="7"/>
      <c r="Z6" s="17"/>
      <c r="AA6" s="7"/>
      <c r="AB6" s="7"/>
      <c r="AC6" s="7"/>
    </row>
    <row r="7" spans="1:29" s="27" customFormat="1">
      <c r="A7" s="161"/>
      <c r="B7" s="29" t="s">
        <v>8</v>
      </c>
      <c r="C7" s="50">
        <v>6.7000000000000004E-2</v>
      </c>
      <c r="D7" s="50">
        <f t="shared" si="0"/>
        <v>6.7000000000000004E-2</v>
      </c>
      <c r="E7" s="7"/>
      <c r="F7" s="7"/>
      <c r="G7" s="32" t="s">
        <v>28</v>
      </c>
      <c r="K7" s="58">
        <v>0.02</v>
      </c>
      <c r="L7" s="61">
        <v>0</v>
      </c>
      <c r="M7" s="7"/>
      <c r="N7" s="7"/>
      <c r="O7" s="7"/>
      <c r="P7" s="7"/>
      <c r="Q7" s="7"/>
      <c r="R7" s="7"/>
      <c r="S7" s="7"/>
      <c r="T7" s="7"/>
      <c r="U7" s="13"/>
      <c r="V7" s="7"/>
      <c r="W7" s="7"/>
      <c r="X7" s="7"/>
      <c r="Y7" s="7"/>
      <c r="Z7" s="17"/>
      <c r="AA7" s="7"/>
      <c r="AB7" s="7"/>
      <c r="AC7" s="7"/>
    </row>
    <row r="8" spans="1:29" s="27" customFormat="1">
      <c r="A8" s="161"/>
      <c r="B8" s="29" t="s">
        <v>9</v>
      </c>
      <c r="C8" s="50">
        <v>0.104</v>
      </c>
      <c r="D8" s="50">
        <f t="shared" si="0"/>
        <v>0.104</v>
      </c>
      <c r="E8" s="7"/>
      <c r="F8" s="7"/>
      <c r="G8" s="32" t="s">
        <v>40</v>
      </c>
      <c r="K8" s="58">
        <v>0.14000000000000001</v>
      </c>
      <c r="L8" s="58">
        <v>0.14000000000000001</v>
      </c>
      <c r="M8" s="7"/>
      <c r="N8" s="7"/>
      <c r="O8" s="7"/>
      <c r="P8" s="7"/>
      <c r="Q8" s="7"/>
      <c r="R8" s="7"/>
      <c r="S8" s="7"/>
      <c r="T8" s="7"/>
      <c r="U8" s="13"/>
      <c r="V8" s="7"/>
      <c r="W8" s="7"/>
      <c r="X8" s="7"/>
      <c r="Y8" s="7"/>
      <c r="Z8" s="17"/>
      <c r="AA8" s="7"/>
      <c r="AB8" s="7"/>
      <c r="AC8" s="7"/>
    </row>
    <row r="9" spans="1:29" s="27" customFormat="1">
      <c r="A9" s="161"/>
      <c r="B9" s="29" t="s">
        <v>10</v>
      </c>
      <c r="C9" s="50">
        <v>0.124</v>
      </c>
      <c r="D9" s="50">
        <f t="shared" si="0"/>
        <v>0.124</v>
      </c>
      <c r="E9" s="7"/>
      <c r="F9" s="7"/>
      <c r="G9" s="32" t="s">
        <v>29</v>
      </c>
      <c r="H9" s="1"/>
      <c r="I9" s="1"/>
      <c r="K9" s="143">
        <v>0.41</v>
      </c>
      <c r="L9" s="143">
        <v>0.41</v>
      </c>
      <c r="M9" s="7"/>
      <c r="N9" s="7"/>
      <c r="O9" s="7"/>
      <c r="P9" s="7"/>
      <c r="Q9" s="7"/>
      <c r="R9" s="7"/>
      <c r="S9" s="7"/>
      <c r="T9" s="7"/>
      <c r="U9" s="13"/>
      <c r="V9" s="7"/>
      <c r="W9" s="7"/>
      <c r="X9" s="7"/>
      <c r="Y9" s="7"/>
      <c r="Z9" s="17"/>
      <c r="AA9" s="7"/>
      <c r="AB9" s="7"/>
      <c r="AC9" s="7"/>
    </row>
    <row r="10" spans="1:29" s="1" customFormat="1">
      <c r="A10" s="161"/>
      <c r="B10" s="29" t="s">
        <v>11</v>
      </c>
      <c r="C10" s="51">
        <v>9.9600000000000009</v>
      </c>
      <c r="D10" s="59">
        <v>10.09</v>
      </c>
      <c r="E10" s="7"/>
      <c r="F10" s="7"/>
      <c r="K10" s="144">
        <f>SUM(K7:K9)</f>
        <v>0.56999999999999995</v>
      </c>
      <c r="L10" s="144">
        <f>SUM(L7:L9)</f>
        <v>0.55000000000000004</v>
      </c>
      <c r="M10" s="7"/>
      <c r="N10" s="7"/>
      <c r="O10" s="7"/>
      <c r="P10" s="7"/>
      <c r="Q10" s="7"/>
      <c r="R10" s="7"/>
      <c r="S10" s="7"/>
      <c r="T10" s="7"/>
      <c r="U10" s="13"/>
      <c r="V10" s="7"/>
      <c r="W10" s="7"/>
      <c r="X10" s="7"/>
      <c r="Y10" s="7"/>
      <c r="Z10" s="17"/>
      <c r="AA10" s="7"/>
      <c r="AB10" s="7"/>
      <c r="AC10" s="7"/>
    </row>
    <row r="11" spans="1:29" s="1" customFormat="1">
      <c r="A11" s="161"/>
      <c r="B11" s="35" t="s">
        <v>53</v>
      </c>
      <c r="C11" s="51">
        <f>+K10</f>
        <v>0.56999999999999995</v>
      </c>
      <c r="D11" s="51">
        <f>+L10</f>
        <v>0.55000000000000004</v>
      </c>
      <c r="E11" s="7"/>
      <c r="F11" s="7"/>
      <c r="G11" s="32" t="s">
        <v>41</v>
      </c>
      <c r="H11" s="27"/>
      <c r="I11" s="27"/>
      <c r="K11" s="58">
        <v>0.79</v>
      </c>
      <c r="L11" s="58">
        <v>0.79</v>
      </c>
      <c r="M11" s="7"/>
      <c r="N11" s="7"/>
      <c r="O11" s="7"/>
      <c r="P11" s="7"/>
      <c r="Q11" s="7"/>
      <c r="R11" s="7"/>
      <c r="S11" s="7"/>
      <c r="T11" s="7"/>
      <c r="U11" s="13"/>
      <c r="V11" s="7"/>
      <c r="W11" s="7"/>
      <c r="X11" s="7"/>
      <c r="Y11" s="7"/>
      <c r="Z11" s="17"/>
      <c r="AA11" s="7"/>
      <c r="AB11" s="7"/>
      <c r="AC11" s="7"/>
    </row>
    <row r="12" spans="1:29" s="1" customFormat="1">
      <c r="A12" s="161"/>
      <c r="B12" s="35" t="s">
        <v>41</v>
      </c>
      <c r="C12" s="54">
        <f>+K11</f>
        <v>0.79</v>
      </c>
      <c r="D12" s="54">
        <f>+L11</f>
        <v>0.79</v>
      </c>
      <c r="E12" s="7"/>
      <c r="F12" s="7"/>
      <c r="M12" s="7"/>
      <c r="N12" s="7"/>
      <c r="O12" s="7"/>
      <c r="P12" s="7"/>
      <c r="Q12" s="7"/>
      <c r="R12" s="7"/>
      <c r="S12" s="7"/>
      <c r="T12" s="7"/>
      <c r="U12" s="13"/>
      <c r="V12" s="7"/>
      <c r="W12" s="7"/>
      <c r="X12" s="7"/>
      <c r="Y12" s="7"/>
      <c r="Z12" s="17"/>
      <c r="AA12" s="7"/>
      <c r="AB12" s="7"/>
      <c r="AC12" s="7"/>
    </row>
    <row r="13" spans="1:29" s="1" customFormat="1">
      <c r="A13" s="161"/>
      <c r="B13" s="30" t="s">
        <v>12</v>
      </c>
      <c r="C13" s="52">
        <v>1.4500000000000001E-2</v>
      </c>
      <c r="D13" s="60">
        <v>1.47E-2</v>
      </c>
      <c r="E13" s="7"/>
      <c r="F13" s="7"/>
      <c r="G13" s="41" t="s">
        <v>30</v>
      </c>
      <c r="K13" s="32"/>
      <c r="L13" s="32"/>
      <c r="M13" s="7"/>
      <c r="N13" s="7"/>
      <c r="O13" s="7"/>
      <c r="P13" s="7"/>
      <c r="Q13" s="7"/>
      <c r="R13" s="7"/>
      <c r="S13" s="7"/>
      <c r="T13" s="7"/>
      <c r="U13" s="13"/>
      <c r="V13" s="7"/>
      <c r="W13" s="7"/>
      <c r="X13" s="7"/>
      <c r="Y13" s="7"/>
      <c r="Z13" s="17"/>
      <c r="AA13" s="7"/>
      <c r="AB13" s="7"/>
      <c r="AC13" s="7"/>
    </row>
    <row r="14" spans="1:29" s="1" customFormat="1">
      <c r="A14" s="161"/>
      <c r="B14" s="29" t="s">
        <v>14</v>
      </c>
      <c r="C14" s="53">
        <f>+K17</f>
        <v>0</v>
      </c>
      <c r="D14" s="62">
        <f>L17</f>
        <v>-1.2999999999999999E-3</v>
      </c>
      <c r="E14" s="7"/>
      <c r="F14" s="7"/>
      <c r="G14" s="32" t="s">
        <v>42</v>
      </c>
      <c r="K14" s="39">
        <v>0</v>
      </c>
      <c r="L14" s="63">
        <v>-1.2999999999999999E-3</v>
      </c>
      <c r="M14" s="7"/>
      <c r="N14" s="7"/>
      <c r="O14" s="7"/>
      <c r="P14" s="7"/>
      <c r="Q14" s="7"/>
      <c r="R14" s="7"/>
      <c r="S14" s="7"/>
      <c r="T14" s="7"/>
      <c r="U14" s="13"/>
      <c r="V14" s="7"/>
      <c r="W14" s="7"/>
      <c r="X14" s="7"/>
      <c r="Y14" s="7"/>
      <c r="Z14" s="17"/>
      <c r="AA14" s="7"/>
      <c r="AB14" s="7"/>
      <c r="AC14" s="7"/>
    </row>
    <row r="15" spans="1:29" s="1" customFormat="1">
      <c r="A15" s="161"/>
      <c r="B15" s="30" t="s">
        <v>13</v>
      </c>
      <c r="C15" s="52">
        <v>0</v>
      </c>
      <c r="D15" s="52">
        <v>0</v>
      </c>
      <c r="E15" s="7"/>
      <c r="F15" s="7"/>
      <c r="G15" s="32" t="s">
        <v>43</v>
      </c>
      <c r="K15" s="39">
        <v>0</v>
      </c>
      <c r="L15" s="63"/>
      <c r="M15" s="7"/>
      <c r="N15" s="7"/>
      <c r="O15" s="7"/>
      <c r="P15" s="7"/>
      <c r="Q15" s="7"/>
      <c r="R15" s="7"/>
      <c r="S15" s="7"/>
      <c r="T15" s="7"/>
      <c r="U15" s="13"/>
      <c r="V15" s="7"/>
      <c r="W15" s="7"/>
      <c r="X15" s="7"/>
      <c r="Y15" s="7"/>
      <c r="Z15" s="17"/>
      <c r="AA15" s="7"/>
      <c r="AB15" s="7"/>
      <c r="AC15" s="7"/>
    </row>
    <row r="16" spans="1:29" s="1" customFormat="1" ht="17.25" customHeight="1">
      <c r="A16" s="161"/>
      <c r="B16" s="30" t="s">
        <v>24</v>
      </c>
      <c r="C16" s="53">
        <v>7.4999999999999997E-3</v>
      </c>
      <c r="D16" s="62">
        <v>7.6E-3</v>
      </c>
      <c r="E16" s="7"/>
      <c r="F16" s="7"/>
      <c r="G16" s="32"/>
      <c r="H16"/>
      <c r="I16"/>
      <c r="K16" s="39">
        <v>0</v>
      </c>
      <c r="L16" s="38">
        <v>0</v>
      </c>
      <c r="M16" s="7"/>
      <c r="N16" s="7"/>
      <c r="O16" s="7"/>
      <c r="P16" s="7"/>
      <c r="Q16" s="7"/>
      <c r="R16" s="7"/>
      <c r="S16" s="7"/>
      <c r="T16" s="7"/>
      <c r="U16" s="13"/>
      <c r="V16" s="7"/>
      <c r="W16" s="7"/>
      <c r="X16" s="7"/>
      <c r="Y16" s="7"/>
      <c r="Z16" s="17"/>
      <c r="AA16" s="7"/>
      <c r="AB16" s="7"/>
      <c r="AC16" s="7"/>
    </row>
    <row r="17" spans="2:29" ht="28.5" customHeight="1">
      <c r="B17" s="30" t="s">
        <v>25</v>
      </c>
      <c r="C17" s="53">
        <v>5.4999999999999997E-3</v>
      </c>
      <c r="D17" s="62">
        <v>5.4000000000000003E-3</v>
      </c>
      <c r="E17" s="7"/>
      <c r="F17" s="7"/>
      <c r="G17" s="32" t="s">
        <v>14</v>
      </c>
      <c r="K17" s="40">
        <f>SUM(K14:K16)</f>
        <v>0</v>
      </c>
      <c r="L17" s="40">
        <f>SUM(L14:L16)</f>
        <v>-1.2999999999999999E-3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2:29">
      <c r="B18" s="30" t="s">
        <v>15</v>
      </c>
      <c r="C18" s="50">
        <v>4.4000000000000003E-3</v>
      </c>
      <c r="D18" s="64">
        <f t="shared" ref="D18:D22" si="1">+C18</f>
        <v>4.4000000000000003E-3</v>
      </c>
      <c r="E18" s="7"/>
      <c r="F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2:29">
      <c r="B19" s="30" t="s">
        <v>16</v>
      </c>
      <c r="C19" s="50">
        <v>1.1999999999999999E-3</v>
      </c>
      <c r="D19" s="64">
        <f t="shared" si="1"/>
        <v>1.1999999999999999E-3</v>
      </c>
      <c r="E19" s="7"/>
      <c r="F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2:29" ht="25.5">
      <c r="B20" s="30" t="s">
        <v>17</v>
      </c>
      <c r="C20" s="54">
        <v>0.25</v>
      </c>
      <c r="D20" s="53">
        <f t="shared" si="1"/>
        <v>0.25</v>
      </c>
      <c r="E20" s="7"/>
      <c r="F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2:29">
      <c r="B21" s="30" t="s">
        <v>18</v>
      </c>
      <c r="C21" s="55">
        <v>7.0000000000000001E-3</v>
      </c>
      <c r="D21" s="64">
        <f t="shared" si="1"/>
        <v>7.0000000000000001E-3</v>
      </c>
      <c r="E21" s="7"/>
      <c r="F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2:29" ht="15.75" thickBot="1">
      <c r="B22" s="31" t="s">
        <v>4</v>
      </c>
      <c r="C22" s="56">
        <v>1.0348999999999999</v>
      </c>
      <c r="D22" s="53">
        <f t="shared" si="1"/>
        <v>1.0348999999999999</v>
      </c>
      <c r="E22" s="7"/>
      <c r="F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2:29">
      <c r="B23" s="7"/>
      <c r="C23" s="7"/>
      <c r="D23" s="7"/>
      <c r="E23" s="87"/>
      <c r="F23" s="7"/>
      <c r="G23" s="7"/>
      <c r="H23" s="21"/>
      <c r="I23" s="21"/>
      <c r="J23" s="7"/>
      <c r="K23" s="20"/>
      <c r="L23" s="20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1"/>
      <c r="AA23" s="7"/>
      <c r="AB23" s="7"/>
      <c r="AC23" s="7"/>
    </row>
    <row r="24" spans="2:29" ht="15.75" thickBot="1">
      <c r="B24" s="161"/>
      <c r="C24" s="161"/>
      <c r="D24" s="161"/>
      <c r="E24" s="87"/>
      <c r="F24" s="8" t="s">
        <v>21</v>
      </c>
      <c r="G24" s="8"/>
      <c r="H24" s="22"/>
      <c r="I24" s="21"/>
      <c r="J24" s="7"/>
      <c r="K24" s="20"/>
      <c r="L24" s="20"/>
      <c r="M24" s="9"/>
      <c r="N24" s="9"/>
      <c r="O24" s="9"/>
      <c r="P24" s="9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2:29" ht="15.75" thickBot="1">
      <c r="B25" s="14" t="s">
        <v>1</v>
      </c>
      <c r="C25" s="45">
        <v>100</v>
      </c>
      <c r="D25" s="161" t="s">
        <v>0</v>
      </c>
      <c r="E25" s="87"/>
      <c r="F25" s="24" t="s">
        <v>8</v>
      </c>
      <c r="G25" s="25"/>
      <c r="H25" s="26">
        <v>0.64</v>
      </c>
      <c r="I25" s="1"/>
      <c r="J25" s="7"/>
      <c r="K25" s="20"/>
      <c r="L25" s="20"/>
      <c r="M25" s="2"/>
      <c r="N25" s="9"/>
      <c r="O25" s="3"/>
      <c r="P25" s="3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2:29" ht="15.75" thickBot="1">
      <c r="B26" s="16" t="s">
        <v>4</v>
      </c>
      <c r="C26" s="19">
        <v>1.0348999999999999</v>
      </c>
      <c r="D26" s="161"/>
      <c r="E26" s="15"/>
      <c r="F26" s="24" t="s">
        <v>9</v>
      </c>
      <c r="G26" s="25"/>
      <c r="H26" s="26">
        <v>0.18</v>
      </c>
      <c r="I26" s="1"/>
      <c r="J26" s="7"/>
      <c r="K26" s="20"/>
      <c r="L26" s="20"/>
      <c r="M26" s="4"/>
      <c r="N26" s="9"/>
      <c r="O26" s="10"/>
      <c r="P26" s="10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2:29" ht="15.75" thickBot="1">
      <c r="B27" s="14"/>
      <c r="C27" s="23"/>
      <c r="D27" s="161"/>
      <c r="E27" s="15"/>
      <c r="F27" s="24" t="s">
        <v>10</v>
      </c>
      <c r="G27" s="25"/>
      <c r="H27" s="26">
        <v>0.18</v>
      </c>
      <c r="I27" s="1"/>
      <c r="J27" s="7"/>
      <c r="K27" s="20"/>
      <c r="L27" s="20"/>
      <c r="M27" s="5"/>
      <c r="N27" s="11"/>
      <c r="O27" s="12"/>
      <c r="P27" s="6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2:29">
      <c r="B28" s="161"/>
      <c r="E28" s="18"/>
      <c r="F28" s="15"/>
      <c r="G28" s="8"/>
      <c r="H28" s="21"/>
      <c r="I28" s="21"/>
      <c r="J28" s="7"/>
      <c r="K28" s="20"/>
      <c r="L28" s="20"/>
      <c r="M28" s="5"/>
      <c r="N28" s="11"/>
      <c r="O28" s="77"/>
      <c r="P28" s="71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2:29" ht="9.75" customHeight="1">
      <c r="O29" s="171"/>
      <c r="P29" s="17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  <c r="O30" s="171"/>
      <c r="P30" s="171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  <c r="O31" s="171"/>
      <c r="P31" s="171"/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  <c r="O32" s="171"/>
      <c r="P32" s="171"/>
    </row>
    <row r="33" spans="2:15">
      <c r="B33" s="265" t="s">
        <v>52</v>
      </c>
      <c r="C33" s="142">
        <f>+C10</f>
        <v>9.9600000000000009</v>
      </c>
      <c r="D33" s="90">
        <v>1</v>
      </c>
      <c r="E33" s="120">
        <f>+C33*D33</f>
        <v>9.9600000000000009</v>
      </c>
      <c r="F33" s="91"/>
      <c r="G33" s="142">
        <f>+D10</f>
        <v>10.09</v>
      </c>
      <c r="H33" s="92">
        <v>1</v>
      </c>
      <c r="I33" s="189">
        <f>+G33*H33</f>
        <v>10.09</v>
      </c>
      <c r="J33" s="200"/>
      <c r="K33" s="190">
        <f>+I33-E33</f>
        <v>0.12999999999999901</v>
      </c>
      <c r="L33" s="133">
        <f>IF((E33)=0,"",(K33/E33))</f>
        <v>1.3052208835341264E-2</v>
      </c>
    </row>
    <row r="34" spans="2:15">
      <c r="B34" s="265" t="s">
        <v>12</v>
      </c>
      <c r="C34" s="290">
        <f>+C13</f>
        <v>1.4500000000000001E-2</v>
      </c>
      <c r="D34" s="93">
        <f>+$C$25</f>
        <v>100</v>
      </c>
      <c r="E34" s="120">
        <f>+C34*D34</f>
        <v>1.4500000000000002</v>
      </c>
      <c r="F34" s="91"/>
      <c r="G34" s="110">
        <f>+D13</f>
        <v>1.47E-2</v>
      </c>
      <c r="H34" s="94">
        <f>+$C$25</f>
        <v>100</v>
      </c>
      <c r="I34" s="189">
        <f t="shared" ref="I34:I36" si="2">+G34*H34</f>
        <v>1.47</v>
      </c>
      <c r="J34" s="200"/>
      <c r="K34" s="190">
        <f t="shared" ref="K34:K37" si="3">+I34-E34</f>
        <v>1.9999999999999796E-2</v>
      </c>
      <c r="L34" s="133">
        <f t="shared" ref="L34:L41" si="4">IF((E34)=0,"",(K34/E34))</f>
        <v>1.379310344827572E-2</v>
      </c>
    </row>
    <row r="35" spans="2:15">
      <c r="B35" s="266" t="s">
        <v>53</v>
      </c>
      <c r="C35" s="110">
        <f>+K10</f>
        <v>0.56999999999999995</v>
      </c>
      <c r="D35" s="90">
        <v>1</v>
      </c>
      <c r="E35" s="120">
        <f>+C35*D35</f>
        <v>0.56999999999999995</v>
      </c>
      <c r="F35" s="91"/>
      <c r="G35" s="110">
        <f>+L10</f>
        <v>0.55000000000000004</v>
      </c>
      <c r="H35" s="92">
        <v>1</v>
      </c>
      <c r="I35" s="189">
        <f t="shared" si="2"/>
        <v>0.55000000000000004</v>
      </c>
      <c r="J35" s="200"/>
      <c r="K35" s="190">
        <f t="shared" si="3"/>
        <v>-1.9999999999999907E-2</v>
      </c>
      <c r="L35" s="133">
        <f t="shared" si="4"/>
        <v>-3.5087719298245452E-2</v>
      </c>
    </row>
    <row r="36" spans="2:15">
      <c r="B36" s="267" t="s">
        <v>54</v>
      </c>
      <c r="C36" s="111">
        <v>0</v>
      </c>
      <c r="D36" s="93">
        <f>+$C$25</f>
        <v>100</v>
      </c>
      <c r="E36" s="121">
        <v>0</v>
      </c>
      <c r="F36" s="91"/>
      <c r="G36" s="111">
        <v>0</v>
      </c>
      <c r="H36" s="94">
        <f>+$C$25</f>
        <v>100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11.98</v>
      </c>
      <c r="F37" s="150"/>
      <c r="G37" s="147"/>
      <c r="H37" s="100"/>
      <c r="I37" s="201">
        <f>SUM(I33:I36)</f>
        <v>12.110000000000001</v>
      </c>
      <c r="J37" s="202"/>
      <c r="K37" s="197">
        <f t="shared" si="3"/>
        <v>0.13000000000000078</v>
      </c>
      <c r="L37" s="153">
        <f t="shared" si="4"/>
        <v>1.0851419031719597E-2</v>
      </c>
    </row>
    <row r="38" spans="2:15">
      <c r="B38" s="268" t="s">
        <v>56</v>
      </c>
      <c r="C38" s="156">
        <f>+C7*H25+C8*H26+C9*H27</f>
        <v>8.3919999999999995E-2</v>
      </c>
      <c r="D38" s="95">
        <f>+C25*(C26-1)</f>
        <v>3.4899999999999931</v>
      </c>
      <c r="E38" s="120">
        <f>+C38*D38</f>
        <v>0.29288079999999939</v>
      </c>
      <c r="F38" s="91"/>
      <c r="G38" s="215">
        <f>+D7*H25+D8*H26+D9*H27</f>
        <v>8.3919999999999995E-2</v>
      </c>
      <c r="H38" s="95">
        <f>+C25*(C26-1)</f>
        <v>3.4899999999999931</v>
      </c>
      <c r="I38" s="189">
        <f>+G38*H38</f>
        <v>0.29288079999999939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100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100</v>
      </c>
      <c r="I39" s="189">
        <f t="shared" ref="I39:I41" si="6">+G39*H39</f>
        <v>-0.13</v>
      </c>
      <c r="J39" s="200"/>
      <c r="K39" s="190">
        <f t="shared" ref="K39:K41" si="7">+I39-E39</f>
        <v>-0.13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100</v>
      </c>
      <c r="E40" s="120">
        <v>0</v>
      </c>
      <c r="F40" s="91"/>
      <c r="G40" s="110"/>
      <c r="H40" s="94">
        <f t="shared" si="5"/>
        <v>100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13.062880799999999</v>
      </c>
      <c r="F42" s="91"/>
      <c r="G42" s="96"/>
      <c r="H42" s="97"/>
      <c r="I42" s="203">
        <f>SUM(I37:I41)</f>
        <v>13.062880799999999</v>
      </c>
      <c r="J42" s="200"/>
      <c r="K42" s="198">
        <f>+I42-E42</f>
        <v>0</v>
      </c>
      <c r="L42" s="145">
        <f>IF((E42)=0,"",(K42/E42))</f>
        <v>0</v>
      </c>
      <c r="O42" s="144"/>
    </row>
    <row r="43" spans="2:15">
      <c r="B43" s="270" t="s">
        <v>60</v>
      </c>
      <c r="C43" s="110">
        <f>+C16</f>
        <v>7.4999999999999997E-3</v>
      </c>
      <c r="D43" s="98">
        <f>+$C$25*$C$26</f>
        <v>103.49</v>
      </c>
      <c r="E43" s="120">
        <f>+C43*D43</f>
        <v>0.77617499999999995</v>
      </c>
      <c r="F43" s="91"/>
      <c r="G43" s="110">
        <f>+D16</f>
        <v>7.6E-3</v>
      </c>
      <c r="H43" s="99">
        <f>+$C$25*$C$26</f>
        <v>103.49</v>
      </c>
      <c r="I43" s="189">
        <f>+G43*H43</f>
        <v>0.786524</v>
      </c>
      <c r="J43" s="200"/>
      <c r="K43" s="190">
        <f t="shared" ref="K43:K44" si="8">+I43-E43</f>
        <v>1.0349000000000053E-2</v>
      </c>
      <c r="L43" s="133">
        <f t="shared" ref="L43:L44" si="9">IF((E43)=0,"",(K43/E43))</f>
        <v>1.3333333333333402E-2</v>
      </c>
    </row>
    <row r="44" spans="2:15" ht="30" customHeight="1">
      <c r="B44" s="271" t="s">
        <v>61</v>
      </c>
      <c r="C44" s="110">
        <f>+C17</f>
        <v>5.4999999999999997E-3</v>
      </c>
      <c r="D44" s="98">
        <f>+$C$25*$C$26</f>
        <v>103.49</v>
      </c>
      <c r="E44" s="120">
        <f>+C44*D44</f>
        <v>0.5691949999999999</v>
      </c>
      <c r="F44" s="91"/>
      <c r="G44" s="110">
        <v>5.4000000000000003E-3</v>
      </c>
      <c r="H44" s="99">
        <f>+$C$25*$C$26</f>
        <v>103.49</v>
      </c>
      <c r="I44" s="189">
        <f>+G44*H44</f>
        <v>0.55884599999999995</v>
      </c>
      <c r="J44" s="200"/>
      <c r="K44" s="190">
        <f t="shared" si="8"/>
        <v>-1.0348999999999942E-2</v>
      </c>
      <c r="L44" s="133">
        <f t="shared" si="9"/>
        <v>-1.8181818181818084E-2</v>
      </c>
    </row>
    <row r="45" spans="2:15">
      <c r="B45" s="119" t="s">
        <v>62</v>
      </c>
      <c r="C45" s="96"/>
      <c r="D45" s="96"/>
      <c r="E45" s="122">
        <f>SUM(E42:E44)</f>
        <v>14.408250799999999</v>
      </c>
      <c r="F45" s="91"/>
      <c r="G45" s="100"/>
      <c r="H45" s="101"/>
      <c r="I45" s="203">
        <f>SUM(I42:I44)</f>
        <v>14.408250799999998</v>
      </c>
      <c r="J45" s="200"/>
      <c r="K45" s="198">
        <f>+I45-E45</f>
        <v>0</v>
      </c>
      <c r="L45" s="145">
        <f>IF((E45)=0,"",(K45/E45))</f>
        <v>0</v>
      </c>
    </row>
    <row r="46" spans="2:15">
      <c r="B46" s="272" t="s">
        <v>63</v>
      </c>
      <c r="C46" s="112">
        <f>+C18</f>
        <v>4.4000000000000003E-3</v>
      </c>
      <c r="D46" s="98">
        <f>+$C$25*$C$26</f>
        <v>103.49</v>
      </c>
      <c r="E46" s="123">
        <f>+C46*D46</f>
        <v>0.45535599999999998</v>
      </c>
      <c r="F46" s="91"/>
      <c r="G46" s="112">
        <f>+D18</f>
        <v>4.4000000000000003E-3</v>
      </c>
      <c r="H46" s="99">
        <f>+$C$25*$C$26</f>
        <v>103.49</v>
      </c>
      <c r="I46" s="204">
        <f>+G46*H46</f>
        <v>0.45535599999999998</v>
      </c>
      <c r="J46" s="200"/>
      <c r="K46" s="190">
        <f t="shared" ref="K46:K52" si="10">+I46-E46</f>
        <v>0</v>
      </c>
      <c r="L46" s="133">
        <f t="shared" ref="L46:L52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>+$C$25*$C$26</f>
        <v>103.49</v>
      </c>
      <c r="E47" s="123">
        <f t="shared" ref="E47:E52" si="13">+C47*D47</f>
        <v>0.12418799999999998</v>
      </c>
      <c r="F47" s="91"/>
      <c r="G47" s="112">
        <f t="shared" ref="G47:G49" si="14">+D19</f>
        <v>1.1999999999999999E-3</v>
      </c>
      <c r="H47" s="99">
        <f>+$C$25*$C$26</f>
        <v>103.49</v>
      </c>
      <c r="I47" s="204">
        <f t="shared" ref="I47:I52" si="15">+G47*H47</f>
        <v>0.12418799999999998</v>
      </c>
      <c r="J47" s="200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23">
        <f t="shared" si="13"/>
        <v>0.25</v>
      </c>
      <c r="F48" s="91"/>
      <c r="G48" s="112">
        <f t="shared" si="14"/>
        <v>0.25</v>
      </c>
      <c r="H48" s="99">
        <v>1</v>
      </c>
      <c r="I48" s="204">
        <f t="shared" si="15"/>
        <v>0.25</v>
      </c>
      <c r="J48" s="200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100</v>
      </c>
      <c r="E49" s="123">
        <f t="shared" si="13"/>
        <v>0.70000000000000007</v>
      </c>
      <c r="F49" s="91"/>
      <c r="G49" s="112">
        <f t="shared" si="14"/>
        <v>7.0000000000000001E-3</v>
      </c>
      <c r="H49" s="99">
        <f>+$C$25</f>
        <v>100</v>
      </c>
      <c r="I49" s="204">
        <f t="shared" si="15"/>
        <v>0.70000000000000007</v>
      </c>
      <c r="J49" s="200"/>
      <c r="K49" s="190">
        <f t="shared" si="10"/>
        <v>0</v>
      </c>
      <c r="L49" s="133">
        <f t="shared" si="11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64</v>
      </c>
      <c r="E50" s="123">
        <f t="shared" si="13"/>
        <v>4.2880000000000003</v>
      </c>
      <c r="F50" s="91"/>
      <c r="G50" s="102">
        <f>+$C$7</f>
        <v>6.7000000000000004E-2</v>
      </c>
      <c r="H50" s="98">
        <f>+$C$25*H25</f>
        <v>64</v>
      </c>
      <c r="I50" s="204">
        <f t="shared" si="15"/>
        <v>4.2880000000000003</v>
      </c>
      <c r="J50" s="200"/>
      <c r="K50" s="190">
        <f t="shared" si="10"/>
        <v>0</v>
      </c>
      <c r="L50" s="133">
        <f t="shared" si="11"/>
        <v>0</v>
      </c>
    </row>
    <row r="51" spans="2:12">
      <c r="B51" s="269" t="s">
        <v>9</v>
      </c>
      <c r="C51" s="102">
        <f>+$C$8</f>
        <v>0.104</v>
      </c>
      <c r="D51" s="98">
        <f t="shared" ref="D51:D52" si="16">+$C$25*H26</f>
        <v>18</v>
      </c>
      <c r="E51" s="123">
        <f t="shared" si="13"/>
        <v>1.8719999999999999</v>
      </c>
      <c r="F51" s="91"/>
      <c r="G51" s="102">
        <f>+$C$8</f>
        <v>0.104</v>
      </c>
      <c r="H51" s="98">
        <f>+$C$25*H26</f>
        <v>18</v>
      </c>
      <c r="I51" s="204">
        <f t="shared" si="15"/>
        <v>1.8719999999999999</v>
      </c>
      <c r="J51" s="200"/>
      <c r="K51" s="190">
        <f t="shared" si="10"/>
        <v>0</v>
      </c>
      <c r="L51" s="133">
        <f t="shared" si="11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6"/>
        <v>18</v>
      </c>
      <c r="E52" s="123">
        <f t="shared" si="13"/>
        <v>2.2320000000000002</v>
      </c>
      <c r="F52" s="91"/>
      <c r="G52" s="102">
        <f>+$C$9</f>
        <v>0.124</v>
      </c>
      <c r="H52" s="98">
        <f>+$C$25*H27</f>
        <v>18</v>
      </c>
      <c r="I52" s="204">
        <f t="shared" si="15"/>
        <v>2.2320000000000002</v>
      </c>
      <c r="J52" s="200"/>
      <c r="K52" s="190">
        <f t="shared" si="10"/>
        <v>0</v>
      </c>
      <c r="L52" s="133">
        <f t="shared" si="11"/>
        <v>0</v>
      </c>
    </row>
    <row r="53" spans="2:12" s="161" customFormat="1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24.329794799999998</v>
      </c>
      <c r="F54" s="136"/>
      <c r="G54" s="137"/>
      <c r="H54" s="137"/>
      <c r="I54" s="207">
        <f>SUM(I45:I52)</f>
        <v>24.329794799999995</v>
      </c>
      <c r="J54" s="208"/>
      <c r="K54" s="194">
        <f>+I54-E54</f>
        <v>0</v>
      </c>
      <c r="L54" s="154">
        <f t="shared" ref="L54:L56" si="17">IF((E54)=0,"",(K54/E54))</f>
        <v>0</v>
      </c>
    </row>
    <row r="55" spans="2:12">
      <c r="B55" s="276" t="s">
        <v>19</v>
      </c>
      <c r="C55" s="134">
        <v>0.13</v>
      </c>
      <c r="D55" s="138"/>
      <c r="E55" s="126">
        <f>+E54*C55</f>
        <v>3.162873324</v>
      </c>
      <c r="F55" s="90"/>
      <c r="G55" s="134">
        <v>0.13</v>
      </c>
      <c r="H55" s="90"/>
      <c r="I55" s="209">
        <f>+I54*G55</f>
        <v>3.1628733239999995</v>
      </c>
      <c r="J55" s="210"/>
      <c r="K55" s="195">
        <f t="shared" ref="K55:K58" si="18">+I55-E55</f>
        <v>0</v>
      </c>
      <c r="L55" s="146">
        <f t="shared" si="17"/>
        <v>0</v>
      </c>
    </row>
    <row r="56" spans="2:12">
      <c r="B56" s="277" t="s">
        <v>67</v>
      </c>
      <c r="C56" s="90"/>
      <c r="D56" s="138"/>
      <c r="E56" s="126">
        <f>SUM(E54:E55)</f>
        <v>27.492668123999998</v>
      </c>
      <c r="F56" s="90"/>
      <c r="G56" s="90"/>
      <c r="H56" s="90"/>
      <c r="I56" s="209">
        <f>SUM(I54:I55)</f>
        <v>27.492668123999994</v>
      </c>
      <c r="J56" s="210"/>
      <c r="K56" s="195">
        <f t="shared" si="18"/>
        <v>0</v>
      </c>
      <c r="L56" s="146">
        <f t="shared" si="17"/>
        <v>0</v>
      </c>
    </row>
    <row r="57" spans="2:12">
      <c r="B57" s="278" t="s">
        <v>68</v>
      </c>
      <c r="C57" s="90"/>
      <c r="D57" s="138"/>
      <c r="E57" s="214">
        <f>-E56*0.1</f>
        <v>-2.7492668124000001</v>
      </c>
      <c r="F57" s="90"/>
      <c r="G57" s="90"/>
      <c r="H57" s="90"/>
      <c r="I57" s="211">
        <f>-I56*0.1</f>
        <v>-2.7492668123999997</v>
      </c>
      <c r="J57" s="210"/>
      <c r="K57" s="199">
        <f t="shared" si="18"/>
        <v>0</v>
      </c>
      <c r="L57" s="146">
        <f>IF((E57)=0,"",(K57/E57))</f>
        <v>0</v>
      </c>
    </row>
    <row r="58" spans="2:12" ht="15.75" thickBot="1">
      <c r="B58" s="279" t="s">
        <v>20</v>
      </c>
      <c r="C58" s="238"/>
      <c r="D58" s="239"/>
      <c r="E58" s="240">
        <f>SUM(E56:E57)</f>
        <v>24.743401311599996</v>
      </c>
      <c r="F58" s="241"/>
      <c r="G58" s="241"/>
      <c r="H58" s="241"/>
      <c r="I58" s="242">
        <f>SUM(I56:I57)</f>
        <v>24.743401311599996</v>
      </c>
      <c r="J58" s="243"/>
      <c r="K58" s="244">
        <f t="shared" si="18"/>
        <v>0</v>
      </c>
      <c r="L58" s="245">
        <f>IF((E58)=0,"",(K58/E58))</f>
        <v>0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1" spans="2:12">
      <c r="E61" s="144"/>
    </row>
    <row r="62" spans="2:12">
      <c r="I62" s="144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"/>
      <c r="K63" s="1"/>
      <c r="L63" s="1"/>
    </row>
  </sheetData>
  <mergeCells count="7">
    <mergeCell ref="B63:I63"/>
    <mergeCell ref="B1:K1"/>
    <mergeCell ref="L31:L32"/>
    <mergeCell ref="K31:K32"/>
    <mergeCell ref="C30:E30"/>
    <mergeCell ref="G30:I30"/>
    <mergeCell ref="K30:L30"/>
  </mergeCells>
  <pageMargins left="0.7" right="0.7" top="0.75" bottom="0.75" header="0.3" footer="0.3"/>
  <pageSetup scale="55" orientation="portrait" r:id="rId1"/>
  <ignoredErrors>
    <ignoredError sqref="C34:I44 C58:I58 C57:D57 F57:H57 C46:I56 C45:D45 F45:I45 D33:I33" unlockedFormula="1"/>
    <ignoredError sqref="I57 E57 E45" formula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AC63"/>
  <sheetViews>
    <sheetView showGridLines="0" zoomScale="85" zoomScaleNormal="85" workbookViewId="0">
      <selection sqref="A1:M72"/>
    </sheetView>
  </sheetViews>
  <sheetFormatPr defaultRowHeight="15"/>
  <cols>
    <col min="1" max="1" width="4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4" style="65" customWidth="1"/>
    <col min="14" max="16384" width="9.140625" style="65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7.17</v>
      </c>
      <c r="L8" s="58">
        <v>7.17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6.16</v>
      </c>
      <c r="L9" s="143">
        <v>6.16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17.98</v>
      </c>
      <c r="D10" s="59">
        <v>18.21</v>
      </c>
      <c r="E10" s="72"/>
      <c r="F10" s="72"/>
      <c r="K10" s="144">
        <f>SUM(K7:K9)</f>
        <v>13.35</v>
      </c>
      <c r="L10" s="144">
        <f>SUM(L7:L9)</f>
        <v>13.33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13.35</v>
      </c>
      <c r="D11" s="51">
        <f>+L10</f>
        <v>13.33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1.5800000000000002E-2</v>
      </c>
      <c r="D13" s="60">
        <v>1.6E-2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6.7000000000000002E-3</v>
      </c>
      <c r="D16" s="62">
        <v>6.7999999999999996E-3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4.7000000000000002E-3</v>
      </c>
      <c r="D17" s="62">
        <v>4.5999999999999999E-3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161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5000</v>
      </c>
      <c r="D25" s="161" t="s">
        <v>0</v>
      </c>
      <c r="E25" s="161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16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161"/>
      <c r="C27" s="161"/>
      <c r="D27" s="161"/>
      <c r="E27" s="16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161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17.98</v>
      </c>
      <c r="D33" s="90">
        <v>1</v>
      </c>
      <c r="E33" s="120">
        <f>+C33*D33</f>
        <v>17.98</v>
      </c>
      <c r="F33" s="91"/>
      <c r="G33" s="142">
        <f>+D10</f>
        <v>18.21</v>
      </c>
      <c r="H33" s="92">
        <v>1</v>
      </c>
      <c r="I33" s="189">
        <f>+G33*H33</f>
        <v>18.21</v>
      </c>
      <c r="J33" s="200"/>
      <c r="K33" s="190">
        <f>+I33-E33</f>
        <v>0.23000000000000043</v>
      </c>
      <c r="L33" s="133">
        <f>IF((E33)=0,"",(K33/E33))</f>
        <v>1.2791991101223605E-2</v>
      </c>
    </row>
    <row r="34" spans="2:15">
      <c r="B34" s="265" t="s">
        <v>12</v>
      </c>
      <c r="C34" s="110">
        <f>+C13</f>
        <v>1.5800000000000002E-2</v>
      </c>
      <c r="D34" s="93">
        <f>+$C$25</f>
        <v>5000</v>
      </c>
      <c r="E34" s="120">
        <f>+C34*D34</f>
        <v>79.000000000000014</v>
      </c>
      <c r="F34" s="91"/>
      <c r="G34" s="110">
        <f>+D13</f>
        <v>1.6E-2</v>
      </c>
      <c r="H34" s="94">
        <f>+$C$25</f>
        <v>5000</v>
      </c>
      <c r="I34" s="189">
        <f t="shared" ref="I34:I36" si="2">+G34*H34</f>
        <v>80</v>
      </c>
      <c r="J34" s="200"/>
      <c r="K34" s="190">
        <f t="shared" ref="K34:K37" si="3">+I34-E34</f>
        <v>0.99999999999998579</v>
      </c>
      <c r="L34" s="133">
        <f t="shared" ref="L34:L41" si="4">IF((E34)=0,"",(K34/E34))</f>
        <v>1.2658227848101083E-2</v>
      </c>
    </row>
    <row r="35" spans="2:15">
      <c r="B35" s="266" t="s">
        <v>53</v>
      </c>
      <c r="C35" s="160">
        <f>+K10</f>
        <v>13.35</v>
      </c>
      <c r="D35" s="90">
        <v>1</v>
      </c>
      <c r="E35" s="120">
        <f>+C35*D35</f>
        <v>13.35</v>
      </c>
      <c r="F35" s="91"/>
      <c r="G35" s="160">
        <f>+L10</f>
        <v>13.33</v>
      </c>
      <c r="H35" s="92">
        <v>1</v>
      </c>
      <c r="I35" s="189">
        <f t="shared" si="2"/>
        <v>13.33</v>
      </c>
      <c r="J35" s="200"/>
      <c r="K35" s="190">
        <f t="shared" si="3"/>
        <v>-1.9999999999999574E-2</v>
      </c>
      <c r="L35" s="133">
        <f t="shared" si="4"/>
        <v>-1.4981273408239382E-3</v>
      </c>
    </row>
    <row r="36" spans="2:15">
      <c r="B36" s="267" t="s">
        <v>54</v>
      </c>
      <c r="C36" s="111">
        <v>0</v>
      </c>
      <c r="D36" s="93">
        <f>+$C$25</f>
        <v>5000</v>
      </c>
      <c r="E36" s="121">
        <v>0</v>
      </c>
      <c r="F36" s="91"/>
      <c r="G36" s="111">
        <v>0</v>
      </c>
      <c r="H36" s="94">
        <f>+$C$25</f>
        <v>5000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110.33000000000001</v>
      </c>
      <c r="F37" s="150"/>
      <c r="G37" s="147"/>
      <c r="H37" s="100"/>
      <c r="I37" s="201">
        <f>SUM(I33:I36)</f>
        <v>111.54</v>
      </c>
      <c r="J37" s="202"/>
      <c r="K37" s="197">
        <f t="shared" si="3"/>
        <v>1.2099999999999937</v>
      </c>
      <c r="L37" s="153">
        <f t="shared" si="4"/>
        <v>1.0967098703888277E-2</v>
      </c>
    </row>
    <row r="38" spans="2:15">
      <c r="B38" s="268" t="s">
        <v>56</v>
      </c>
      <c r="C38" s="156">
        <f>+C7*H25+C8*H26+C9*H27</f>
        <v>8.3919999999999995E-2</v>
      </c>
      <c r="D38" s="95">
        <f>+ROUND(C25*(C26-1),2)</f>
        <v>174.5</v>
      </c>
      <c r="E38" s="159">
        <f>+C38*D38</f>
        <v>14.644039999999999</v>
      </c>
      <c r="F38" s="91"/>
      <c r="G38" s="156">
        <f>+C7*H25+C8*H26+C9*H27</f>
        <v>8.3919999999999995E-2</v>
      </c>
      <c r="H38" s="95">
        <f>+ROUND(C25*(C26-1),2)</f>
        <v>174.5</v>
      </c>
      <c r="I38" s="189">
        <f>+G38*H38</f>
        <v>14.644039999999999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5000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5000</v>
      </c>
      <c r="I39" s="189">
        <f t="shared" ref="I39:I41" si="6">+G39*H39</f>
        <v>-6.5</v>
      </c>
      <c r="J39" s="200"/>
      <c r="K39" s="190">
        <f t="shared" ref="K39:K41" si="7">+I39-E39</f>
        <v>-6.5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5000</v>
      </c>
      <c r="E40" s="120">
        <v>0</v>
      </c>
      <c r="F40" s="91"/>
      <c r="G40" s="110"/>
      <c r="H40" s="94">
        <f t="shared" si="5"/>
        <v>5000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125.76404000000002</v>
      </c>
      <c r="F42" s="91"/>
      <c r="G42" s="96"/>
      <c r="H42" s="97"/>
      <c r="I42" s="203">
        <f>SUM(I37:I41)</f>
        <v>120.47404000000002</v>
      </c>
      <c r="J42" s="200"/>
      <c r="K42" s="198">
        <f>+I42-E42</f>
        <v>-5.2900000000000063</v>
      </c>
      <c r="L42" s="145">
        <f>IF((E42)=0,"",(K42/E42))</f>
        <v>-4.2062898106644833E-2</v>
      </c>
      <c r="O42" s="144"/>
    </row>
    <row r="43" spans="2:15">
      <c r="B43" s="270" t="s">
        <v>60</v>
      </c>
      <c r="C43" s="110">
        <f>+C16</f>
        <v>6.7000000000000002E-3</v>
      </c>
      <c r="D43" s="98">
        <f>+ROUND($C$25*$C$26,2)</f>
        <v>5174.5</v>
      </c>
      <c r="E43" s="120">
        <f>+C43*D43</f>
        <v>34.669150000000002</v>
      </c>
      <c r="F43" s="91"/>
      <c r="G43" s="110">
        <f>+D16</f>
        <v>6.7999999999999996E-3</v>
      </c>
      <c r="H43" s="98">
        <f>+ROUND($C$25*$C$26,2)</f>
        <v>5174.5</v>
      </c>
      <c r="I43" s="189">
        <f>+G43*H43</f>
        <v>35.186599999999999</v>
      </c>
      <c r="J43" s="200"/>
      <c r="K43" s="190">
        <f t="shared" ref="K43:K44" si="8">+I43-E43</f>
        <v>0.51744999999999663</v>
      </c>
      <c r="L43" s="133">
        <f t="shared" ref="L43:L44" si="9">IF((E43)=0,"",(K43/E43))</f>
        <v>1.4925373134328261E-2</v>
      </c>
    </row>
    <row r="44" spans="2:15" ht="30" customHeight="1">
      <c r="B44" s="271" t="s">
        <v>61</v>
      </c>
      <c r="C44" s="110">
        <f>+C17</f>
        <v>4.7000000000000002E-3</v>
      </c>
      <c r="D44" s="98">
        <f>+ROUND($C$25*$C$26,2)</f>
        <v>5174.5</v>
      </c>
      <c r="E44" s="120">
        <f>+C44*D44</f>
        <v>24.320150000000002</v>
      </c>
      <c r="F44" s="91"/>
      <c r="G44" s="110">
        <f>+D17</f>
        <v>4.5999999999999999E-3</v>
      </c>
      <c r="H44" s="98">
        <f>+ROUND($C$25*$C$26,2)</f>
        <v>5174.5</v>
      </c>
      <c r="I44" s="189">
        <f>+G44*H44</f>
        <v>23.802699999999998</v>
      </c>
      <c r="J44" s="200"/>
      <c r="K44" s="190">
        <f t="shared" si="8"/>
        <v>-0.51745000000000374</v>
      </c>
      <c r="L44" s="133">
        <f t="shared" si="9"/>
        <v>-2.1276595744681003E-2</v>
      </c>
    </row>
    <row r="45" spans="2:15">
      <c r="B45" s="119" t="s">
        <v>62</v>
      </c>
      <c r="C45" s="96"/>
      <c r="D45" s="96"/>
      <c r="E45" s="122">
        <f>SUM(E42:E44)</f>
        <v>184.75334000000004</v>
      </c>
      <c r="F45" s="91"/>
      <c r="G45" s="100"/>
      <c r="H45" s="101"/>
      <c r="I45" s="203">
        <f>SUM(I42:I44)</f>
        <v>179.46333999999999</v>
      </c>
      <c r="J45" s="200"/>
      <c r="K45" s="198">
        <f>+I45-E45</f>
        <v>-5.2900000000000489</v>
      </c>
      <c r="L45" s="145">
        <f>IF((E45)=0,"",(K45/E45))</f>
        <v>-2.8632770590236948E-2</v>
      </c>
    </row>
    <row r="46" spans="2:15">
      <c r="B46" s="272" t="s">
        <v>63</v>
      </c>
      <c r="C46" s="112">
        <f>+C18</f>
        <v>4.4000000000000003E-3</v>
      </c>
      <c r="D46" s="98">
        <f t="shared" ref="D46:D47" si="10">+ROUND($C$25*$C$26,2)</f>
        <v>5174.5</v>
      </c>
      <c r="E46" s="123">
        <f>+C46*D46</f>
        <v>22.767800000000001</v>
      </c>
      <c r="F46" s="91"/>
      <c r="G46" s="112">
        <f>+D18</f>
        <v>4.4000000000000003E-3</v>
      </c>
      <c r="H46" s="98">
        <f t="shared" ref="H46:H47" si="11">+ROUND($C$25*$C$26,2)</f>
        <v>5174.5</v>
      </c>
      <c r="I46" s="204">
        <f>+G46*H46</f>
        <v>22.767800000000001</v>
      </c>
      <c r="J46" s="200"/>
      <c r="K46" s="190">
        <f t="shared" ref="K46:K52" si="12">+I46-E46</f>
        <v>0</v>
      </c>
      <c r="L46" s="133">
        <f t="shared" ref="L46:L52" si="13">IF((E46)=0,"",(K46/E46))</f>
        <v>0</v>
      </c>
    </row>
    <row r="47" spans="2:15">
      <c r="B47" s="272" t="s">
        <v>64</v>
      </c>
      <c r="C47" s="112">
        <f t="shared" ref="C47:C49" si="14">+C19</f>
        <v>1.1999999999999999E-3</v>
      </c>
      <c r="D47" s="98">
        <f t="shared" si="10"/>
        <v>5174.5</v>
      </c>
      <c r="E47" s="123">
        <f t="shared" ref="E47:E52" si="15">+C47*D47</f>
        <v>6.2093999999999996</v>
      </c>
      <c r="F47" s="91"/>
      <c r="G47" s="112">
        <f t="shared" ref="G47:G49" si="16">+D19</f>
        <v>1.1999999999999999E-3</v>
      </c>
      <c r="H47" s="98">
        <f t="shared" si="11"/>
        <v>5174.5</v>
      </c>
      <c r="I47" s="204">
        <f t="shared" ref="I47:I52" si="17">+G47*H47</f>
        <v>6.2093999999999996</v>
      </c>
      <c r="J47" s="200"/>
      <c r="K47" s="190">
        <f t="shared" si="12"/>
        <v>0</v>
      </c>
      <c r="L47" s="133">
        <f t="shared" si="13"/>
        <v>0</v>
      </c>
    </row>
    <row r="48" spans="2:15">
      <c r="B48" s="265" t="s">
        <v>65</v>
      </c>
      <c r="C48" s="112">
        <f t="shared" si="14"/>
        <v>0.25</v>
      </c>
      <c r="D48" s="98">
        <v>1</v>
      </c>
      <c r="E48" s="123">
        <f t="shared" si="15"/>
        <v>0.25</v>
      </c>
      <c r="F48" s="91"/>
      <c r="G48" s="112">
        <f t="shared" si="16"/>
        <v>0.25</v>
      </c>
      <c r="H48" s="99">
        <v>1</v>
      </c>
      <c r="I48" s="204">
        <f t="shared" si="17"/>
        <v>0.25</v>
      </c>
      <c r="J48" s="200"/>
      <c r="K48" s="190">
        <f t="shared" si="12"/>
        <v>0</v>
      </c>
      <c r="L48" s="133">
        <f t="shared" si="13"/>
        <v>0</v>
      </c>
    </row>
    <row r="49" spans="2:12">
      <c r="B49" s="265" t="s">
        <v>18</v>
      </c>
      <c r="C49" s="112">
        <f t="shared" si="14"/>
        <v>7.0000000000000001E-3</v>
      </c>
      <c r="D49" s="93">
        <f>+$C$25</f>
        <v>5000</v>
      </c>
      <c r="E49" s="123">
        <f t="shared" si="15"/>
        <v>35</v>
      </c>
      <c r="F49" s="91"/>
      <c r="G49" s="112">
        <f t="shared" si="16"/>
        <v>7.0000000000000001E-3</v>
      </c>
      <c r="H49" s="99">
        <f>+$C$25</f>
        <v>5000</v>
      </c>
      <c r="I49" s="204">
        <f t="shared" si="17"/>
        <v>35</v>
      </c>
      <c r="J49" s="200"/>
      <c r="K49" s="190">
        <f t="shared" si="12"/>
        <v>0</v>
      </c>
      <c r="L49" s="133">
        <f t="shared" si="13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3200</v>
      </c>
      <c r="E50" s="123">
        <f t="shared" si="15"/>
        <v>214.4</v>
      </c>
      <c r="F50" s="91"/>
      <c r="G50" s="102">
        <f>+D7</f>
        <v>6.7000000000000004E-2</v>
      </c>
      <c r="H50" s="98">
        <f>+$C$25*H25</f>
        <v>3200</v>
      </c>
      <c r="I50" s="204">
        <f t="shared" si="17"/>
        <v>214.4</v>
      </c>
      <c r="J50" s="200"/>
      <c r="K50" s="190">
        <f t="shared" si="12"/>
        <v>0</v>
      </c>
      <c r="L50" s="133">
        <f t="shared" si="13"/>
        <v>0</v>
      </c>
    </row>
    <row r="51" spans="2:12">
      <c r="B51" s="269" t="s">
        <v>9</v>
      </c>
      <c r="C51" s="102">
        <f>+$C$8</f>
        <v>0.104</v>
      </c>
      <c r="D51" s="98">
        <f t="shared" ref="D51:D52" si="18">+$C$25*H26</f>
        <v>900</v>
      </c>
      <c r="E51" s="123">
        <f t="shared" si="15"/>
        <v>93.6</v>
      </c>
      <c r="F51" s="91"/>
      <c r="G51" s="102">
        <f t="shared" ref="G51:G52" si="19">+D8</f>
        <v>0.104</v>
      </c>
      <c r="H51" s="98">
        <f>+$C$25*H26</f>
        <v>900</v>
      </c>
      <c r="I51" s="204">
        <f t="shared" si="17"/>
        <v>93.6</v>
      </c>
      <c r="J51" s="200"/>
      <c r="K51" s="190">
        <f t="shared" si="12"/>
        <v>0</v>
      </c>
      <c r="L51" s="133">
        <f t="shared" si="13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8"/>
        <v>900</v>
      </c>
      <c r="E52" s="123">
        <f t="shared" si="15"/>
        <v>111.6</v>
      </c>
      <c r="F52" s="91"/>
      <c r="G52" s="102">
        <f t="shared" si="19"/>
        <v>0.124</v>
      </c>
      <c r="H52" s="98">
        <f>+$C$25*H27</f>
        <v>900</v>
      </c>
      <c r="I52" s="204">
        <f t="shared" si="17"/>
        <v>111.6</v>
      </c>
      <c r="J52" s="200"/>
      <c r="K52" s="190">
        <f t="shared" si="12"/>
        <v>0</v>
      </c>
      <c r="L52" s="133">
        <f t="shared" si="13"/>
        <v>0</v>
      </c>
    </row>
    <row r="53" spans="2:12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668.58054000000004</v>
      </c>
      <c r="F54" s="136"/>
      <c r="G54" s="137"/>
      <c r="H54" s="137"/>
      <c r="I54" s="225">
        <f>SUM(I45:I52)</f>
        <v>663.29053999999996</v>
      </c>
      <c r="J54" s="208"/>
      <c r="K54" s="225">
        <f>+I54-E54</f>
        <v>-5.2900000000000773</v>
      </c>
      <c r="L54" s="226">
        <f t="shared" ref="L54:L56" si="20">IF((E54)=0,"",(K54/E54))</f>
        <v>-7.9122853321457378E-3</v>
      </c>
    </row>
    <row r="55" spans="2:12">
      <c r="B55" s="276" t="s">
        <v>19</v>
      </c>
      <c r="C55" s="134">
        <v>0.13</v>
      </c>
      <c r="D55" s="138"/>
      <c r="E55" s="126">
        <f>+E54*C55</f>
        <v>86.915470200000001</v>
      </c>
      <c r="F55" s="90"/>
      <c r="G55" s="134">
        <v>0.13</v>
      </c>
      <c r="H55" s="90"/>
      <c r="I55" s="209">
        <f>+I54*G55</f>
        <v>86.227770199999995</v>
      </c>
      <c r="J55" s="210"/>
      <c r="K55" s="195">
        <f t="shared" ref="K55:K58" si="21">+I55-E55</f>
        <v>-0.68770000000000664</v>
      </c>
      <c r="L55" s="146">
        <f t="shared" si="20"/>
        <v>-7.9122853321456996E-3</v>
      </c>
    </row>
    <row r="56" spans="2:12">
      <c r="B56" s="277" t="s">
        <v>67</v>
      </c>
      <c r="C56" s="90"/>
      <c r="D56" s="138"/>
      <c r="E56" s="126">
        <f>SUM(E54:E55)</f>
        <v>755.4960102</v>
      </c>
      <c r="F56" s="90"/>
      <c r="G56" s="90"/>
      <c r="H56" s="90"/>
      <c r="I56" s="209">
        <f>SUM(I54:I55)</f>
        <v>749.51831019999997</v>
      </c>
      <c r="J56" s="210"/>
      <c r="K56" s="195">
        <f t="shared" si="21"/>
        <v>-5.9777000000000271</v>
      </c>
      <c r="L56" s="146">
        <f t="shared" si="20"/>
        <v>-7.9122853321456597E-3</v>
      </c>
    </row>
    <row r="57" spans="2:12">
      <c r="B57" s="278" t="s">
        <v>68</v>
      </c>
      <c r="C57" s="90"/>
      <c r="D57" s="138"/>
      <c r="E57" s="214">
        <f>-E56*0.1*3000/C25</f>
        <v>-45.329760612000001</v>
      </c>
      <c r="F57" s="90"/>
      <c r="G57" s="90"/>
      <c r="H57" s="90"/>
      <c r="I57" s="211">
        <f>-I56*0.1*3000/C25</f>
        <v>-44.971098611999999</v>
      </c>
      <c r="J57" s="210"/>
      <c r="K57" s="199">
        <f t="shared" si="21"/>
        <v>0.35866200000000248</v>
      </c>
      <c r="L57" s="146">
        <f>IF((E57)=0,"",(K57/E57))</f>
        <v>-7.9122853321456771E-3</v>
      </c>
    </row>
    <row r="58" spans="2:12" ht="15.75" thickBot="1">
      <c r="B58" s="279" t="s">
        <v>20</v>
      </c>
      <c r="C58" s="139"/>
      <c r="D58" s="140"/>
      <c r="E58" s="128">
        <f>SUM(E56:E57)</f>
        <v>710.16624958800003</v>
      </c>
      <c r="F58" s="141"/>
      <c r="G58" s="141"/>
      <c r="H58" s="141"/>
      <c r="I58" s="212">
        <f>SUM(I56:I57)</f>
        <v>704.54721158799998</v>
      </c>
      <c r="J58" s="213"/>
      <c r="K58" s="196">
        <f t="shared" si="21"/>
        <v>-5.6190380000000459</v>
      </c>
      <c r="L58" s="155">
        <f>IF((E58)=0,"",(K58/E58))</f>
        <v>-7.9122853321456875E-3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0" spans="2:12"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</row>
    <row r="61" spans="2:12">
      <c r="B61" s="161"/>
      <c r="C61" s="161"/>
      <c r="D61" s="161"/>
      <c r="E61" s="144"/>
      <c r="F61" s="161"/>
      <c r="G61" s="161"/>
      <c r="H61" s="161"/>
      <c r="I61" s="144"/>
      <c r="J61" s="161"/>
      <c r="K61" s="161"/>
      <c r="L61" s="161"/>
    </row>
    <row r="62" spans="2:12">
      <c r="B62" s="161"/>
      <c r="C62" s="161"/>
      <c r="D62" s="161"/>
      <c r="E62" s="144"/>
      <c r="F62" s="161"/>
      <c r="G62" s="161"/>
      <c r="H62" s="161"/>
      <c r="I62" s="144"/>
      <c r="J62" s="161"/>
      <c r="K62" s="161"/>
      <c r="L62" s="161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61"/>
      <c r="K63" s="161"/>
      <c r="L63" s="161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I36 C43:I44 C42:H42 C46:I56 C45:D45 C58:I58 C57:D57 F57:H57 F45:H45 C38:I41 C37:H37" unlockedFormula="1"/>
    <ignoredError sqref="I42 I45 I57 E57 E45 I37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C63"/>
  <sheetViews>
    <sheetView showGridLines="0" zoomScale="85" zoomScaleNormal="85" workbookViewId="0">
      <selection activeCell="G25" sqref="G25"/>
    </sheetView>
  </sheetViews>
  <sheetFormatPr defaultRowHeight="15"/>
  <cols>
    <col min="1" max="1" width="2.570312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42578125" style="65" customWidth="1"/>
    <col min="10" max="10" width="2" style="65" customWidth="1"/>
    <col min="11" max="12" width="11.140625" style="65" customWidth="1"/>
    <col min="13" max="13" width="2.7109375" style="65" customWidth="1"/>
    <col min="14" max="16384" width="9.140625" style="65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7.17</v>
      </c>
      <c r="L8" s="58">
        <v>7.17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6.16</v>
      </c>
      <c r="L9" s="143">
        <v>6.16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17.98</v>
      </c>
      <c r="D10" s="59">
        <v>18.21</v>
      </c>
      <c r="E10" s="72"/>
      <c r="F10" s="72"/>
      <c r="K10" s="144">
        <f>SUM(K7:K9)</f>
        <v>13.35</v>
      </c>
      <c r="L10" s="144">
        <f>SUM(L7:L9)</f>
        <v>13.33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13.35</v>
      </c>
      <c r="D11" s="51">
        <f>+L10</f>
        <v>13.33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1.5800000000000002E-2</v>
      </c>
      <c r="D13" s="60">
        <v>1.6E-2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6.7000000000000002E-3</v>
      </c>
      <c r="D16" s="62">
        <v>6.7999999999999996E-3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4.7000000000000002E-3</v>
      </c>
      <c r="D17" s="62">
        <v>4.5999999999999999E-3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161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10000</v>
      </c>
      <c r="D25" s="161" t="s">
        <v>0</v>
      </c>
      <c r="E25" s="161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16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161"/>
      <c r="C27" s="161"/>
      <c r="D27" s="161"/>
      <c r="E27" s="16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161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17.98</v>
      </c>
      <c r="D33" s="90">
        <v>1</v>
      </c>
      <c r="E33" s="120">
        <f>+C33*D33</f>
        <v>17.98</v>
      </c>
      <c r="F33" s="91"/>
      <c r="G33" s="142">
        <f>+D10</f>
        <v>18.21</v>
      </c>
      <c r="H33" s="92">
        <v>1</v>
      </c>
      <c r="I33" s="189">
        <f>+G33*H33</f>
        <v>18.21</v>
      </c>
      <c r="J33" s="200"/>
      <c r="K33" s="190">
        <f>+I33-E33</f>
        <v>0.23000000000000043</v>
      </c>
      <c r="L33" s="133">
        <f>IF((E33)=0,"",(K33/E33))</f>
        <v>1.2791991101223605E-2</v>
      </c>
    </row>
    <row r="34" spans="2:15">
      <c r="B34" s="265" t="s">
        <v>12</v>
      </c>
      <c r="C34" s="110">
        <f>+C13</f>
        <v>1.5800000000000002E-2</v>
      </c>
      <c r="D34" s="93">
        <f>+$C$25</f>
        <v>10000</v>
      </c>
      <c r="E34" s="120">
        <f>+C34*D34</f>
        <v>158.00000000000003</v>
      </c>
      <c r="F34" s="91"/>
      <c r="G34" s="110">
        <f>+D13</f>
        <v>1.6E-2</v>
      </c>
      <c r="H34" s="94">
        <f>+$C$25</f>
        <v>10000</v>
      </c>
      <c r="I34" s="189">
        <f t="shared" ref="I34:I36" si="2">+G34*H34</f>
        <v>160</v>
      </c>
      <c r="J34" s="200"/>
      <c r="K34" s="190">
        <f t="shared" ref="K34:K37" si="3">+I34-E34</f>
        <v>1.9999999999999716</v>
      </c>
      <c r="L34" s="133">
        <f t="shared" ref="L34:L41" si="4">IF((E34)=0,"",(K34/E34))</f>
        <v>1.2658227848101083E-2</v>
      </c>
    </row>
    <row r="35" spans="2:15">
      <c r="B35" s="266" t="s">
        <v>53</v>
      </c>
      <c r="C35" s="160">
        <f>+K10</f>
        <v>13.35</v>
      </c>
      <c r="D35" s="90">
        <v>1</v>
      </c>
      <c r="E35" s="120">
        <f>+C35*D35</f>
        <v>13.35</v>
      </c>
      <c r="F35" s="91"/>
      <c r="G35" s="160">
        <f>+L10</f>
        <v>13.33</v>
      </c>
      <c r="H35" s="92">
        <v>1</v>
      </c>
      <c r="I35" s="189">
        <f t="shared" si="2"/>
        <v>13.33</v>
      </c>
      <c r="J35" s="200"/>
      <c r="K35" s="190">
        <f t="shared" si="3"/>
        <v>-1.9999999999999574E-2</v>
      </c>
      <c r="L35" s="133">
        <f t="shared" si="4"/>
        <v>-1.4981273408239382E-3</v>
      </c>
    </row>
    <row r="36" spans="2:15">
      <c r="B36" s="267" t="s">
        <v>54</v>
      </c>
      <c r="C36" s="111">
        <v>0</v>
      </c>
      <c r="D36" s="93">
        <f>+$C$25</f>
        <v>10000</v>
      </c>
      <c r="E36" s="121">
        <v>0</v>
      </c>
      <c r="F36" s="91"/>
      <c r="G36" s="111">
        <v>0</v>
      </c>
      <c r="H36" s="94">
        <f>+$C$25</f>
        <v>10000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189.33</v>
      </c>
      <c r="F37" s="150"/>
      <c r="G37" s="147"/>
      <c r="H37" s="100"/>
      <c r="I37" s="201">
        <f>SUM(I33:I36)</f>
        <v>191.54000000000002</v>
      </c>
      <c r="J37" s="202"/>
      <c r="K37" s="197">
        <f t="shared" si="3"/>
        <v>2.210000000000008</v>
      </c>
      <c r="L37" s="153">
        <f t="shared" si="4"/>
        <v>1.167274071726619E-2</v>
      </c>
    </row>
    <row r="38" spans="2:15">
      <c r="B38" s="268" t="s">
        <v>56</v>
      </c>
      <c r="C38" s="156">
        <f>+C7*H25+C8*H26+C9*H27</f>
        <v>8.3919999999999995E-2</v>
      </c>
      <c r="D38" s="95">
        <f>+ROUND(C25*(C26-1),2)</f>
        <v>349</v>
      </c>
      <c r="E38" s="159">
        <f>+C38*D38</f>
        <v>29.288079999999997</v>
      </c>
      <c r="F38" s="91"/>
      <c r="G38" s="156">
        <f>+C7*H25+C8*H26+C9*H27</f>
        <v>8.3919999999999995E-2</v>
      </c>
      <c r="H38" s="95">
        <f>+ROUND(G25*(G26-1),2)</f>
        <v>0</v>
      </c>
      <c r="I38" s="189">
        <f>+G38*H38</f>
        <v>0</v>
      </c>
      <c r="J38" s="200"/>
      <c r="K38" s="190">
        <f>+I38-E38</f>
        <v>-29.288079999999997</v>
      </c>
      <c r="L38" s="133">
        <f t="shared" si="4"/>
        <v>-1</v>
      </c>
    </row>
    <row r="39" spans="2:15">
      <c r="B39" s="268" t="s">
        <v>57</v>
      </c>
      <c r="C39" s="157">
        <v>0</v>
      </c>
      <c r="D39" s="93">
        <f>+$C$25</f>
        <v>10000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10000</v>
      </c>
      <c r="I39" s="189">
        <f t="shared" ref="I39:I41" si="6">+G39*H39</f>
        <v>-13</v>
      </c>
      <c r="J39" s="200"/>
      <c r="K39" s="190">
        <f t="shared" ref="K39:K41" si="7">+I39-E39</f>
        <v>-13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10000</v>
      </c>
      <c r="E40" s="120">
        <v>0</v>
      </c>
      <c r="F40" s="91"/>
      <c r="G40" s="110"/>
      <c r="H40" s="94">
        <f t="shared" si="5"/>
        <v>10000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219.40808000000001</v>
      </c>
      <c r="F42" s="91"/>
      <c r="G42" s="96"/>
      <c r="H42" s="97"/>
      <c r="I42" s="203">
        <f>SUM(I37:I41)</f>
        <v>179.33</v>
      </c>
      <c r="J42" s="200"/>
      <c r="K42" s="198">
        <f>+I42-E42</f>
        <v>-40.07808</v>
      </c>
      <c r="L42" s="145">
        <f>IF((E42)=0,"",(K42/E42))</f>
        <v>-0.18266455820587829</v>
      </c>
      <c r="O42" s="144"/>
    </row>
    <row r="43" spans="2:15">
      <c r="B43" s="270" t="s">
        <v>60</v>
      </c>
      <c r="C43" s="110">
        <f>+C16</f>
        <v>6.7000000000000002E-3</v>
      </c>
      <c r="D43" s="98">
        <f>+ROUND($C$25*$C$26,2)</f>
        <v>10349</v>
      </c>
      <c r="E43" s="120">
        <f>+C43*D43</f>
        <v>69.338300000000004</v>
      </c>
      <c r="F43" s="91"/>
      <c r="G43" s="110">
        <f>+D16</f>
        <v>6.7999999999999996E-3</v>
      </c>
      <c r="H43" s="98">
        <f t="shared" ref="H43:H44" si="8">+ROUND($C$25*$C$26,2)</f>
        <v>10349</v>
      </c>
      <c r="I43" s="189">
        <f>+G43*H43</f>
        <v>70.373199999999997</v>
      </c>
      <c r="J43" s="200"/>
      <c r="K43" s="190">
        <f t="shared" ref="K43:K44" si="9">+I43-E43</f>
        <v>1.0348999999999933</v>
      </c>
      <c r="L43" s="133">
        <f t="shared" ref="L43:L44" si="10">IF((E43)=0,"",(K43/E43))</f>
        <v>1.4925373134328261E-2</v>
      </c>
    </row>
    <row r="44" spans="2:15" ht="30" customHeight="1">
      <c r="B44" s="271" t="s">
        <v>61</v>
      </c>
      <c r="C44" s="110">
        <f>+C17</f>
        <v>4.7000000000000002E-3</v>
      </c>
      <c r="D44" s="98">
        <f>+ROUND($C$25*$C$26,2)</f>
        <v>10349</v>
      </c>
      <c r="E44" s="120">
        <f>+C44*D44</f>
        <v>48.640300000000003</v>
      </c>
      <c r="F44" s="91"/>
      <c r="G44" s="110">
        <f>+D17</f>
        <v>4.5999999999999999E-3</v>
      </c>
      <c r="H44" s="98">
        <f t="shared" si="8"/>
        <v>10349</v>
      </c>
      <c r="I44" s="189">
        <f>+G44*H44</f>
        <v>47.605399999999996</v>
      </c>
      <c r="J44" s="200"/>
      <c r="K44" s="190">
        <f t="shared" si="9"/>
        <v>-1.0349000000000075</v>
      </c>
      <c r="L44" s="133">
        <f t="shared" si="10"/>
        <v>-2.1276595744681003E-2</v>
      </c>
    </row>
    <row r="45" spans="2:15">
      <c r="B45" s="119" t="s">
        <v>62</v>
      </c>
      <c r="C45" s="96"/>
      <c r="D45" s="96"/>
      <c r="E45" s="122">
        <f>SUM(E42:E44)</f>
        <v>337.38668000000007</v>
      </c>
      <c r="F45" s="91"/>
      <c r="G45" s="100"/>
      <c r="H45" s="101"/>
      <c r="I45" s="203">
        <f>SUM(I42:I44)</f>
        <v>297.30860000000001</v>
      </c>
      <c r="J45" s="200"/>
      <c r="K45" s="198">
        <f>+I45-E45</f>
        <v>-40.078080000000057</v>
      </c>
      <c r="L45" s="145">
        <f>IF((E45)=0,"",(K45/E45))</f>
        <v>-0.11878975186572288</v>
      </c>
    </row>
    <row r="46" spans="2:15">
      <c r="B46" s="272" t="s">
        <v>63</v>
      </c>
      <c r="C46" s="112">
        <f>+C18</f>
        <v>4.4000000000000003E-3</v>
      </c>
      <c r="D46" s="98">
        <f t="shared" ref="D46:D47" si="11">+ROUND($C$25*$C$26,2)</f>
        <v>10349</v>
      </c>
      <c r="E46" s="123">
        <f>+C46*D46</f>
        <v>45.535600000000002</v>
      </c>
      <c r="F46" s="91"/>
      <c r="G46" s="112">
        <f>+D18</f>
        <v>4.4000000000000003E-3</v>
      </c>
      <c r="H46" s="98">
        <f t="shared" ref="H46:H47" si="12">+ROUND($C$25*$C$26,2)</f>
        <v>10349</v>
      </c>
      <c r="I46" s="204">
        <f>+G46*H46</f>
        <v>45.535600000000002</v>
      </c>
      <c r="J46" s="200"/>
      <c r="K46" s="190">
        <f t="shared" ref="K46:K52" si="13">+I46-E46</f>
        <v>0</v>
      </c>
      <c r="L46" s="133">
        <f t="shared" ref="L46:L52" si="14">IF((E46)=0,"",(K46/E46))</f>
        <v>0</v>
      </c>
    </row>
    <row r="47" spans="2:15">
      <c r="B47" s="272" t="s">
        <v>64</v>
      </c>
      <c r="C47" s="112">
        <f t="shared" ref="C47:C49" si="15">+C19</f>
        <v>1.1999999999999999E-3</v>
      </c>
      <c r="D47" s="98">
        <f t="shared" si="11"/>
        <v>10349</v>
      </c>
      <c r="E47" s="123">
        <f t="shared" ref="E47:E52" si="16">+C47*D47</f>
        <v>12.418799999999999</v>
      </c>
      <c r="F47" s="91"/>
      <c r="G47" s="112">
        <f t="shared" ref="G47:G49" si="17">+D19</f>
        <v>1.1999999999999999E-3</v>
      </c>
      <c r="H47" s="98">
        <f t="shared" si="12"/>
        <v>10349</v>
      </c>
      <c r="I47" s="204">
        <f t="shared" ref="I47:I52" si="18">+G47*H47</f>
        <v>12.418799999999999</v>
      </c>
      <c r="J47" s="200"/>
      <c r="K47" s="190">
        <f t="shared" si="13"/>
        <v>0</v>
      </c>
      <c r="L47" s="133">
        <f t="shared" si="14"/>
        <v>0</v>
      </c>
    </row>
    <row r="48" spans="2:15">
      <c r="B48" s="265" t="s">
        <v>65</v>
      </c>
      <c r="C48" s="112">
        <f t="shared" si="15"/>
        <v>0.25</v>
      </c>
      <c r="D48" s="98">
        <v>1</v>
      </c>
      <c r="E48" s="123">
        <f t="shared" si="16"/>
        <v>0.25</v>
      </c>
      <c r="F48" s="91"/>
      <c r="G48" s="112">
        <f t="shared" si="17"/>
        <v>0.25</v>
      </c>
      <c r="H48" s="99">
        <v>1</v>
      </c>
      <c r="I48" s="204">
        <f t="shared" si="18"/>
        <v>0.25</v>
      </c>
      <c r="J48" s="200"/>
      <c r="K48" s="190">
        <f t="shared" si="13"/>
        <v>0</v>
      </c>
      <c r="L48" s="133">
        <f t="shared" si="14"/>
        <v>0</v>
      </c>
    </row>
    <row r="49" spans="2:12">
      <c r="B49" s="265" t="s">
        <v>18</v>
      </c>
      <c r="C49" s="112">
        <f t="shared" si="15"/>
        <v>7.0000000000000001E-3</v>
      </c>
      <c r="D49" s="93">
        <f>+$C$25</f>
        <v>10000</v>
      </c>
      <c r="E49" s="123">
        <f t="shared" si="16"/>
        <v>70</v>
      </c>
      <c r="F49" s="91"/>
      <c r="G49" s="112">
        <f t="shared" si="17"/>
        <v>7.0000000000000001E-3</v>
      </c>
      <c r="H49" s="99">
        <f>+$C$25</f>
        <v>10000</v>
      </c>
      <c r="I49" s="204">
        <f t="shared" si="18"/>
        <v>70</v>
      </c>
      <c r="J49" s="200"/>
      <c r="K49" s="190">
        <f t="shared" si="13"/>
        <v>0</v>
      </c>
      <c r="L49" s="133">
        <f t="shared" si="14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6400</v>
      </c>
      <c r="E50" s="123">
        <f t="shared" si="16"/>
        <v>428.8</v>
      </c>
      <c r="F50" s="91"/>
      <c r="G50" s="102">
        <f>+D7</f>
        <v>6.7000000000000004E-2</v>
      </c>
      <c r="H50" s="98">
        <f>+$C$25*H25</f>
        <v>6400</v>
      </c>
      <c r="I50" s="204">
        <f t="shared" si="18"/>
        <v>428.8</v>
      </c>
      <c r="J50" s="200"/>
      <c r="K50" s="190">
        <f t="shared" si="13"/>
        <v>0</v>
      </c>
      <c r="L50" s="133">
        <f t="shared" si="14"/>
        <v>0</v>
      </c>
    </row>
    <row r="51" spans="2:12">
      <c r="B51" s="269" t="s">
        <v>9</v>
      </c>
      <c r="C51" s="102">
        <f>+$C$8</f>
        <v>0.104</v>
      </c>
      <c r="D51" s="98">
        <f t="shared" ref="D51:D52" si="19">+$C$25*H26</f>
        <v>1800</v>
      </c>
      <c r="E51" s="123">
        <f t="shared" si="16"/>
        <v>187.2</v>
      </c>
      <c r="F51" s="91"/>
      <c r="G51" s="102">
        <f t="shared" ref="G51:G52" si="20">+D8</f>
        <v>0.104</v>
      </c>
      <c r="H51" s="98">
        <f>+$C$25*H26</f>
        <v>1800</v>
      </c>
      <c r="I51" s="204">
        <f t="shared" si="18"/>
        <v>187.2</v>
      </c>
      <c r="J51" s="200"/>
      <c r="K51" s="190">
        <f t="shared" si="13"/>
        <v>0</v>
      </c>
      <c r="L51" s="133">
        <f t="shared" si="14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9"/>
        <v>1800</v>
      </c>
      <c r="E52" s="123">
        <f t="shared" si="16"/>
        <v>223.2</v>
      </c>
      <c r="F52" s="91"/>
      <c r="G52" s="102">
        <f t="shared" si="20"/>
        <v>0.124</v>
      </c>
      <c r="H52" s="98">
        <f>+$C$25*H27</f>
        <v>1800</v>
      </c>
      <c r="I52" s="204">
        <f t="shared" si="18"/>
        <v>223.2</v>
      </c>
      <c r="J52" s="200"/>
      <c r="K52" s="190">
        <f t="shared" si="13"/>
        <v>0</v>
      </c>
      <c r="L52" s="133">
        <f t="shared" si="14"/>
        <v>0</v>
      </c>
    </row>
    <row r="53" spans="2:12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1304.7910800000002</v>
      </c>
      <c r="F54" s="136"/>
      <c r="G54" s="137"/>
      <c r="H54" s="137"/>
      <c r="I54" s="225">
        <f>SUM(I45:I52)</f>
        <v>1264.713</v>
      </c>
      <c r="J54" s="208"/>
      <c r="K54" s="225">
        <f>+I54-E54</f>
        <v>-40.078080000000227</v>
      </c>
      <c r="L54" s="226">
        <f t="shared" ref="L54:L56" si="21">IF((E54)=0,"",(K54/E54))</f>
        <v>-3.0716089812631322E-2</v>
      </c>
    </row>
    <row r="55" spans="2:12">
      <c r="B55" s="276" t="s">
        <v>19</v>
      </c>
      <c r="C55" s="134">
        <v>0.13</v>
      </c>
      <c r="D55" s="138"/>
      <c r="E55" s="126">
        <f>+E54*C55</f>
        <v>169.62284040000003</v>
      </c>
      <c r="F55" s="90"/>
      <c r="G55" s="134">
        <v>0.13</v>
      </c>
      <c r="H55" s="90"/>
      <c r="I55" s="209">
        <f>+I54*G55</f>
        <v>164.41269</v>
      </c>
      <c r="J55" s="210"/>
      <c r="K55" s="195">
        <f t="shared" ref="K55:K58" si="22">+I55-E55</f>
        <v>-5.2101504000000318</v>
      </c>
      <c r="L55" s="146">
        <f t="shared" si="21"/>
        <v>-3.0716089812631336E-2</v>
      </c>
    </row>
    <row r="56" spans="2:12">
      <c r="B56" s="277" t="s">
        <v>67</v>
      </c>
      <c r="C56" s="90"/>
      <c r="D56" s="138"/>
      <c r="E56" s="126">
        <f>SUM(E54:E55)</f>
        <v>1474.4139204000003</v>
      </c>
      <c r="F56" s="90"/>
      <c r="G56" s="90"/>
      <c r="H56" s="90"/>
      <c r="I56" s="209">
        <f>SUM(I54:I55)</f>
        <v>1429.1256899999998</v>
      </c>
      <c r="J56" s="210"/>
      <c r="K56" s="195">
        <f t="shared" si="22"/>
        <v>-45.28823040000043</v>
      </c>
      <c r="L56" s="146">
        <f t="shared" si="21"/>
        <v>-3.071608981263144E-2</v>
      </c>
    </row>
    <row r="57" spans="2:12">
      <c r="B57" s="278" t="s">
        <v>68</v>
      </c>
      <c r="C57" s="90"/>
      <c r="D57" s="138"/>
      <c r="E57" s="214">
        <f>-E56*0.1*3000/C25</f>
        <v>-44.232417612000013</v>
      </c>
      <c r="F57" s="90"/>
      <c r="G57" s="90"/>
      <c r="H57" s="90"/>
      <c r="I57" s="211">
        <f>-I56*0.1*3000/C25</f>
        <v>-42.873770700000001</v>
      </c>
      <c r="J57" s="210"/>
      <c r="K57" s="199">
        <f t="shared" si="22"/>
        <v>1.3586469120000118</v>
      </c>
      <c r="L57" s="146">
        <f>IF((E57)=0,"",(K57/E57))</f>
        <v>-3.0716089812631409E-2</v>
      </c>
    </row>
    <row r="58" spans="2:12" ht="15.75" thickBot="1">
      <c r="B58" s="279" t="s">
        <v>20</v>
      </c>
      <c r="C58" s="139"/>
      <c r="D58" s="140"/>
      <c r="E58" s="128">
        <f>SUM(E56:E57)</f>
        <v>1430.1815027880002</v>
      </c>
      <c r="F58" s="141"/>
      <c r="G58" s="141"/>
      <c r="H58" s="141"/>
      <c r="I58" s="212">
        <f>SUM(I56:I57)</f>
        <v>1386.2519192999998</v>
      </c>
      <c r="J58" s="213"/>
      <c r="K58" s="196">
        <f t="shared" si="22"/>
        <v>-43.929583488000389</v>
      </c>
      <c r="L58" s="155">
        <f>IF((E58)=0,"",(K58/E58))</f>
        <v>-3.0716089812631422E-2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0" spans="2:12"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</row>
    <row r="61" spans="2:12">
      <c r="B61" s="161"/>
      <c r="C61" s="161"/>
      <c r="D61" s="161"/>
      <c r="E61" s="144"/>
      <c r="F61" s="161"/>
      <c r="G61" s="161"/>
      <c r="H61" s="161"/>
      <c r="I61" s="144"/>
      <c r="J61" s="161"/>
      <c r="K61" s="161"/>
      <c r="L61" s="161"/>
    </row>
    <row r="62" spans="2:12">
      <c r="B62" s="161"/>
      <c r="C62" s="161"/>
      <c r="D62" s="161"/>
      <c r="E62" s="144"/>
      <c r="F62" s="161"/>
      <c r="G62" s="161"/>
      <c r="H62" s="161"/>
      <c r="I62" s="144"/>
      <c r="J62" s="161"/>
      <c r="K62" s="161"/>
      <c r="L62" s="161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61"/>
      <c r="K63" s="161"/>
      <c r="L63" s="161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1" orientation="portrait" r:id="rId1"/>
  <ignoredErrors>
    <ignoredError sqref="C33:I36 C43:I44 C42:H42 C38:I41 C37:H37 C46:I56 C45:D45 C58:I58 C57:D57 F57:H57 F45:H45" unlockedFormula="1"/>
    <ignoredError sqref="I42 I37 I45 I57 E57 E45" formula="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C68"/>
  <sheetViews>
    <sheetView showGridLines="0" zoomScale="85" zoomScaleNormal="85" workbookViewId="0">
      <selection sqref="A1:N68"/>
    </sheetView>
  </sheetViews>
  <sheetFormatPr defaultRowHeight="15"/>
  <cols>
    <col min="1" max="1" width="3.42578125" style="161" customWidth="1"/>
    <col min="2" max="2" width="58.285156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7109375" style="65" bestFit="1" customWidth="1"/>
    <col min="10" max="10" width="2" style="65" customWidth="1"/>
    <col min="11" max="12" width="11.140625" style="65" customWidth="1"/>
    <col min="13" max="13" width="2.42578125" style="65" customWidth="1"/>
    <col min="14" max="14" width="9.140625" style="65"/>
    <col min="15" max="15" width="18" style="65" bestFit="1" customWidth="1"/>
    <col min="16" max="16384" width="9.140625" style="65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7.17</v>
      </c>
      <c r="L8" s="58">
        <v>7.17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6.16</v>
      </c>
      <c r="L9" s="143">
        <v>6.16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17.98</v>
      </c>
      <c r="D10" s="59">
        <v>18.21</v>
      </c>
      <c r="E10" s="72"/>
      <c r="F10" s="72"/>
      <c r="K10" s="144">
        <f>SUM(K7:K9)</f>
        <v>13.35</v>
      </c>
      <c r="L10" s="144">
        <f>SUM(L7:L9)</f>
        <v>13.33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13.35</v>
      </c>
      <c r="D11" s="51">
        <f>+L10</f>
        <v>13.33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1.5800000000000002E-2</v>
      </c>
      <c r="D13" s="60">
        <v>1.6E-2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6.7000000000000002E-3</v>
      </c>
      <c r="D16" s="62">
        <v>6.7999999999999996E-3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4.7000000000000002E-3</v>
      </c>
      <c r="D17" s="62">
        <v>4.5999999999999999E-3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246">
        <v>3914559227</v>
      </c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246">
        <v>3815870095</v>
      </c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247">
        <f>+O21/O20</f>
        <v>0.97478920964605453</v>
      </c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161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15000</v>
      </c>
      <c r="D25" s="161" t="s">
        <v>0</v>
      </c>
      <c r="E25" s="161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16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161"/>
      <c r="C27" s="161">
        <f>+C25*C26</f>
        <v>15523.499999999998</v>
      </c>
      <c r="D27" s="161"/>
      <c r="E27" s="16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161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17.98</v>
      </c>
      <c r="D33" s="90">
        <v>1</v>
      </c>
      <c r="E33" s="120">
        <f>+C33*D33</f>
        <v>17.98</v>
      </c>
      <c r="F33" s="91"/>
      <c r="G33" s="142">
        <f>+D10</f>
        <v>18.21</v>
      </c>
      <c r="H33" s="92">
        <v>1</v>
      </c>
      <c r="I33" s="189">
        <f>+G33*H33</f>
        <v>18.21</v>
      </c>
      <c r="J33" s="200"/>
      <c r="K33" s="190">
        <f>+I33-E33</f>
        <v>0.23000000000000043</v>
      </c>
      <c r="L33" s="133">
        <f>IF((E33)=0,"",(K33/E33))</f>
        <v>1.2791991101223605E-2</v>
      </c>
    </row>
    <row r="34" spans="2:15">
      <c r="B34" s="265" t="s">
        <v>12</v>
      </c>
      <c r="C34" s="110">
        <f>+C13</f>
        <v>1.5800000000000002E-2</v>
      </c>
      <c r="D34" s="93">
        <f>+$C$25</f>
        <v>15000</v>
      </c>
      <c r="E34" s="120">
        <f>+C34*D34</f>
        <v>237.00000000000003</v>
      </c>
      <c r="F34" s="91"/>
      <c r="G34" s="110">
        <f>+D13</f>
        <v>1.6E-2</v>
      </c>
      <c r="H34" s="94">
        <f>+$C$25</f>
        <v>15000</v>
      </c>
      <c r="I34" s="189">
        <f t="shared" ref="I34:I36" si="2">+G34*H34</f>
        <v>240</v>
      </c>
      <c r="J34" s="200"/>
      <c r="K34" s="190">
        <f t="shared" ref="K34:K37" si="3">+I34-E34</f>
        <v>2.9999999999999716</v>
      </c>
      <c r="L34" s="133">
        <f t="shared" ref="L34:L41" si="4">IF((E34)=0,"",(K34/E34))</f>
        <v>1.2658227848101144E-2</v>
      </c>
    </row>
    <row r="35" spans="2:15">
      <c r="B35" s="266" t="s">
        <v>53</v>
      </c>
      <c r="C35" s="160">
        <f>+K10</f>
        <v>13.35</v>
      </c>
      <c r="D35" s="90">
        <v>1</v>
      </c>
      <c r="E35" s="120">
        <f>+C35*D35</f>
        <v>13.35</v>
      </c>
      <c r="F35" s="91"/>
      <c r="G35" s="160">
        <f>+L10</f>
        <v>13.33</v>
      </c>
      <c r="H35" s="92">
        <v>1</v>
      </c>
      <c r="I35" s="189">
        <f t="shared" si="2"/>
        <v>13.33</v>
      </c>
      <c r="J35" s="200"/>
      <c r="K35" s="190">
        <f t="shared" si="3"/>
        <v>-1.9999999999999574E-2</v>
      </c>
      <c r="L35" s="133">
        <f t="shared" si="4"/>
        <v>-1.4981273408239382E-3</v>
      </c>
    </row>
    <row r="36" spans="2:15">
      <c r="B36" s="267" t="s">
        <v>54</v>
      </c>
      <c r="C36" s="111">
        <v>0</v>
      </c>
      <c r="D36" s="93">
        <f>+$C$25</f>
        <v>15000</v>
      </c>
      <c r="E36" s="121">
        <v>0</v>
      </c>
      <c r="F36" s="91"/>
      <c r="G36" s="111">
        <v>0</v>
      </c>
      <c r="H36" s="94">
        <f>+$C$25</f>
        <v>15000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268.33000000000004</v>
      </c>
      <c r="F37" s="150"/>
      <c r="G37" s="147"/>
      <c r="H37" s="100"/>
      <c r="I37" s="201">
        <f>SUM(I33:I36)</f>
        <v>271.53999999999996</v>
      </c>
      <c r="J37" s="202"/>
      <c r="K37" s="197">
        <f t="shared" si="3"/>
        <v>3.2099999999999227</v>
      </c>
      <c r="L37" s="153">
        <f t="shared" si="4"/>
        <v>1.19628815264783E-2</v>
      </c>
    </row>
    <row r="38" spans="2:15">
      <c r="B38" s="268" t="s">
        <v>56</v>
      </c>
      <c r="C38" s="156">
        <f>+C7*H25+C8*H26+C9*H27</f>
        <v>8.3919999999999995E-2</v>
      </c>
      <c r="D38" s="98">
        <f>+ROUND($C$25*($C$26-1),2)</f>
        <v>523.5</v>
      </c>
      <c r="E38" s="159">
        <f>+C38*D38</f>
        <v>43.932119999999998</v>
      </c>
      <c r="F38" s="91"/>
      <c r="G38" s="156">
        <f>+C7*H25+C8*H26+C9*H27</f>
        <v>8.3919999999999995E-2</v>
      </c>
      <c r="H38" s="95">
        <f>+ROUND(C25*(C26-1),2)</f>
        <v>523.5</v>
      </c>
      <c r="I38" s="189">
        <f>+G38*H38</f>
        <v>43.932119999999998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15000</v>
      </c>
      <c r="E39" s="120">
        <v>0</v>
      </c>
      <c r="F39" s="91"/>
      <c r="G39" s="157">
        <f>+D14</f>
        <v>-1.2999999999999999E-3</v>
      </c>
      <c r="H39" s="94">
        <f t="shared" ref="H39:H40" si="5">+$C$25</f>
        <v>15000</v>
      </c>
      <c r="I39" s="189">
        <f t="shared" ref="I39:I41" si="6">+G39*H39</f>
        <v>-19.5</v>
      </c>
      <c r="J39" s="200"/>
      <c r="K39" s="190">
        <f t="shared" ref="K39:K41" si="7">+I39-E39</f>
        <v>-19.5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15000</v>
      </c>
      <c r="E40" s="120">
        <v>0</v>
      </c>
      <c r="F40" s="91"/>
      <c r="G40" s="157"/>
      <c r="H40" s="94">
        <f t="shared" si="5"/>
        <v>15000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58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313.05212000000006</v>
      </c>
      <c r="F42" s="91"/>
      <c r="G42" s="96"/>
      <c r="H42" s="97"/>
      <c r="I42" s="203">
        <f>SUM(I37:I41)</f>
        <v>296.76211999999998</v>
      </c>
      <c r="J42" s="200"/>
      <c r="K42" s="198">
        <f>+I42-E42</f>
        <v>-16.290000000000077</v>
      </c>
      <c r="L42" s="145">
        <f>IF((E42)=0,"",(K42/E42))</f>
        <v>-5.2036063515557965E-2</v>
      </c>
      <c r="O42" s="144"/>
    </row>
    <row r="43" spans="2:15">
      <c r="B43" s="270" t="s">
        <v>60</v>
      </c>
      <c r="C43" s="110">
        <f>+C16</f>
        <v>6.7000000000000002E-3</v>
      </c>
      <c r="D43" s="98">
        <f>+ROUND($C$25*$C$26,2)</f>
        <v>15523.5</v>
      </c>
      <c r="E43" s="120">
        <f>+C43*D43</f>
        <v>104.00745000000001</v>
      </c>
      <c r="F43" s="91"/>
      <c r="G43" s="110">
        <f>+D16</f>
        <v>6.7999999999999996E-3</v>
      </c>
      <c r="H43" s="98">
        <f>+ROUND($C$25*$C$26,2)</f>
        <v>15523.5</v>
      </c>
      <c r="I43" s="189">
        <f>+G43*H43</f>
        <v>105.5598</v>
      </c>
      <c r="J43" s="200"/>
      <c r="K43" s="190">
        <f t="shared" ref="K43:K44" si="8">+I43-E43</f>
        <v>1.5523499999999899</v>
      </c>
      <c r="L43" s="133">
        <f t="shared" ref="L43:L44" si="9">IF((E43)=0,"",(K43/E43))</f>
        <v>1.4925373134328261E-2</v>
      </c>
    </row>
    <row r="44" spans="2:15" ht="17.25" customHeight="1">
      <c r="B44" s="271" t="s">
        <v>61</v>
      </c>
      <c r="C44" s="110">
        <f>+C17</f>
        <v>4.7000000000000002E-3</v>
      </c>
      <c r="D44" s="98">
        <f>+ROUND($C$25*$C$26,2)</f>
        <v>15523.5</v>
      </c>
      <c r="E44" s="120">
        <f>+C44*D44</f>
        <v>72.960450000000009</v>
      </c>
      <c r="F44" s="91"/>
      <c r="G44" s="110">
        <f>+D17</f>
        <v>4.5999999999999999E-3</v>
      </c>
      <c r="H44" s="98">
        <f>+ROUND($C$25*$C$26,2)</f>
        <v>15523.5</v>
      </c>
      <c r="I44" s="189">
        <f>+G44*H44</f>
        <v>71.408100000000005</v>
      </c>
      <c r="J44" s="200"/>
      <c r="K44" s="190">
        <f t="shared" si="8"/>
        <v>-1.5523500000000041</v>
      </c>
      <c r="L44" s="133">
        <f t="shared" si="9"/>
        <v>-2.1276595744680906E-2</v>
      </c>
    </row>
    <row r="45" spans="2:15">
      <c r="B45" s="119" t="s">
        <v>62</v>
      </c>
      <c r="C45" s="96"/>
      <c r="D45" s="96"/>
      <c r="E45" s="122">
        <f>SUM(E42:E44)</f>
        <v>490.02002000000005</v>
      </c>
      <c r="F45" s="91"/>
      <c r="G45" s="100"/>
      <c r="H45" s="101"/>
      <c r="I45" s="203">
        <f>SUM(I42:I44)</f>
        <v>473.73001999999997</v>
      </c>
      <c r="J45" s="200"/>
      <c r="K45" s="198">
        <f>+I45-E45</f>
        <v>-16.290000000000077</v>
      </c>
      <c r="L45" s="145">
        <f>IF((E45)=0,"",(K45/E45))</f>
        <v>-3.3243539723132286E-2</v>
      </c>
    </row>
    <row r="46" spans="2:15">
      <c r="B46" s="272" t="s">
        <v>63</v>
      </c>
      <c r="C46" s="112">
        <f>+C18</f>
        <v>4.4000000000000003E-3</v>
      </c>
      <c r="D46" s="98">
        <f t="shared" ref="D46:D47" si="10">+ROUND($C$25*$C$26,2)</f>
        <v>15523.5</v>
      </c>
      <c r="E46" s="123">
        <f>+C46*D46</f>
        <v>68.303400000000011</v>
      </c>
      <c r="F46" s="91"/>
      <c r="G46" s="112">
        <f>+D18</f>
        <v>4.4000000000000003E-3</v>
      </c>
      <c r="H46" s="98">
        <f t="shared" ref="H46:H47" si="11">+ROUND($C$25*$C$26,2)</f>
        <v>15523.5</v>
      </c>
      <c r="I46" s="204">
        <f>+G46*H46</f>
        <v>68.303400000000011</v>
      </c>
      <c r="J46" s="200"/>
      <c r="K46" s="190">
        <f t="shared" ref="K46:K52" si="12">+I46-E46</f>
        <v>0</v>
      </c>
      <c r="L46" s="133">
        <f t="shared" ref="L46:L52" si="13">IF((E46)=0,"",(K46/E46))</f>
        <v>0</v>
      </c>
    </row>
    <row r="47" spans="2:15">
      <c r="B47" s="272" t="s">
        <v>64</v>
      </c>
      <c r="C47" s="112">
        <f t="shared" ref="C47:C49" si="14">+C19</f>
        <v>1.1999999999999999E-3</v>
      </c>
      <c r="D47" s="98">
        <f t="shared" si="10"/>
        <v>15523.5</v>
      </c>
      <c r="E47" s="123">
        <f t="shared" ref="E47:E52" si="15">+C47*D47</f>
        <v>18.6282</v>
      </c>
      <c r="F47" s="91"/>
      <c r="G47" s="112">
        <f t="shared" ref="G47:G49" si="16">+D19</f>
        <v>1.1999999999999999E-3</v>
      </c>
      <c r="H47" s="98">
        <f t="shared" si="11"/>
        <v>15523.5</v>
      </c>
      <c r="I47" s="204">
        <f t="shared" ref="I47:I52" si="17">+G47*H47</f>
        <v>18.6282</v>
      </c>
      <c r="J47" s="200"/>
      <c r="K47" s="190">
        <f t="shared" si="12"/>
        <v>0</v>
      </c>
      <c r="L47" s="133">
        <f t="shared" si="13"/>
        <v>0</v>
      </c>
    </row>
    <row r="48" spans="2:15">
      <c r="B48" s="265" t="s">
        <v>65</v>
      </c>
      <c r="C48" s="112">
        <f t="shared" si="14"/>
        <v>0.25</v>
      </c>
      <c r="D48" s="98">
        <v>1</v>
      </c>
      <c r="E48" s="123">
        <f t="shared" si="15"/>
        <v>0.25</v>
      </c>
      <c r="F48" s="91"/>
      <c r="G48" s="112">
        <f t="shared" si="16"/>
        <v>0.25</v>
      </c>
      <c r="H48" s="99">
        <v>1</v>
      </c>
      <c r="I48" s="204">
        <f t="shared" si="17"/>
        <v>0.25</v>
      </c>
      <c r="J48" s="200"/>
      <c r="K48" s="190">
        <f t="shared" si="12"/>
        <v>0</v>
      </c>
      <c r="L48" s="133">
        <f t="shared" si="13"/>
        <v>0</v>
      </c>
    </row>
    <row r="49" spans="2:12">
      <c r="B49" s="265" t="s">
        <v>18</v>
      </c>
      <c r="C49" s="112">
        <f t="shared" si="14"/>
        <v>7.0000000000000001E-3</v>
      </c>
      <c r="D49" s="93">
        <f>+$C$25</f>
        <v>15000</v>
      </c>
      <c r="E49" s="123">
        <f t="shared" si="15"/>
        <v>105</v>
      </c>
      <c r="F49" s="91"/>
      <c r="G49" s="112">
        <f t="shared" si="16"/>
        <v>7.0000000000000001E-3</v>
      </c>
      <c r="H49" s="99">
        <f>+$C$25</f>
        <v>15000</v>
      </c>
      <c r="I49" s="204">
        <f t="shared" si="17"/>
        <v>105</v>
      </c>
      <c r="J49" s="200"/>
      <c r="K49" s="190">
        <f t="shared" si="12"/>
        <v>0</v>
      </c>
      <c r="L49" s="133">
        <f t="shared" si="13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9600</v>
      </c>
      <c r="E50" s="123">
        <f t="shared" si="15"/>
        <v>643.20000000000005</v>
      </c>
      <c r="F50" s="91"/>
      <c r="G50" s="102">
        <f>+D7</f>
        <v>6.7000000000000004E-2</v>
      </c>
      <c r="H50" s="98">
        <f>+$C$25*H25</f>
        <v>9600</v>
      </c>
      <c r="I50" s="204">
        <f t="shared" si="17"/>
        <v>643.20000000000005</v>
      </c>
      <c r="J50" s="200"/>
      <c r="K50" s="190">
        <f t="shared" si="12"/>
        <v>0</v>
      </c>
      <c r="L50" s="133">
        <f t="shared" si="13"/>
        <v>0</v>
      </c>
    </row>
    <row r="51" spans="2:12">
      <c r="B51" s="269" t="s">
        <v>9</v>
      </c>
      <c r="C51" s="102">
        <f>+$C$8</f>
        <v>0.104</v>
      </c>
      <c r="D51" s="98">
        <f t="shared" ref="D51:D52" si="18">+$C$25*H26</f>
        <v>2700</v>
      </c>
      <c r="E51" s="123">
        <f t="shared" si="15"/>
        <v>280.8</v>
      </c>
      <c r="F51" s="91"/>
      <c r="G51" s="102">
        <f t="shared" ref="G51:G52" si="19">+D8</f>
        <v>0.104</v>
      </c>
      <c r="H51" s="98">
        <f>+$C$25*H26</f>
        <v>2700</v>
      </c>
      <c r="I51" s="204">
        <f t="shared" si="17"/>
        <v>280.8</v>
      </c>
      <c r="J51" s="200"/>
      <c r="K51" s="190">
        <f t="shared" si="12"/>
        <v>0</v>
      </c>
      <c r="L51" s="133">
        <f t="shared" si="13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8"/>
        <v>2700</v>
      </c>
      <c r="E52" s="123">
        <f t="shared" si="15"/>
        <v>334.8</v>
      </c>
      <c r="F52" s="91"/>
      <c r="G52" s="102">
        <f t="shared" si="19"/>
        <v>0.124</v>
      </c>
      <c r="H52" s="98">
        <f>+$C$25*H27</f>
        <v>2700</v>
      </c>
      <c r="I52" s="204">
        <f t="shared" si="17"/>
        <v>334.8</v>
      </c>
      <c r="J52" s="200"/>
      <c r="K52" s="190">
        <f t="shared" si="12"/>
        <v>0</v>
      </c>
      <c r="L52" s="133">
        <f t="shared" si="13"/>
        <v>0</v>
      </c>
    </row>
    <row r="53" spans="2:12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1941.00162</v>
      </c>
      <c r="F54" s="136"/>
      <c r="G54" s="137"/>
      <c r="H54" s="137"/>
      <c r="I54" s="225">
        <f>SUM(I45:I52)</f>
        <v>1924.71162</v>
      </c>
      <c r="J54" s="208"/>
      <c r="K54" s="225">
        <f>+I54-E54</f>
        <v>-16.289999999999964</v>
      </c>
      <c r="L54" s="226">
        <f t="shared" ref="L54:L56" si="20">IF((E54)=0,"",(K54/E54))</f>
        <v>-8.3925741391189385E-3</v>
      </c>
    </row>
    <row r="55" spans="2:12">
      <c r="B55" s="276" t="s">
        <v>19</v>
      </c>
      <c r="C55" s="134">
        <v>0.13</v>
      </c>
      <c r="D55" s="138"/>
      <c r="E55" s="126">
        <f>+E54*C55</f>
        <v>252.33021060000002</v>
      </c>
      <c r="F55" s="90"/>
      <c r="G55" s="134">
        <v>0.13</v>
      </c>
      <c r="H55" s="90"/>
      <c r="I55" s="209">
        <f>+I54*G55</f>
        <v>250.2125106</v>
      </c>
      <c r="J55" s="210"/>
      <c r="K55" s="195">
        <f t="shared" ref="K55:K58" si="21">+I55-E55</f>
        <v>-2.1177000000000135</v>
      </c>
      <c r="L55" s="146">
        <f t="shared" si="20"/>
        <v>-8.3925741391190096E-3</v>
      </c>
    </row>
    <row r="56" spans="2:12">
      <c r="B56" s="277" t="s">
        <v>67</v>
      </c>
      <c r="C56" s="90"/>
      <c r="D56" s="138"/>
      <c r="E56" s="126">
        <f>SUM(E54:E55)</f>
        <v>2193.3318306000001</v>
      </c>
      <c r="F56" s="90"/>
      <c r="G56" s="90"/>
      <c r="H56" s="90"/>
      <c r="I56" s="209">
        <f>SUM(I54:I55)</f>
        <v>2174.9241305999999</v>
      </c>
      <c r="J56" s="210"/>
      <c r="K56" s="195">
        <f t="shared" si="21"/>
        <v>-18.407700000000204</v>
      </c>
      <c r="L56" s="146">
        <f t="shared" si="20"/>
        <v>-8.3925741391190495E-3</v>
      </c>
    </row>
    <row r="57" spans="2:12">
      <c r="B57" s="278" t="s">
        <v>68</v>
      </c>
      <c r="C57" s="90"/>
      <c r="D57" s="138"/>
      <c r="E57" s="214">
        <f>-E56*0.1*3000/C25</f>
        <v>-43.866636612000008</v>
      </c>
      <c r="F57" s="90"/>
      <c r="G57" s="90"/>
      <c r="H57" s="90"/>
      <c r="I57" s="211">
        <f>-I56*0.1*3000/C25</f>
        <v>-43.498482611999997</v>
      </c>
      <c r="J57" s="210"/>
      <c r="K57" s="199">
        <f t="shared" si="21"/>
        <v>0.36815400000001119</v>
      </c>
      <c r="L57" s="146">
        <f>IF((E57)=0,"",(K57/E57))</f>
        <v>-8.3925741391192108E-3</v>
      </c>
    </row>
    <row r="58" spans="2:12" ht="15.75" thickBot="1">
      <c r="B58" s="279" t="s">
        <v>20</v>
      </c>
      <c r="C58" s="139"/>
      <c r="D58" s="140"/>
      <c r="E58" s="128">
        <f>SUM(E56:E57)</f>
        <v>2149.465193988</v>
      </c>
      <c r="F58" s="141"/>
      <c r="G58" s="141"/>
      <c r="H58" s="141"/>
      <c r="I58" s="212">
        <f>SUM(I56:I57)</f>
        <v>2131.425647988</v>
      </c>
      <c r="J58" s="213"/>
      <c r="K58" s="196">
        <f t="shared" si="21"/>
        <v>-18.039545999999973</v>
      </c>
      <c r="L58" s="155">
        <f>IF((E58)=0,"",(K58/E58))</f>
        <v>-8.3925741391189437E-3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0" spans="2:12"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</row>
    <row r="61" spans="2:12">
      <c r="B61" s="161"/>
      <c r="C61" s="161"/>
      <c r="D61" s="161"/>
      <c r="E61" s="144"/>
      <c r="F61" s="161"/>
      <c r="G61" s="161"/>
      <c r="H61" s="161"/>
      <c r="I61" s="144"/>
      <c r="J61" s="161"/>
      <c r="K61" s="161"/>
      <c r="L61" s="161"/>
    </row>
    <row r="62" spans="2:12">
      <c r="B62" s="161"/>
      <c r="C62" s="161"/>
      <c r="D62" s="161"/>
      <c r="E62" s="144"/>
      <c r="F62" s="161"/>
      <c r="G62" s="161"/>
      <c r="H62" s="161"/>
      <c r="I62" s="144"/>
      <c r="J62" s="161"/>
      <c r="K62" s="161"/>
      <c r="L62" s="161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61"/>
      <c r="K63" s="161"/>
      <c r="L63" s="161"/>
    </row>
    <row r="68" spans="2:2">
      <c r="B68" s="161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0" orientation="portrait" r:id="rId1"/>
  <ignoredErrors>
    <ignoredError sqref="C33:I36 C58:I58 C57:D57 F57:H57 C46:I56 C45:D45 F45:H45 C43:I44 C42:H42 C38:I41 C37:H37" unlockedFormula="1"/>
    <ignoredError sqref="I57 E57 E45 I45 I42 I37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C55"/>
  <sheetViews>
    <sheetView showGridLines="0" tabSelected="1" topLeftCell="A3" zoomScale="85" zoomScaleNormal="85" workbookViewId="0">
      <selection activeCell="E13" sqref="E13"/>
    </sheetView>
  </sheetViews>
  <sheetFormatPr defaultRowHeight="15"/>
  <cols>
    <col min="1" max="1" width="2.570312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1.7109375" style="65" bestFit="1" customWidth="1"/>
    <col min="6" max="6" width="2.140625" style="65" customWidth="1"/>
    <col min="7" max="7" width="13" style="65" customWidth="1"/>
    <col min="8" max="8" width="13.42578125" style="65" customWidth="1"/>
    <col min="9" max="9" width="14.7109375" style="65" customWidth="1"/>
    <col min="10" max="10" width="2" style="65" customWidth="1"/>
    <col min="11" max="11" width="13.85546875" style="65" customWidth="1"/>
    <col min="12" max="12" width="12.7109375" style="65" customWidth="1"/>
    <col min="13" max="13" width="2.42578125" style="65" customWidth="1"/>
    <col min="14" max="16384" width="9.140625" style="65"/>
  </cols>
  <sheetData>
    <row r="1" spans="2:29" ht="23.25">
      <c r="B1" s="308" t="s">
        <v>33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/>
      <c r="C8" s="50"/>
      <c r="D8" s="50"/>
      <c r="E8" s="72"/>
      <c r="F8" s="72"/>
      <c r="G8" s="65" t="s">
        <v>40</v>
      </c>
      <c r="K8" s="58">
        <v>9.26</v>
      </c>
      <c r="L8" s="58">
        <v>9.26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/>
      <c r="C9" s="50"/>
      <c r="D9" s="50"/>
      <c r="E9" s="72"/>
      <c r="F9" s="72"/>
      <c r="G9" s="65" t="s">
        <v>29</v>
      </c>
      <c r="K9" s="143">
        <v>9.93</v>
      </c>
      <c r="L9" s="143">
        <v>9.93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109.71</v>
      </c>
      <c r="D10" s="59">
        <v>111.11</v>
      </c>
      <c r="E10" s="72"/>
      <c r="F10" s="72"/>
      <c r="K10" s="144">
        <f>SUM(K7:K9)</f>
        <v>19.21</v>
      </c>
      <c r="L10" s="144">
        <f>SUM(L7:L9)</f>
        <v>19.189999999999998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19.21</v>
      </c>
      <c r="D11" s="51">
        <f>+L10</f>
        <v>19.189999999999998</v>
      </c>
      <c r="E11" s="72"/>
      <c r="F11" s="72"/>
      <c r="G11" s="65" t="s">
        <v>41</v>
      </c>
      <c r="K11" s="58">
        <v>0</v>
      </c>
      <c r="L11" s="58">
        <v>0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2.4693000000000001</v>
      </c>
      <c r="D13" s="60">
        <v>2.5009000000000001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-0.32709999999999995</v>
      </c>
      <c r="E14" s="72"/>
      <c r="F14" s="72"/>
      <c r="G14" s="65" t="s">
        <v>42</v>
      </c>
      <c r="K14" s="39">
        <v>0</v>
      </c>
      <c r="L14" s="63">
        <v>-0.47499999999999998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>
        <v>0.1479</v>
      </c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2.5994999999999999</v>
      </c>
      <c r="D16" s="62">
        <v>2.6436999999999999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1.8270999999999999</v>
      </c>
      <c r="D17" s="62">
        <v>1.798</v>
      </c>
      <c r="E17" s="72"/>
      <c r="F17" s="72"/>
      <c r="G17" s="65" t="s">
        <v>14</v>
      </c>
      <c r="K17" s="40">
        <f>SUM(K14:K16)</f>
        <v>0</v>
      </c>
      <c r="L17" s="40">
        <f>SUM(L14:L16)</f>
        <v>-0.32709999999999995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0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0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0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0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0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 ht="6.75" customHeight="1">
      <c r="B23" s="168"/>
      <c r="C23" s="168"/>
      <c r="D23" s="168"/>
      <c r="E23" s="168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168"/>
      <c r="C24" s="168"/>
      <c r="D24" s="168"/>
      <c r="E24" s="168"/>
      <c r="F24" s="167"/>
      <c r="G24" s="167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167" t="s">
        <v>94</v>
      </c>
      <c r="C25" s="220">
        <f>+E25*C26*365*24/12</f>
        <v>36500</v>
      </c>
      <c r="D25" s="167" t="s">
        <v>95</v>
      </c>
      <c r="E25" s="45">
        <v>100</v>
      </c>
      <c r="F25" s="76"/>
      <c r="G25" s="167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167" t="s">
        <v>3</v>
      </c>
      <c r="C26" s="221">
        <v>0.5</v>
      </c>
      <c r="D26" s="167"/>
      <c r="E26" s="87"/>
      <c r="F26" s="76"/>
      <c r="G26" s="167"/>
      <c r="H26" s="170"/>
      <c r="I26" s="171"/>
      <c r="J26" s="72"/>
      <c r="K26" s="82"/>
      <c r="L26" s="82"/>
      <c r="M26" s="70"/>
      <c r="N26" s="76"/>
      <c r="O26" s="77"/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47" t="s">
        <v>4</v>
      </c>
      <c r="C27" s="48">
        <v>1.0348999999999999</v>
      </c>
      <c r="D27" s="78"/>
      <c r="E27" s="87"/>
      <c r="F27" s="81"/>
      <c r="G27" s="167"/>
      <c r="H27" s="169"/>
      <c r="I27" s="169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 ht="8.25" customHeight="1"/>
    <row r="29" spans="2:29">
      <c r="B29" s="262"/>
      <c r="C29" s="313" t="s">
        <v>44</v>
      </c>
      <c r="D29" s="314"/>
      <c r="E29" s="315"/>
      <c r="F29" s="263"/>
      <c r="G29" s="313" t="s">
        <v>45</v>
      </c>
      <c r="H29" s="314"/>
      <c r="I29" s="315"/>
      <c r="J29" s="263"/>
      <c r="K29" s="313" t="s">
        <v>46</v>
      </c>
      <c r="L29" s="315"/>
    </row>
    <row r="30" spans="2:29">
      <c r="B30" s="264"/>
      <c r="C30" s="113" t="s">
        <v>47</v>
      </c>
      <c r="D30" s="113" t="s">
        <v>5</v>
      </c>
      <c r="E30" s="114" t="s">
        <v>48</v>
      </c>
      <c r="F30" s="91"/>
      <c r="G30" s="113" t="s">
        <v>47</v>
      </c>
      <c r="H30" s="115" t="s">
        <v>5</v>
      </c>
      <c r="I30" s="114" t="s">
        <v>48</v>
      </c>
      <c r="J30" s="91"/>
      <c r="K30" s="311" t="s">
        <v>49</v>
      </c>
      <c r="L30" s="309" t="s">
        <v>50</v>
      </c>
    </row>
    <row r="31" spans="2:29">
      <c r="B31" s="264"/>
      <c r="C31" s="116" t="s">
        <v>51</v>
      </c>
      <c r="D31" s="116"/>
      <c r="E31" s="117" t="s">
        <v>51</v>
      </c>
      <c r="F31" s="91"/>
      <c r="G31" s="116" t="s">
        <v>51</v>
      </c>
      <c r="H31" s="117"/>
      <c r="I31" s="117" t="s">
        <v>51</v>
      </c>
      <c r="J31" s="91"/>
      <c r="K31" s="312"/>
      <c r="L31" s="310"/>
    </row>
    <row r="32" spans="2:29">
      <c r="B32" s="265" t="s">
        <v>52</v>
      </c>
      <c r="C32" s="142">
        <f>+C10</f>
        <v>109.71</v>
      </c>
      <c r="D32" s="90">
        <v>1</v>
      </c>
      <c r="E32" s="172">
        <f>+C32*D32</f>
        <v>109.71</v>
      </c>
      <c r="F32" s="91"/>
      <c r="G32" s="142">
        <f>+D10</f>
        <v>111.11</v>
      </c>
      <c r="H32" s="92">
        <v>1</v>
      </c>
      <c r="I32" s="189">
        <f>+G32*H32</f>
        <v>111.11</v>
      </c>
      <c r="J32" s="200"/>
      <c r="K32" s="190">
        <f>+I32-E32</f>
        <v>1.4000000000000057</v>
      </c>
      <c r="L32" s="133">
        <f>IF((E32)=0,"",(K32/E32))</f>
        <v>1.2760915139914373E-2</v>
      </c>
    </row>
    <row r="33" spans="2:15">
      <c r="B33" s="265" t="s">
        <v>12</v>
      </c>
      <c r="C33" s="110">
        <f>+C13</f>
        <v>2.4693000000000001</v>
      </c>
      <c r="D33" s="93">
        <f>+E25</f>
        <v>100</v>
      </c>
      <c r="E33" s="172">
        <f>+C33*D33</f>
        <v>246.93</v>
      </c>
      <c r="F33" s="91"/>
      <c r="G33" s="110">
        <f>+D13</f>
        <v>2.5009000000000001</v>
      </c>
      <c r="H33" s="94">
        <f>+E25</f>
        <v>100</v>
      </c>
      <c r="I33" s="189">
        <f>+G33*H33</f>
        <v>250.09</v>
      </c>
      <c r="J33" s="200"/>
      <c r="K33" s="190">
        <f t="shared" ref="K33:K34" si="1">+I33-E33</f>
        <v>3.1599999999999966</v>
      </c>
      <c r="L33" s="133">
        <f t="shared" ref="L33:L37" si="2">IF((E33)=0,"",(K33/E33))</f>
        <v>1.2797148989592179E-2</v>
      </c>
    </row>
    <row r="34" spans="2:15">
      <c r="B34" s="266" t="s">
        <v>53</v>
      </c>
      <c r="C34" s="160">
        <f>+K10</f>
        <v>19.21</v>
      </c>
      <c r="D34" s="90">
        <v>1</v>
      </c>
      <c r="E34" s="172">
        <f>+C34*D34</f>
        <v>19.21</v>
      </c>
      <c r="F34" s="91"/>
      <c r="G34" s="160">
        <f>+L10</f>
        <v>19.189999999999998</v>
      </c>
      <c r="H34" s="92">
        <v>1</v>
      </c>
      <c r="I34" s="189">
        <f t="shared" ref="I34" si="3">+G34*H34</f>
        <v>19.189999999999998</v>
      </c>
      <c r="J34" s="200"/>
      <c r="K34" s="190">
        <f t="shared" si="1"/>
        <v>-2.0000000000003126E-2</v>
      </c>
      <c r="L34" s="133">
        <f t="shared" si="2"/>
        <v>-1.0411244143676795E-3</v>
      </c>
    </row>
    <row r="35" spans="2:15">
      <c r="B35" s="217" t="s">
        <v>55</v>
      </c>
      <c r="C35" s="148"/>
      <c r="D35" s="148"/>
      <c r="E35" s="152">
        <f>SUM(E32:E34)</f>
        <v>375.84999999999997</v>
      </c>
      <c r="F35" s="218"/>
      <c r="G35" s="148"/>
      <c r="H35" s="100"/>
      <c r="I35" s="197">
        <f>SUM(I32:I34)</f>
        <v>380.39</v>
      </c>
      <c r="J35" s="219"/>
      <c r="K35" s="197">
        <f>+I35-E35</f>
        <v>4.5400000000000205</v>
      </c>
      <c r="L35" s="153">
        <f>IF((E35)=0,"",(K35/E35))</f>
        <v>1.2079286949581006E-2</v>
      </c>
    </row>
    <row r="36" spans="2:15" s="161" customFormat="1">
      <c r="B36" s="269" t="s">
        <v>58</v>
      </c>
      <c r="C36" s="112">
        <v>0</v>
      </c>
      <c r="D36" s="98">
        <f>+E25</f>
        <v>100</v>
      </c>
      <c r="E36" s="173">
        <f>+C36*D36</f>
        <v>0</v>
      </c>
      <c r="F36" s="91"/>
      <c r="G36" s="112">
        <v>0</v>
      </c>
      <c r="H36" s="99">
        <f>+E25</f>
        <v>100</v>
      </c>
      <c r="I36" s="204">
        <f>+G36*H36</f>
        <v>0</v>
      </c>
      <c r="J36" s="200"/>
      <c r="K36" s="190">
        <f>+I36-E36</f>
        <v>0</v>
      </c>
      <c r="L36" s="133" t="str">
        <f>IF((E36)=0,"",(K36/E36))</f>
        <v/>
      </c>
    </row>
    <row r="37" spans="2:15" s="66" customFormat="1">
      <c r="B37" s="268" t="s">
        <v>57</v>
      </c>
      <c r="C37" s="157">
        <v>0</v>
      </c>
      <c r="D37" s="93">
        <f>+E25</f>
        <v>100</v>
      </c>
      <c r="E37" s="120">
        <f>+C37*D37</f>
        <v>0</v>
      </c>
      <c r="F37" s="91"/>
      <c r="G37" s="192">
        <f>+D14</f>
        <v>-0.32709999999999995</v>
      </c>
      <c r="H37" s="94">
        <f>+E25</f>
        <v>100</v>
      </c>
      <c r="I37" s="189">
        <f t="shared" ref="I37" si="4">+G37*H37</f>
        <v>-32.709999999999994</v>
      </c>
      <c r="J37" s="200"/>
      <c r="K37" s="190">
        <f t="shared" ref="K37" si="5">+I37-E37</f>
        <v>-32.709999999999994</v>
      </c>
      <c r="L37" s="133" t="str">
        <f t="shared" si="2"/>
        <v/>
      </c>
    </row>
    <row r="38" spans="2:15">
      <c r="B38" s="119" t="s">
        <v>59</v>
      </c>
      <c r="C38" s="96"/>
      <c r="D38" s="96"/>
      <c r="E38" s="122">
        <f>SUM(E35:E37)</f>
        <v>375.84999999999997</v>
      </c>
      <c r="F38" s="91"/>
      <c r="G38" s="96"/>
      <c r="H38" s="97"/>
      <c r="I38" s="203">
        <f>SUM(I35:I37)</f>
        <v>347.68</v>
      </c>
      <c r="J38" s="200"/>
      <c r="K38" s="198">
        <f>+I38-E38</f>
        <v>-28.169999999999959</v>
      </c>
      <c r="L38" s="145">
        <f>IF((E38)=0,"",(K38/E38))</f>
        <v>-7.4950113077025302E-2</v>
      </c>
    </row>
    <row r="39" spans="2:15" ht="20.25" customHeight="1">
      <c r="B39" s="270" t="s">
        <v>60</v>
      </c>
      <c r="C39" s="110">
        <f>+C16</f>
        <v>2.5994999999999999</v>
      </c>
      <c r="D39" s="98">
        <f>+E25</f>
        <v>100</v>
      </c>
      <c r="E39" s="172">
        <f>+C39*D39</f>
        <v>259.95</v>
      </c>
      <c r="F39" s="91"/>
      <c r="G39" s="110">
        <f>+D16</f>
        <v>2.6436999999999999</v>
      </c>
      <c r="H39" s="99">
        <f>+E25</f>
        <v>100</v>
      </c>
      <c r="I39" s="189">
        <f>+G39*H39</f>
        <v>264.37</v>
      </c>
      <c r="J39" s="200"/>
      <c r="K39" s="190">
        <f t="shared" ref="K39:K40" si="6">+I39-E39</f>
        <v>4.4200000000000159</v>
      </c>
      <c r="L39" s="133">
        <f t="shared" ref="L39:L40" si="7">IF((E39)=0,"",(K39/E39))</f>
        <v>1.7003269859588444E-2</v>
      </c>
      <c r="O39" s="144"/>
    </row>
    <row r="40" spans="2:15" ht="25.5">
      <c r="B40" s="271" t="s">
        <v>61</v>
      </c>
      <c r="C40" s="110">
        <f>+C17</f>
        <v>1.8270999999999999</v>
      </c>
      <c r="D40" s="98">
        <f>+E25</f>
        <v>100</v>
      </c>
      <c r="E40" s="172">
        <f>+C40*D40</f>
        <v>182.71</v>
      </c>
      <c r="F40" s="91"/>
      <c r="G40" s="110">
        <f>+D17</f>
        <v>1.798</v>
      </c>
      <c r="H40" s="99">
        <f>+E25</f>
        <v>100</v>
      </c>
      <c r="I40" s="189">
        <f>+G40*H40</f>
        <v>179.8</v>
      </c>
      <c r="J40" s="200"/>
      <c r="K40" s="190">
        <f t="shared" si="6"/>
        <v>-2.9099999999999966</v>
      </c>
      <c r="L40" s="133">
        <f t="shared" si="7"/>
        <v>-1.5926878660171839E-2</v>
      </c>
    </row>
    <row r="41" spans="2:15">
      <c r="B41" s="119" t="s">
        <v>62</v>
      </c>
      <c r="C41" s="96"/>
      <c r="D41" s="96"/>
      <c r="E41" s="122">
        <f>SUM(E38:E40)</f>
        <v>818.51</v>
      </c>
      <c r="F41" s="91"/>
      <c r="G41" s="100"/>
      <c r="H41" s="101"/>
      <c r="I41" s="203">
        <f>SUM(I38:I40)</f>
        <v>791.84999999999991</v>
      </c>
      <c r="J41" s="200"/>
      <c r="K41" s="198">
        <f>+I41-E41</f>
        <v>-26.660000000000082</v>
      </c>
      <c r="L41" s="145">
        <f>IF((E41)=0,"",(K41/E41))</f>
        <v>-3.2571379702141794E-2</v>
      </c>
    </row>
    <row r="42" spans="2:15">
      <c r="B42" s="272" t="s">
        <v>63</v>
      </c>
      <c r="C42" s="112">
        <f>+C18</f>
        <v>4.4000000000000003E-3</v>
      </c>
      <c r="D42" s="98">
        <f>+$C$25*$C$27</f>
        <v>37773.85</v>
      </c>
      <c r="E42" s="173">
        <f>+C42*D42</f>
        <v>166.20493999999999</v>
      </c>
      <c r="F42" s="91"/>
      <c r="G42" s="112">
        <f>+D18</f>
        <v>4.4000000000000003E-3</v>
      </c>
      <c r="H42" s="99">
        <f>+$C$25*$C$27</f>
        <v>37773.85</v>
      </c>
      <c r="I42" s="204">
        <f>+G42*H42</f>
        <v>166.20493999999999</v>
      </c>
      <c r="J42" s="200"/>
      <c r="K42" s="190">
        <f t="shared" ref="K42:K46" si="8">+I42-E42</f>
        <v>0</v>
      </c>
      <c r="L42" s="133">
        <f t="shared" ref="L42:L46" si="9">IF((E42)=0,"",(K42/E42))</f>
        <v>0</v>
      </c>
    </row>
    <row r="43" spans="2:15">
      <c r="B43" s="272" t="s">
        <v>64</v>
      </c>
      <c r="C43" s="112">
        <f t="shared" ref="C43:C45" si="10">+C19</f>
        <v>1.1999999999999999E-3</v>
      </c>
      <c r="D43" s="98">
        <f>+$C$25*$C$27</f>
        <v>37773.85</v>
      </c>
      <c r="E43" s="173">
        <f t="shared" ref="E43:E46" si="11">+C43*D43</f>
        <v>45.328619999999994</v>
      </c>
      <c r="F43" s="91"/>
      <c r="G43" s="112">
        <f t="shared" ref="G43:G45" si="12">+D19</f>
        <v>1.1999999999999999E-3</v>
      </c>
      <c r="H43" s="99">
        <f>+$C$25*$C$27</f>
        <v>37773.85</v>
      </c>
      <c r="I43" s="204">
        <f t="shared" ref="I43:I46" si="13">+G43*H43</f>
        <v>45.328619999999994</v>
      </c>
      <c r="J43" s="200"/>
      <c r="K43" s="190">
        <f t="shared" si="8"/>
        <v>0</v>
      </c>
      <c r="L43" s="133">
        <f t="shared" si="9"/>
        <v>0</v>
      </c>
    </row>
    <row r="44" spans="2:15">
      <c r="B44" s="265" t="s">
        <v>65</v>
      </c>
      <c r="C44" s="112">
        <f t="shared" si="10"/>
        <v>0.25</v>
      </c>
      <c r="D44" s="98">
        <v>1</v>
      </c>
      <c r="E44" s="173">
        <f t="shared" si="11"/>
        <v>0.25</v>
      </c>
      <c r="F44" s="91"/>
      <c r="G44" s="112">
        <f t="shared" si="12"/>
        <v>0.25</v>
      </c>
      <c r="H44" s="99">
        <v>1</v>
      </c>
      <c r="I44" s="204">
        <f t="shared" si="13"/>
        <v>0.25</v>
      </c>
      <c r="J44" s="200"/>
      <c r="K44" s="190">
        <f t="shared" si="8"/>
        <v>0</v>
      </c>
      <c r="L44" s="133">
        <f t="shared" si="9"/>
        <v>0</v>
      </c>
    </row>
    <row r="45" spans="2:15">
      <c r="B45" s="265" t="s">
        <v>18</v>
      </c>
      <c r="C45" s="112">
        <f t="shared" si="10"/>
        <v>7.0000000000000001E-3</v>
      </c>
      <c r="D45" s="93">
        <f>+$C$25</f>
        <v>36500</v>
      </c>
      <c r="E45" s="173">
        <f t="shared" si="11"/>
        <v>255.5</v>
      </c>
      <c r="F45" s="91"/>
      <c r="G45" s="112">
        <f t="shared" si="12"/>
        <v>7.0000000000000001E-3</v>
      </c>
      <c r="H45" s="99">
        <f>+$C$25</f>
        <v>36500</v>
      </c>
      <c r="I45" s="204">
        <f t="shared" si="13"/>
        <v>255.5</v>
      </c>
      <c r="J45" s="200"/>
      <c r="K45" s="190">
        <f t="shared" si="8"/>
        <v>0</v>
      </c>
      <c r="L45" s="133">
        <f t="shared" si="9"/>
        <v>0</v>
      </c>
    </row>
    <row r="46" spans="2:15" ht="15.75" thickBot="1">
      <c r="B46" s="269" t="s">
        <v>96</v>
      </c>
      <c r="C46" s="102">
        <f>+C7</f>
        <v>7.8916666666666663E-2</v>
      </c>
      <c r="D46" s="98">
        <f>+C25*C27</f>
        <v>37773.85</v>
      </c>
      <c r="E46" s="123">
        <f t="shared" si="11"/>
        <v>2980.9863291666666</v>
      </c>
      <c r="F46" s="91"/>
      <c r="G46" s="102">
        <f>+D7</f>
        <v>7.8916666666666663E-2</v>
      </c>
      <c r="H46" s="98">
        <f>+D46</f>
        <v>37773.85</v>
      </c>
      <c r="I46" s="204">
        <f t="shared" si="13"/>
        <v>2980.9863291666666</v>
      </c>
      <c r="J46" s="200"/>
      <c r="K46" s="190">
        <f t="shared" si="8"/>
        <v>0</v>
      </c>
      <c r="L46" s="133">
        <f t="shared" si="9"/>
        <v>0</v>
      </c>
    </row>
    <row r="47" spans="2:15" ht="15.75" thickBot="1">
      <c r="B47" s="273"/>
      <c r="C47" s="103"/>
      <c r="D47" s="104"/>
      <c r="E47" s="124"/>
      <c r="F47" s="105"/>
      <c r="G47" s="103"/>
      <c r="H47" s="106"/>
      <c r="I47" s="205"/>
      <c r="J47" s="206"/>
      <c r="K47" s="227"/>
      <c r="L47" s="274"/>
    </row>
    <row r="48" spans="2:15">
      <c r="B48" s="275" t="s">
        <v>90</v>
      </c>
      <c r="C48" s="134"/>
      <c r="D48" s="135"/>
      <c r="E48" s="125">
        <f>SUM(E41:E46)</f>
        <v>4266.7798891666662</v>
      </c>
      <c r="F48" s="136"/>
      <c r="G48" s="137"/>
      <c r="H48" s="137"/>
      <c r="I48" s="225">
        <f>SUM(I41:I46)</f>
        <v>4240.1198891666663</v>
      </c>
      <c r="J48" s="208"/>
      <c r="K48" s="225">
        <f>+I48-E48</f>
        <v>-26.659999999999854</v>
      </c>
      <c r="L48" s="226">
        <f t="shared" ref="L48:L49" si="14">IF((E48)=0,"",(K48/E48))</f>
        <v>-6.2482716925917519E-3</v>
      </c>
    </row>
    <row r="49" spans="2:12">
      <c r="B49" s="276" t="s">
        <v>19</v>
      </c>
      <c r="C49" s="134">
        <v>0.13</v>
      </c>
      <c r="D49" s="138"/>
      <c r="E49" s="126">
        <f>+E48*C49</f>
        <v>554.68138559166664</v>
      </c>
      <c r="F49" s="90"/>
      <c r="G49" s="134">
        <v>0.13</v>
      </c>
      <c r="H49" s="90"/>
      <c r="I49" s="209">
        <f>+I48*G49</f>
        <v>551.2155855916667</v>
      </c>
      <c r="J49" s="210"/>
      <c r="K49" s="195">
        <f t="shared" ref="K49:K50" si="15">+I49-E49</f>
        <v>-3.4657999999999447</v>
      </c>
      <c r="L49" s="146">
        <f t="shared" si="14"/>
        <v>-6.2482716925916859E-3</v>
      </c>
    </row>
    <row r="50" spans="2:12" ht="15.75" thickBot="1">
      <c r="B50" s="279" t="s">
        <v>97</v>
      </c>
      <c r="C50" s="139"/>
      <c r="D50" s="140"/>
      <c r="E50" s="128">
        <f>+E48+E49</f>
        <v>4821.4612747583324</v>
      </c>
      <c r="F50" s="141"/>
      <c r="G50" s="141"/>
      <c r="H50" s="141"/>
      <c r="I50" s="212">
        <f>+I48+I49</f>
        <v>4791.3354747583326</v>
      </c>
      <c r="J50" s="213"/>
      <c r="K50" s="196">
        <f t="shared" si="15"/>
        <v>-30.125799999999799</v>
      </c>
      <c r="L50" s="155">
        <f>IF((E50)=0,"",(K50/E50))</f>
        <v>-6.2482716925917449E-3</v>
      </c>
    </row>
    <row r="51" spans="2:12" s="161" customFormat="1">
      <c r="B51" s="280"/>
      <c r="C51" s="281"/>
      <c r="D51" s="282"/>
      <c r="E51" s="283"/>
      <c r="F51" s="284"/>
      <c r="G51" s="281"/>
      <c r="H51" s="285"/>
      <c r="I51" s="286"/>
      <c r="J51" s="287"/>
      <c r="K51" s="288"/>
      <c r="L51" s="289"/>
    </row>
    <row r="53" spans="2:12">
      <c r="E53" s="144"/>
      <c r="I53" s="144"/>
    </row>
    <row r="54" spans="2:12">
      <c r="E54" s="144"/>
      <c r="I54" s="144"/>
    </row>
    <row r="55" spans="2:12" ht="113.2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L34 C42:L45 C35:D38 F35:H38 C39:H40 J39:L41 J35:L38 C41:D41 F41:H41 C47:L51 D46:L46" unlockedFormula="1"/>
    <ignoredError sqref="E35:E38 I35:I38 I39:I41 E41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AC55"/>
  <sheetViews>
    <sheetView showGridLines="0" zoomScale="85" zoomScaleNormal="85" workbookViewId="0">
      <selection sqref="A1:M60"/>
    </sheetView>
  </sheetViews>
  <sheetFormatPr defaultRowHeight="15"/>
  <cols>
    <col min="1" max="1" width="2.28515625" style="161" customWidth="1"/>
    <col min="2" max="2" width="47.5703125" style="161" customWidth="1"/>
    <col min="3" max="3" width="13.5703125" style="161" customWidth="1"/>
    <col min="4" max="4" width="13.140625" style="161" customWidth="1"/>
    <col min="5" max="5" width="17.5703125" style="161" customWidth="1"/>
    <col min="6" max="6" width="2.140625" style="161" customWidth="1"/>
    <col min="7" max="7" width="13" style="161" customWidth="1"/>
    <col min="8" max="8" width="13.42578125" style="161" customWidth="1"/>
    <col min="9" max="9" width="12.85546875" style="161" bestFit="1" customWidth="1"/>
    <col min="10" max="10" width="2" style="161" customWidth="1"/>
    <col min="11" max="11" width="10.7109375" style="161" bestFit="1" customWidth="1"/>
    <col min="12" max="12" width="10.28515625" style="161" bestFit="1" customWidth="1"/>
    <col min="13" max="13" width="1.85546875" style="161" customWidth="1"/>
    <col min="14" max="16384" width="9.140625" style="161"/>
  </cols>
  <sheetData>
    <row r="1" spans="2:29" ht="23.25">
      <c r="B1" s="308" t="s">
        <v>33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2"/>
      <c r="F7" s="72"/>
      <c r="G7" s="161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/>
      <c r="C8" s="50"/>
      <c r="D8" s="50"/>
      <c r="E8" s="72"/>
      <c r="F8" s="72"/>
      <c r="G8" s="161" t="s">
        <v>40</v>
      </c>
      <c r="K8" s="58">
        <v>9.26</v>
      </c>
      <c r="L8" s="58">
        <v>9.26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/>
      <c r="C9" s="50"/>
      <c r="D9" s="50"/>
      <c r="E9" s="72"/>
      <c r="F9" s="72"/>
      <c r="G9" s="161" t="s">
        <v>29</v>
      </c>
      <c r="K9" s="143">
        <v>9.93</v>
      </c>
      <c r="L9" s="143">
        <v>9.93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109.71</v>
      </c>
      <c r="D10" s="59">
        <v>111.11</v>
      </c>
      <c r="E10" s="72"/>
      <c r="F10" s="72"/>
      <c r="K10" s="144">
        <f>SUM(K7:K9)</f>
        <v>19.21</v>
      </c>
      <c r="L10" s="144">
        <f>SUM(L7:L9)</f>
        <v>19.189999999999998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19.21</v>
      </c>
      <c r="D11" s="51">
        <f>+L10</f>
        <v>19.189999999999998</v>
      </c>
      <c r="E11" s="72"/>
      <c r="F11" s="72"/>
      <c r="G11" s="161" t="s">
        <v>41</v>
      </c>
      <c r="K11" s="58">
        <v>0</v>
      </c>
      <c r="L11" s="58">
        <v>0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2.4693000000000001</v>
      </c>
      <c r="D13" s="60">
        <v>2.5009000000000001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-0.32709999999999995</v>
      </c>
      <c r="E14" s="72"/>
      <c r="F14" s="72"/>
      <c r="G14" s="161" t="s">
        <v>42</v>
      </c>
      <c r="K14" s="39">
        <v>0</v>
      </c>
      <c r="L14" s="63">
        <v>-0.47499999999999998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>
        <v>0.1479</v>
      </c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2.5994999999999999</v>
      </c>
      <c r="D16" s="62">
        <v>2.6436999999999999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1.8270999999999999</v>
      </c>
      <c r="D17" s="62">
        <v>1.798</v>
      </c>
      <c r="E17" s="72"/>
      <c r="F17" s="72"/>
      <c r="G17" s="161" t="s">
        <v>14</v>
      </c>
      <c r="K17" s="40">
        <f>SUM(K14:K16)</f>
        <v>0</v>
      </c>
      <c r="L17" s="40">
        <f>SUM(L14:L16)</f>
        <v>-0.32709999999999995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0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0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0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0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0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 ht="6.75" customHeight="1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168"/>
      <c r="C24" s="168"/>
      <c r="D24" s="168"/>
      <c r="E24" s="168"/>
      <c r="F24" s="167"/>
      <c r="G24" s="167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167" t="s">
        <v>94</v>
      </c>
      <c r="C25" s="220">
        <f>+E25*C26*365*24/12</f>
        <v>182500</v>
      </c>
      <c r="D25" s="167" t="s">
        <v>95</v>
      </c>
      <c r="E25" s="45">
        <v>500</v>
      </c>
      <c r="F25" s="76"/>
      <c r="G25" s="167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167" t="s">
        <v>3</v>
      </c>
      <c r="C26" s="221">
        <v>0.5</v>
      </c>
      <c r="D26" s="167"/>
      <c r="E26" s="87"/>
      <c r="F26" s="76"/>
      <c r="G26" s="167"/>
      <c r="H26" s="170"/>
      <c r="I26" s="171"/>
      <c r="J26" s="72"/>
      <c r="K26" s="82"/>
      <c r="L26" s="82"/>
      <c r="M26" s="70"/>
      <c r="N26" s="76"/>
      <c r="O26" s="77"/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47" t="s">
        <v>4</v>
      </c>
      <c r="C27" s="48">
        <v>1.0348999999999999</v>
      </c>
      <c r="D27" s="78"/>
      <c r="E27" s="87"/>
      <c r="F27" s="81"/>
      <c r="G27" s="167"/>
      <c r="H27" s="169"/>
      <c r="I27" s="169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 ht="8.25" customHeight="1"/>
    <row r="29" spans="2:29">
      <c r="B29" s="262"/>
      <c r="C29" s="313" t="s">
        <v>44</v>
      </c>
      <c r="D29" s="314"/>
      <c r="E29" s="315"/>
      <c r="F29" s="263"/>
      <c r="G29" s="313" t="s">
        <v>45</v>
      </c>
      <c r="H29" s="314"/>
      <c r="I29" s="315"/>
      <c r="J29" s="263"/>
      <c r="K29" s="313" t="s">
        <v>46</v>
      </c>
      <c r="L29" s="315"/>
    </row>
    <row r="30" spans="2:29">
      <c r="B30" s="264"/>
      <c r="C30" s="113" t="s">
        <v>47</v>
      </c>
      <c r="D30" s="113" t="s">
        <v>5</v>
      </c>
      <c r="E30" s="114" t="s">
        <v>48</v>
      </c>
      <c r="F30" s="91"/>
      <c r="G30" s="113" t="s">
        <v>47</v>
      </c>
      <c r="H30" s="115" t="s">
        <v>5</v>
      </c>
      <c r="I30" s="114" t="s">
        <v>48</v>
      </c>
      <c r="J30" s="91"/>
      <c r="K30" s="311" t="s">
        <v>49</v>
      </c>
      <c r="L30" s="309" t="s">
        <v>50</v>
      </c>
    </row>
    <row r="31" spans="2:29">
      <c r="B31" s="264"/>
      <c r="C31" s="116" t="s">
        <v>51</v>
      </c>
      <c r="D31" s="116"/>
      <c r="E31" s="117" t="s">
        <v>51</v>
      </c>
      <c r="F31" s="91"/>
      <c r="G31" s="116" t="s">
        <v>51</v>
      </c>
      <c r="H31" s="117"/>
      <c r="I31" s="117" t="s">
        <v>51</v>
      </c>
      <c r="J31" s="91"/>
      <c r="K31" s="312"/>
      <c r="L31" s="310"/>
    </row>
    <row r="32" spans="2:29">
      <c r="B32" s="265" t="s">
        <v>52</v>
      </c>
      <c r="C32" s="142">
        <f>+C10</f>
        <v>109.71</v>
      </c>
      <c r="D32" s="90">
        <v>1</v>
      </c>
      <c r="E32" s="172">
        <f>+C32*D32</f>
        <v>109.71</v>
      </c>
      <c r="F32" s="91"/>
      <c r="G32" s="142">
        <f>+D10</f>
        <v>111.11</v>
      </c>
      <c r="H32" s="92">
        <v>1</v>
      </c>
      <c r="I32" s="189">
        <f>+G32*H32</f>
        <v>111.11</v>
      </c>
      <c r="J32" s="200"/>
      <c r="K32" s="190">
        <f>+I32-E32</f>
        <v>1.4000000000000057</v>
      </c>
      <c r="L32" s="133">
        <f>IF((E32)=0,"",(K32/E32))</f>
        <v>1.2760915139914373E-2</v>
      </c>
    </row>
    <row r="33" spans="2:15">
      <c r="B33" s="265" t="s">
        <v>12</v>
      </c>
      <c r="C33" s="110">
        <f>+C13</f>
        <v>2.4693000000000001</v>
      </c>
      <c r="D33" s="93">
        <f>+E25</f>
        <v>500</v>
      </c>
      <c r="E33" s="172">
        <f>+C33*D33</f>
        <v>1234.6500000000001</v>
      </c>
      <c r="F33" s="91"/>
      <c r="G33" s="110">
        <f>+D13</f>
        <v>2.5009000000000001</v>
      </c>
      <c r="H33" s="94">
        <f>+E25</f>
        <v>500</v>
      </c>
      <c r="I33" s="189">
        <f>+G33*H33</f>
        <v>1250.45</v>
      </c>
      <c r="J33" s="200"/>
      <c r="K33" s="190">
        <f t="shared" ref="K33:K34" si="1">+I33-E33</f>
        <v>15.799999999999955</v>
      </c>
      <c r="L33" s="133">
        <f t="shared" ref="L33:L37" si="2">IF((E33)=0,"",(K33/E33))</f>
        <v>1.2797148989592154E-2</v>
      </c>
    </row>
    <row r="34" spans="2:15">
      <c r="B34" s="266" t="s">
        <v>53</v>
      </c>
      <c r="C34" s="160">
        <f>+K10</f>
        <v>19.21</v>
      </c>
      <c r="D34" s="90">
        <v>1</v>
      </c>
      <c r="E34" s="172">
        <f>+C34*D34</f>
        <v>19.21</v>
      </c>
      <c r="F34" s="91"/>
      <c r="G34" s="160">
        <f>+L10</f>
        <v>19.189999999999998</v>
      </c>
      <c r="H34" s="92">
        <v>1</v>
      </c>
      <c r="I34" s="189">
        <f t="shared" ref="I34" si="3">+G34*H34</f>
        <v>19.189999999999998</v>
      </c>
      <c r="J34" s="200"/>
      <c r="K34" s="190">
        <f t="shared" si="1"/>
        <v>-2.0000000000003126E-2</v>
      </c>
      <c r="L34" s="133">
        <f t="shared" si="2"/>
        <v>-1.0411244143676795E-3</v>
      </c>
    </row>
    <row r="35" spans="2:15">
      <c r="B35" s="217" t="s">
        <v>55</v>
      </c>
      <c r="C35" s="148"/>
      <c r="D35" s="148"/>
      <c r="E35" s="152">
        <f>SUM(E32:E34)</f>
        <v>1363.5700000000002</v>
      </c>
      <c r="F35" s="218"/>
      <c r="G35" s="148"/>
      <c r="H35" s="100"/>
      <c r="I35" s="197">
        <f>SUM(I32:I34)</f>
        <v>1380.75</v>
      </c>
      <c r="J35" s="219"/>
      <c r="K35" s="197">
        <f>+I35-E35</f>
        <v>17.179999999999836</v>
      </c>
      <c r="L35" s="153">
        <f>IF((E35)=0,"",(K35/E35))</f>
        <v>1.259927983161835E-2</v>
      </c>
    </row>
    <row r="36" spans="2:15" s="66" customFormat="1">
      <c r="B36" s="269" t="s">
        <v>58</v>
      </c>
      <c r="C36" s="112">
        <v>0</v>
      </c>
      <c r="D36" s="98">
        <f>+E25</f>
        <v>500</v>
      </c>
      <c r="E36" s="173">
        <f>+C36*D36</f>
        <v>0</v>
      </c>
      <c r="F36" s="91"/>
      <c r="G36" s="112">
        <v>0</v>
      </c>
      <c r="H36" s="99">
        <f>+E25</f>
        <v>500</v>
      </c>
      <c r="I36" s="204">
        <f>+G36*H36</f>
        <v>0</v>
      </c>
      <c r="J36" s="200"/>
      <c r="K36" s="190">
        <f>+I36-E36</f>
        <v>0</v>
      </c>
      <c r="L36" s="133" t="str">
        <f>IF((E36)=0,"",(K36/E36))</f>
        <v/>
      </c>
    </row>
    <row r="37" spans="2:15">
      <c r="B37" s="268" t="s">
        <v>57</v>
      </c>
      <c r="C37" s="157">
        <v>0</v>
      </c>
      <c r="D37" s="93">
        <f>+E25</f>
        <v>500</v>
      </c>
      <c r="E37" s="120">
        <f>+C37*D37</f>
        <v>0</v>
      </c>
      <c r="F37" s="91"/>
      <c r="G37" s="192">
        <f>+D14</f>
        <v>-0.32709999999999995</v>
      </c>
      <c r="H37" s="94">
        <f>+E25</f>
        <v>500</v>
      </c>
      <c r="I37" s="189">
        <f t="shared" ref="I37" si="4">+G37*H37</f>
        <v>-163.54999999999998</v>
      </c>
      <c r="J37" s="200"/>
      <c r="K37" s="190">
        <f t="shared" ref="K37" si="5">+I37-E37</f>
        <v>-163.54999999999998</v>
      </c>
      <c r="L37" s="133" t="str">
        <f t="shared" si="2"/>
        <v/>
      </c>
    </row>
    <row r="38" spans="2:15">
      <c r="B38" s="119" t="s">
        <v>59</v>
      </c>
      <c r="C38" s="96"/>
      <c r="D38" s="96"/>
      <c r="E38" s="122">
        <f>SUM(E35:E37)</f>
        <v>1363.5700000000002</v>
      </c>
      <c r="F38" s="91"/>
      <c r="G38" s="96"/>
      <c r="H38" s="97"/>
      <c r="I38" s="203">
        <f>SUM(I35:I37)</f>
        <v>1217.2</v>
      </c>
      <c r="J38" s="200"/>
      <c r="K38" s="198">
        <f>+I38-E38</f>
        <v>-146.37000000000012</v>
      </c>
      <c r="L38" s="145">
        <f>IF((E38)=0,"",(K38/E38))</f>
        <v>-0.1073432240369032</v>
      </c>
      <c r="O38" s="144"/>
    </row>
    <row r="39" spans="2:15">
      <c r="B39" s="270" t="s">
        <v>60</v>
      </c>
      <c r="C39" s="110">
        <f>+C16</f>
        <v>2.5994999999999999</v>
      </c>
      <c r="D39" s="98">
        <f>+E25</f>
        <v>500</v>
      </c>
      <c r="E39" s="172">
        <f>+C39*D39</f>
        <v>1299.75</v>
      </c>
      <c r="F39" s="91"/>
      <c r="G39" s="110">
        <f>+D16</f>
        <v>2.6436999999999999</v>
      </c>
      <c r="H39" s="99">
        <f>+E25</f>
        <v>500</v>
      </c>
      <c r="I39" s="189">
        <f>+G39*H39</f>
        <v>1321.85</v>
      </c>
      <c r="J39" s="200"/>
      <c r="K39" s="190">
        <f t="shared" ref="K39:K40" si="6">+I39-E39</f>
        <v>22.099999999999909</v>
      </c>
      <c r="L39" s="133">
        <f t="shared" ref="L39:L40" si="7">IF((E39)=0,"",(K39/E39))</f>
        <v>1.7003269859588312E-2</v>
      </c>
    </row>
    <row r="40" spans="2:15" ht="30" customHeight="1">
      <c r="B40" s="271" t="s">
        <v>61</v>
      </c>
      <c r="C40" s="110">
        <f>+C17</f>
        <v>1.8270999999999999</v>
      </c>
      <c r="D40" s="98">
        <f>+E25</f>
        <v>500</v>
      </c>
      <c r="E40" s="172">
        <f>+C40*D40</f>
        <v>913.55</v>
      </c>
      <c r="F40" s="91"/>
      <c r="G40" s="110">
        <f>+D17</f>
        <v>1.798</v>
      </c>
      <c r="H40" s="99">
        <f>+E25</f>
        <v>500</v>
      </c>
      <c r="I40" s="189">
        <f>+G40*H40</f>
        <v>899</v>
      </c>
      <c r="J40" s="200"/>
      <c r="K40" s="190">
        <f t="shared" si="6"/>
        <v>-14.549999999999955</v>
      </c>
      <c r="L40" s="133">
        <f t="shared" si="7"/>
        <v>-1.5926878660171808E-2</v>
      </c>
    </row>
    <row r="41" spans="2:15">
      <c r="B41" s="119" t="s">
        <v>62</v>
      </c>
      <c r="C41" s="96"/>
      <c r="D41" s="96"/>
      <c r="E41" s="122">
        <f>SUM(E38:E40)</f>
        <v>3576.87</v>
      </c>
      <c r="F41" s="91"/>
      <c r="G41" s="100"/>
      <c r="H41" s="101"/>
      <c r="I41" s="203">
        <f>SUM(I38:I40)</f>
        <v>3438.05</v>
      </c>
      <c r="J41" s="200"/>
      <c r="K41" s="198">
        <f>+I41-E41</f>
        <v>-138.81999999999971</v>
      </c>
      <c r="L41" s="145">
        <f>IF((E41)=0,"",(K41/E41))</f>
        <v>-3.8810468370390795E-2</v>
      </c>
    </row>
    <row r="42" spans="2:15">
      <c r="B42" s="272" t="s">
        <v>63</v>
      </c>
      <c r="C42" s="112">
        <f>+C18</f>
        <v>4.4000000000000003E-3</v>
      </c>
      <c r="D42" s="98">
        <f>+$C$25*$C$27</f>
        <v>188869.25</v>
      </c>
      <c r="E42" s="173">
        <f>+C42*D42</f>
        <v>831.02470000000005</v>
      </c>
      <c r="F42" s="91"/>
      <c r="G42" s="112">
        <f>+D18</f>
        <v>4.4000000000000003E-3</v>
      </c>
      <c r="H42" s="99">
        <f>+$C$25*$C$27</f>
        <v>188869.25</v>
      </c>
      <c r="I42" s="204">
        <f>+G42*H42</f>
        <v>831.02470000000005</v>
      </c>
      <c r="J42" s="200"/>
      <c r="K42" s="190">
        <f t="shared" ref="K42:K46" si="8">+I42-E42</f>
        <v>0</v>
      </c>
      <c r="L42" s="133">
        <f t="shared" ref="L42:L46" si="9">IF((E42)=0,"",(K42/E42))</f>
        <v>0</v>
      </c>
    </row>
    <row r="43" spans="2:15">
      <c r="B43" s="272" t="s">
        <v>64</v>
      </c>
      <c r="C43" s="112">
        <f t="shared" ref="C43:C45" si="10">+C19</f>
        <v>1.1999999999999999E-3</v>
      </c>
      <c r="D43" s="98">
        <f>+$C$25*$C$27</f>
        <v>188869.25</v>
      </c>
      <c r="E43" s="173">
        <f t="shared" ref="E43:E46" si="11">+C43*D43</f>
        <v>226.64309999999998</v>
      </c>
      <c r="F43" s="91"/>
      <c r="G43" s="112">
        <f t="shared" ref="G43:G45" si="12">+D19</f>
        <v>1.1999999999999999E-3</v>
      </c>
      <c r="H43" s="99">
        <f>+$C$25*$C$27</f>
        <v>188869.25</v>
      </c>
      <c r="I43" s="204">
        <f t="shared" ref="I43:I46" si="13">+G43*H43</f>
        <v>226.64309999999998</v>
      </c>
      <c r="J43" s="200"/>
      <c r="K43" s="190">
        <f t="shared" si="8"/>
        <v>0</v>
      </c>
      <c r="L43" s="133">
        <f t="shared" si="9"/>
        <v>0</v>
      </c>
    </row>
    <row r="44" spans="2:15">
      <c r="B44" s="265" t="s">
        <v>65</v>
      </c>
      <c r="C44" s="112">
        <f t="shared" si="10"/>
        <v>0.25</v>
      </c>
      <c r="D44" s="98">
        <v>1</v>
      </c>
      <c r="E44" s="173">
        <f t="shared" si="11"/>
        <v>0.25</v>
      </c>
      <c r="F44" s="91"/>
      <c r="G44" s="112">
        <f t="shared" si="12"/>
        <v>0.25</v>
      </c>
      <c r="H44" s="99">
        <v>1</v>
      </c>
      <c r="I44" s="204">
        <f t="shared" si="13"/>
        <v>0.25</v>
      </c>
      <c r="J44" s="200"/>
      <c r="K44" s="190">
        <f t="shared" si="8"/>
        <v>0</v>
      </c>
      <c r="L44" s="133">
        <f t="shared" si="9"/>
        <v>0</v>
      </c>
    </row>
    <row r="45" spans="2:15">
      <c r="B45" s="265" t="s">
        <v>18</v>
      </c>
      <c r="C45" s="112">
        <f t="shared" si="10"/>
        <v>7.0000000000000001E-3</v>
      </c>
      <c r="D45" s="93">
        <f>+$C$25</f>
        <v>182500</v>
      </c>
      <c r="E45" s="173">
        <f t="shared" si="11"/>
        <v>1277.5</v>
      </c>
      <c r="F45" s="91"/>
      <c r="G45" s="112">
        <f t="shared" si="12"/>
        <v>7.0000000000000001E-3</v>
      </c>
      <c r="H45" s="99">
        <f>+$C$25</f>
        <v>182500</v>
      </c>
      <c r="I45" s="204">
        <f t="shared" si="13"/>
        <v>1277.5</v>
      </c>
      <c r="J45" s="200"/>
      <c r="K45" s="190">
        <f t="shared" si="8"/>
        <v>0</v>
      </c>
      <c r="L45" s="133">
        <f t="shared" si="9"/>
        <v>0</v>
      </c>
    </row>
    <row r="46" spans="2:15" ht="15.75" thickBot="1">
      <c r="B46" s="269" t="s">
        <v>96</v>
      </c>
      <c r="C46" s="102">
        <f>+C7</f>
        <v>7.8916666666666663E-2</v>
      </c>
      <c r="D46" s="98">
        <f>+C25*C27</f>
        <v>188869.25</v>
      </c>
      <c r="E46" s="123">
        <f t="shared" si="11"/>
        <v>14904.931645833332</v>
      </c>
      <c r="F46" s="91"/>
      <c r="G46" s="102">
        <f>+D7</f>
        <v>7.8916666666666663E-2</v>
      </c>
      <c r="H46" s="98">
        <f>+D46</f>
        <v>188869.25</v>
      </c>
      <c r="I46" s="204">
        <f t="shared" si="13"/>
        <v>14904.931645833332</v>
      </c>
      <c r="J46" s="200"/>
      <c r="K46" s="190">
        <f t="shared" si="8"/>
        <v>0</v>
      </c>
      <c r="L46" s="133">
        <f t="shared" si="9"/>
        <v>0</v>
      </c>
    </row>
    <row r="47" spans="2:15" ht="15.75" thickBot="1">
      <c r="B47" s="273"/>
      <c r="C47" s="103"/>
      <c r="D47" s="104"/>
      <c r="E47" s="124"/>
      <c r="F47" s="105"/>
      <c r="G47" s="103"/>
      <c r="H47" s="106"/>
      <c r="I47" s="205"/>
      <c r="J47" s="206"/>
      <c r="K47" s="227"/>
      <c r="L47" s="274"/>
    </row>
    <row r="48" spans="2:15">
      <c r="B48" s="275" t="s">
        <v>90</v>
      </c>
      <c r="C48" s="134"/>
      <c r="D48" s="135"/>
      <c r="E48" s="125">
        <f>SUM(E41:E46)</f>
        <v>20817.219445833332</v>
      </c>
      <c r="F48" s="136"/>
      <c r="G48" s="137"/>
      <c r="H48" s="137"/>
      <c r="I48" s="225">
        <f>SUM(I41:I46)</f>
        <v>20678.399445833333</v>
      </c>
      <c r="J48" s="208"/>
      <c r="K48" s="225">
        <f>+I48-E48</f>
        <v>-138.81999999999971</v>
      </c>
      <c r="L48" s="226">
        <f t="shared" ref="L48:L49" si="14">IF((E48)=0,"",(K48/E48))</f>
        <v>-6.6685178758484577E-3</v>
      </c>
    </row>
    <row r="49" spans="2:12">
      <c r="B49" s="276" t="s">
        <v>19</v>
      </c>
      <c r="C49" s="134">
        <v>0.13</v>
      </c>
      <c r="D49" s="138"/>
      <c r="E49" s="126">
        <f>+E48*C49</f>
        <v>2706.2385279583332</v>
      </c>
      <c r="F49" s="90"/>
      <c r="G49" s="134">
        <v>0.13</v>
      </c>
      <c r="H49" s="90"/>
      <c r="I49" s="209">
        <f>+I48*G49</f>
        <v>2688.1919279583335</v>
      </c>
      <c r="J49" s="210"/>
      <c r="K49" s="195">
        <f t="shared" ref="K49:K50" si="15">+I49-E49</f>
        <v>-18.046599999999671</v>
      </c>
      <c r="L49" s="146">
        <f t="shared" si="14"/>
        <v>-6.668517875848351E-3</v>
      </c>
    </row>
    <row r="50" spans="2:12" ht="15.75" thickBot="1">
      <c r="B50" s="279" t="s">
        <v>97</v>
      </c>
      <c r="C50" s="139"/>
      <c r="D50" s="140"/>
      <c r="E50" s="128">
        <f>+E48+E49</f>
        <v>23523.457973791665</v>
      </c>
      <c r="F50" s="141"/>
      <c r="G50" s="141"/>
      <c r="H50" s="141"/>
      <c r="I50" s="212">
        <f>+I48+I49</f>
        <v>23366.591373791667</v>
      </c>
      <c r="J50" s="213"/>
      <c r="K50" s="196">
        <f t="shared" si="15"/>
        <v>-156.86659999999756</v>
      </c>
      <c r="L50" s="155">
        <f>IF((E50)=0,"",(K50/E50))</f>
        <v>-6.6685178758483683E-3</v>
      </c>
    </row>
    <row r="51" spans="2:12">
      <c r="B51" s="280"/>
      <c r="C51" s="281"/>
      <c r="D51" s="282"/>
      <c r="E51" s="283"/>
      <c r="F51" s="284"/>
      <c r="G51" s="281"/>
      <c r="H51" s="285"/>
      <c r="I51" s="286"/>
      <c r="J51" s="287"/>
      <c r="K51" s="288"/>
      <c r="L51" s="289"/>
    </row>
    <row r="53" spans="2:12">
      <c r="E53" s="144"/>
      <c r="I53" s="144"/>
    </row>
    <row r="54" spans="2:12">
      <c r="E54" s="144"/>
      <c r="I54" s="144"/>
    </row>
    <row r="55" spans="2:12" ht="108.7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I34 C42:I50 C35:D41 F35:H41" unlockedFormula="1"/>
    <ignoredError sqref="E35:E41 I35:I41" formula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AC55"/>
  <sheetViews>
    <sheetView showGridLines="0" zoomScale="85" zoomScaleNormal="85" workbookViewId="0">
      <selection sqref="A1:M59"/>
    </sheetView>
  </sheetViews>
  <sheetFormatPr defaultRowHeight="15"/>
  <cols>
    <col min="1" max="1" width="2.5703125" style="161" customWidth="1"/>
    <col min="2" max="2" width="47.5703125" style="161" customWidth="1"/>
    <col min="3" max="3" width="13.5703125" style="161" customWidth="1"/>
    <col min="4" max="4" width="13.140625" style="161" customWidth="1"/>
    <col min="5" max="5" width="17.5703125" style="161" customWidth="1"/>
    <col min="6" max="6" width="2.140625" style="161" customWidth="1"/>
    <col min="7" max="7" width="13" style="161" customWidth="1"/>
    <col min="8" max="8" width="13.42578125" style="161" customWidth="1"/>
    <col min="9" max="9" width="12.85546875" style="161" bestFit="1" customWidth="1"/>
    <col min="10" max="10" width="2" style="161" customWidth="1"/>
    <col min="11" max="11" width="10.7109375" style="161" bestFit="1" customWidth="1"/>
    <col min="12" max="12" width="10.28515625" style="161" bestFit="1" customWidth="1"/>
    <col min="13" max="13" width="2.7109375" style="161" customWidth="1"/>
    <col min="14" max="16384" width="9.140625" style="161"/>
  </cols>
  <sheetData>
    <row r="1" spans="2:29" ht="23.25">
      <c r="B1" s="308" t="s">
        <v>34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2"/>
      <c r="F7" s="72"/>
      <c r="G7" s="161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/>
      <c r="C8" s="50"/>
      <c r="D8" s="50"/>
      <c r="E8" s="72"/>
      <c r="F8" s="72"/>
      <c r="G8" s="161" t="s">
        <v>40</v>
      </c>
      <c r="K8" s="175">
        <v>0</v>
      </c>
      <c r="L8" s="175">
        <v>0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/>
      <c r="C9" s="50"/>
      <c r="D9" s="50"/>
      <c r="E9" s="72"/>
      <c r="F9" s="72"/>
      <c r="G9" s="161" t="s">
        <v>29</v>
      </c>
      <c r="K9" s="176">
        <v>0</v>
      </c>
      <c r="L9" s="176">
        <v>0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1179.8</v>
      </c>
      <c r="D10" s="59">
        <v>1194.9000000000001</v>
      </c>
      <c r="E10" s="72"/>
      <c r="F10" s="72"/>
      <c r="K10" s="144">
        <f>SUM(K7:K9)</f>
        <v>0.02</v>
      </c>
      <c r="L10" s="144">
        <f>SUM(L7:L9)</f>
        <v>0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0.02</v>
      </c>
      <c r="D11" s="51">
        <f>+L10</f>
        <v>0</v>
      </c>
      <c r="E11" s="72"/>
      <c r="F11" s="72"/>
      <c r="G11" s="161" t="s">
        <v>41</v>
      </c>
      <c r="K11" s="175">
        <v>0</v>
      </c>
      <c r="L11" s="175">
        <v>0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3.3936000000000002</v>
      </c>
      <c r="D13" s="60">
        <v>3.4369999999999998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-0.40409999999999996</v>
      </c>
      <c r="E14" s="72"/>
      <c r="F14" s="72"/>
      <c r="G14" s="161" t="s">
        <v>42</v>
      </c>
      <c r="K14" s="39">
        <v>0</v>
      </c>
      <c r="L14" s="63">
        <v>-0.58709999999999996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>
        <v>0.183</v>
      </c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2.9152999999999998</v>
      </c>
      <c r="D16" s="62">
        <v>2.9649000000000001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1.964</v>
      </c>
      <c r="D17" s="62">
        <v>1.9327000000000001</v>
      </c>
      <c r="E17" s="72"/>
      <c r="F17" s="72"/>
      <c r="G17" s="161" t="s">
        <v>14</v>
      </c>
      <c r="K17" s="40">
        <f>SUM(K14:K16)</f>
        <v>0</v>
      </c>
      <c r="L17" s="40">
        <f>SUM(L14:L16)</f>
        <v>-0.40409999999999996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0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0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0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0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0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 ht="6.75" customHeight="1">
      <c r="B23" s="170"/>
      <c r="C23" s="170"/>
      <c r="D23" s="170"/>
      <c r="E23" s="170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170"/>
      <c r="C24" s="170"/>
      <c r="D24" s="170"/>
      <c r="E24" s="170"/>
      <c r="F24" s="167"/>
      <c r="G24" s="167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170" t="s">
        <v>1</v>
      </c>
      <c r="C25" s="222">
        <f>+E25*C26*365*24/12</f>
        <v>438000</v>
      </c>
      <c r="D25" s="170" t="s">
        <v>0</v>
      </c>
      <c r="E25" s="223">
        <v>1000</v>
      </c>
      <c r="F25" s="76"/>
      <c r="G25" s="167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43" t="s">
        <v>3</v>
      </c>
      <c r="C26" s="46">
        <v>0.6</v>
      </c>
      <c r="D26" s="87"/>
      <c r="E26" s="87"/>
      <c r="F26" s="76"/>
      <c r="G26" s="167"/>
      <c r="H26" s="170"/>
      <c r="I26" s="171"/>
      <c r="J26" s="72"/>
      <c r="K26" s="82"/>
      <c r="L26" s="82"/>
      <c r="M26" s="70"/>
      <c r="N26" s="76"/>
      <c r="O26" s="77"/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47" t="s">
        <v>4</v>
      </c>
      <c r="C27" s="48">
        <v>1.0348999999999999</v>
      </c>
      <c r="D27" s="78"/>
      <c r="E27" s="87"/>
      <c r="F27" s="81"/>
      <c r="G27" s="167"/>
      <c r="H27" s="169"/>
      <c r="I27" s="169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 ht="8.25" customHeight="1"/>
    <row r="29" spans="2:29">
      <c r="B29" s="262"/>
      <c r="C29" s="313" t="s">
        <v>44</v>
      </c>
      <c r="D29" s="314"/>
      <c r="E29" s="315"/>
      <c r="F29" s="263"/>
      <c r="G29" s="313" t="s">
        <v>45</v>
      </c>
      <c r="H29" s="314"/>
      <c r="I29" s="315"/>
      <c r="J29" s="263"/>
      <c r="K29" s="313" t="s">
        <v>46</v>
      </c>
      <c r="L29" s="315"/>
    </row>
    <row r="30" spans="2:29">
      <c r="B30" s="264"/>
      <c r="C30" s="113" t="s">
        <v>47</v>
      </c>
      <c r="D30" s="113" t="s">
        <v>5</v>
      </c>
      <c r="E30" s="114" t="s">
        <v>48</v>
      </c>
      <c r="F30" s="91"/>
      <c r="G30" s="113" t="s">
        <v>47</v>
      </c>
      <c r="H30" s="115" t="s">
        <v>5</v>
      </c>
      <c r="I30" s="114" t="s">
        <v>48</v>
      </c>
      <c r="J30" s="91"/>
      <c r="K30" s="311" t="s">
        <v>49</v>
      </c>
      <c r="L30" s="309" t="s">
        <v>50</v>
      </c>
    </row>
    <row r="31" spans="2:29">
      <c r="B31" s="264"/>
      <c r="C31" s="116" t="s">
        <v>51</v>
      </c>
      <c r="D31" s="116"/>
      <c r="E31" s="117" t="s">
        <v>51</v>
      </c>
      <c r="F31" s="91"/>
      <c r="G31" s="116" t="s">
        <v>51</v>
      </c>
      <c r="H31" s="117"/>
      <c r="I31" s="117" t="s">
        <v>51</v>
      </c>
      <c r="J31" s="91"/>
      <c r="K31" s="312"/>
      <c r="L31" s="310"/>
    </row>
    <row r="32" spans="2:29">
      <c r="B32" s="265" t="s">
        <v>52</v>
      </c>
      <c r="C32" s="142">
        <f>+C10</f>
        <v>1179.8</v>
      </c>
      <c r="D32" s="90">
        <v>1</v>
      </c>
      <c r="E32" s="172">
        <f>+C32*D32</f>
        <v>1179.8</v>
      </c>
      <c r="F32" s="91"/>
      <c r="G32" s="142">
        <f>+D10</f>
        <v>1194.9000000000001</v>
      </c>
      <c r="H32" s="92">
        <v>1</v>
      </c>
      <c r="I32" s="120">
        <f>+G32*H32</f>
        <v>1194.9000000000001</v>
      </c>
      <c r="J32" s="91"/>
      <c r="K32" s="190">
        <f>+I32-E32</f>
        <v>15.100000000000136</v>
      </c>
      <c r="L32" s="133">
        <f>IF((E32)=0,"",(K32/E32))</f>
        <v>1.2798779454144886E-2</v>
      </c>
    </row>
    <row r="33" spans="2:15">
      <c r="B33" s="265" t="s">
        <v>12</v>
      </c>
      <c r="C33" s="110">
        <f>+C13</f>
        <v>3.3936000000000002</v>
      </c>
      <c r="D33" s="93">
        <f>+E25</f>
        <v>1000</v>
      </c>
      <c r="E33" s="172">
        <f>+C33*D33</f>
        <v>3393.6000000000004</v>
      </c>
      <c r="F33" s="91"/>
      <c r="G33" s="110">
        <f>+D13</f>
        <v>3.4369999999999998</v>
      </c>
      <c r="H33" s="94">
        <f>+E25</f>
        <v>1000</v>
      </c>
      <c r="I33" s="120">
        <f>+G33*H33</f>
        <v>3437</v>
      </c>
      <c r="J33" s="91"/>
      <c r="K33" s="190">
        <f t="shared" ref="K33:K34" si="1">+I33-E33</f>
        <v>43.399999999999636</v>
      </c>
      <c r="L33" s="133">
        <f t="shared" ref="L33:L37" si="2">IF((E33)=0,"",(K33/E33))</f>
        <v>1.278877887788768E-2</v>
      </c>
    </row>
    <row r="34" spans="2:15">
      <c r="B34" s="266" t="s">
        <v>53</v>
      </c>
      <c r="C34" s="160">
        <f>+K10</f>
        <v>0.02</v>
      </c>
      <c r="D34" s="90">
        <v>1</v>
      </c>
      <c r="E34" s="172">
        <f>+C34*D34</f>
        <v>0.02</v>
      </c>
      <c r="F34" s="91"/>
      <c r="G34" s="160">
        <f>+L10</f>
        <v>0</v>
      </c>
      <c r="H34" s="92">
        <v>1</v>
      </c>
      <c r="I34" s="120">
        <f t="shared" ref="I34" si="3">+G34*H34</f>
        <v>0</v>
      </c>
      <c r="J34" s="91"/>
      <c r="K34" s="190">
        <f t="shared" si="1"/>
        <v>-0.02</v>
      </c>
      <c r="L34" s="133">
        <f t="shared" si="2"/>
        <v>-1</v>
      </c>
    </row>
    <row r="35" spans="2:15" s="66" customFormat="1">
      <c r="B35" s="217" t="s">
        <v>55</v>
      </c>
      <c r="C35" s="148"/>
      <c r="D35" s="148"/>
      <c r="E35" s="152">
        <f>SUM(E32:E34)</f>
        <v>4573.420000000001</v>
      </c>
      <c r="F35" s="218"/>
      <c r="G35" s="148"/>
      <c r="H35" s="100"/>
      <c r="I35" s="152">
        <f>SUM(I32:I34)</f>
        <v>4631.8999999999996</v>
      </c>
      <c r="J35" s="218"/>
      <c r="K35" s="197">
        <f>+I35-E35</f>
        <v>58.479999999998654</v>
      </c>
      <c r="L35" s="153">
        <f>IF((E35)=0,"",(K35/E35))</f>
        <v>1.2786929693751862E-2</v>
      </c>
    </row>
    <row r="36" spans="2:15" s="66" customFormat="1">
      <c r="B36" s="269" t="s">
        <v>58</v>
      </c>
      <c r="C36" s="112">
        <v>0</v>
      </c>
      <c r="D36" s="98">
        <f>+E25</f>
        <v>1000</v>
      </c>
      <c r="E36" s="173">
        <f>+C36*D36</f>
        <v>0</v>
      </c>
      <c r="F36" s="91"/>
      <c r="G36" s="112">
        <v>0</v>
      </c>
      <c r="H36" s="99">
        <f>+E25</f>
        <v>1000</v>
      </c>
      <c r="I36" s="204">
        <f>+G36*H36</f>
        <v>0</v>
      </c>
      <c r="J36" s="200"/>
      <c r="K36" s="190">
        <f>+I36-E36</f>
        <v>0</v>
      </c>
      <c r="L36" s="133" t="str">
        <f>IF((E36)=0,"",(K36/E36))</f>
        <v/>
      </c>
    </row>
    <row r="37" spans="2:15">
      <c r="B37" s="268" t="s">
        <v>57</v>
      </c>
      <c r="C37" s="157">
        <v>0</v>
      </c>
      <c r="D37" s="93">
        <f>+E25</f>
        <v>1000</v>
      </c>
      <c r="E37" s="120">
        <f>+C37*D37</f>
        <v>0</v>
      </c>
      <c r="F37" s="91"/>
      <c r="G37" s="192">
        <f>+D14</f>
        <v>-0.40409999999999996</v>
      </c>
      <c r="H37" s="94">
        <f>+E25</f>
        <v>1000</v>
      </c>
      <c r="I37" s="174">
        <f t="shared" ref="I37" si="4">+G37*H37</f>
        <v>-404.09999999999997</v>
      </c>
      <c r="J37" s="91"/>
      <c r="K37" s="190">
        <f t="shared" ref="K37" si="5">+I37-E37</f>
        <v>-404.09999999999997</v>
      </c>
      <c r="L37" s="133" t="str">
        <f t="shared" si="2"/>
        <v/>
      </c>
    </row>
    <row r="38" spans="2:15">
      <c r="B38" s="119" t="s">
        <v>59</v>
      </c>
      <c r="C38" s="96"/>
      <c r="D38" s="96"/>
      <c r="E38" s="122">
        <f>SUM(E35:E37)</f>
        <v>4573.420000000001</v>
      </c>
      <c r="F38" s="91"/>
      <c r="G38" s="96"/>
      <c r="H38" s="97"/>
      <c r="I38" s="122">
        <f>SUM(I35:I37)</f>
        <v>4227.7999999999993</v>
      </c>
      <c r="J38" s="91"/>
      <c r="K38" s="198">
        <f>+I38-E38</f>
        <v>-345.62000000000171</v>
      </c>
      <c r="L38" s="145">
        <f>IF((E38)=0,"",(K38/E38))</f>
        <v>-7.5571454185270906E-2</v>
      </c>
      <c r="O38" s="144"/>
    </row>
    <row r="39" spans="2:15">
      <c r="B39" s="270" t="s">
        <v>60</v>
      </c>
      <c r="C39" s="110">
        <f>+C16</f>
        <v>2.9152999999999998</v>
      </c>
      <c r="D39" s="98">
        <f>+E25</f>
        <v>1000</v>
      </c>
      <c r="E39" s="172">
        <f>+C39*D39</f>
        <v>2915.2999999999997</v>
      </c>
      <c r="F39" s="91"/>
      <c r="G39" s="110">
        <f>+D16</f>
        <v>2.9649000000000001</v>
      </c>
      <c r="H39" s="99">
        <f>+E25</f>
        <v>1000</v>
      </c>
      <c r="I39" s="120">
        <f>+G39*H39</f>
        <v>2964.9</v>
      </c>
      <c r="J39" s="91"/>
      <c r="K39" s="190">
        <f t="shared" ref="K39:K40" si="6">+I39-E39</f>
        <v>49.600000000000364</v>
      </c>
      <c r="L39" s="133">
        <f t="shared" ref="L39:L40" si="7">IF((E39)=0,"",(K39/E39))</f>
        <v>1.7013686413062248E-2</v>
      </c>
    </row>
    <row r="40" spans="2:15" ht="30" customHeight="1">
      <c r="B40" s="271" t="s">
        <v>61</v>
      </c>
      <c r="C40" s="110">
        <f>+C17</f>
        <v>1.964</v>
      </c>
      <c r="D40" s="98">
        <f>+E25</f>
        <v>1000</v>
      </c>
      <c r="E40" s="172">
        <f>+C40*D40</f>
        <v>1964</v>
      </c>
      <c r="F40" s="91"/>
      <c r="G40" s="110">
        <f>+D17</f>
        <v>1.9327000000000001</v>
      </c>
      <c r="H40" s="99">
        <f>+E25</f>
        <v>1000</v>
      </c>
      <c r="I40" s="120">
        <f>+G40*H40</f>
        <v>1932.7</v>
      </c>
      <c r="J40" s="91"/>
      <c r="K40" s="190">
        <f t="shared" si="6"/>
        <v>-31.299999999999955</v>
      </c>
      <c r="L40" s="133">
        <f t="shared" si="7"/>
        <v>-1.5936863543788163E-2</v>
      </c>
    </row>
    <row r="41" spans="2:15">
      <c r="B41" s="119" t="s">
        <v>62</v>
      </c>
      <c r="C41" s="96"/>
      <c r="D41" s="96"/>
      <c r="E41" s="122">
        <f>SUM(E38:E40)</f>
        <v>9452.7200000000012</v>
      </c>
      <c r="F41" s="91"/>
      <c r="G41" s="100"/>
      <c r="H41" s="101"/>
      <c r="I41" s="122">
        <f>SUM(I38:I40)</f>
        <v>9125.4</v>
      </c>
      <c r="J41" s="91"/>
      <c r="K41" s="198">
        <f>+I41-E41</f>
        <v>-327.32000000000153</v>
      </c>
      <c r="L41" s="145">
        <f>IF((E41)=0,"",(K41/E41))</f>
        <v>-3.4627070303574155E-2</v>
      </c>
    </row>
    <row r="42" spans="2:15">
      <c r="B42" s="272" t="s">
        <v>63</v>
      </c>
      <c r="C42" s="112">
        <f>+C18</f>
        <v>4.4000000000000003E-3</v>
      </c>
      <c r="D42" s="98">
        <f>+$C$25*$C$27</f>
        <v>453286.19999999995</v>
      </c>
      <c r="E42" s="173">
        <f>+C42*D42</f>
        <v>1994.4592799999998</v>
      </c>
      <c r="F42" s="91"/>
      <c r="G42" s="112">
        <f>+D18</f>
        <v>4.4000000000000003E-3</v>
      </c>
      <c r="H42" s="99">
        <f>+$C$25*$C$27</f>
        <v>453286.19999999995</v>
      </c>
      <c r="I42" s="123">
        <f>+G42*H42</f>
        <v>1994.4592799999998</v>
      </c>
      <c r="J42" s="91"/>
      <c r="K42" s="190">
        <f t="shared" ref="K42:K46" si="8">+I42-E42</f>
        <v>0</v>
      </c>
      <c r="L42" s="133">
        <f t="shared" ref="L42:L46" si="9">IF((E42)=0,"",(K42/E42))</f>
        <v>0</v>
      </c>
    </row>
    <row r="43" spans="2:15">
      <c r="B43" s="272" t="s">
        <v>64</v>
      </c>
      <c r="C43" s="112">
        <f t="shared" ref="C43:C45" si="10">+C19</f>
        <v>1.1999999999999999E-3</v>
      </c>
      <c r="D43" s="98">
        <f>+$C$25*$C$27</f>
        <v>453286.19999999995</v>
      </c>
      <c r="E43" s="173">
        <f t="shared" ref="E43:E46" si="11">+C43*D43</f>
        <v>543.9434399999999</v>
      </c>
      <c r="F43" s="91"/>
      <c r="G43" s="112">
        <f t="shared" ref="G43:G45" si="12">+D19</f>
        <v>1.1999999999999999E-3</v>
      </c>
      <c r="H43" s="99">
        <f>+$C$25*$C$27</f>
        <v>453286.19999999995</v>
      </c>
      <c r="I43" s="123">
        <f t="shared" ref="I43:I46" si="13">+G43*H43</f>
        <v>543.9434399999999</v>
      </c>
      <c r="J43" s="91"/>
      <c r="K43" s="190">
        <f t="shared" si="8"/>
        <v>0</v>
      </c>
      <c r="L43" s="133">
        <f t="shared" si="9"/>
        <v>0</v>
      </c>
    </row>
    <row r="44" spans="2:15">
      <c r="B44" s="265" t="s">
        <v>65</v>
      </c>
      <c r="C44" s="112">
        <f t="shared" si="10"/>
        <v>0.25</v>
      </c>
      <c r="D44" s="98">
        <v>1</v>
      </c>
      <c r="E44" s="173">
        <f t="shared" si="11"/>
        <v>0.25</v>
      </c>
      <c r="F44" s="91"/>
      <c r="G44" s="112">
        <f t="shared" si="12"/>
        <v>0.25</v>
      </c>
      <c r="H44" s="99">
        <v>1</v>
      </c>
      <c r="I44" s="123">
        <f t="shared" si="13"/>
        <v>0.25</v>
      </c>
      <c r="J44" s="91"/>
      <c r="K44" s="190">
        <f t="shared" si="8"/>
        <v>0</v>
      </c>
      <c r="L44" s="133">
        <f t="shared" si="9"/>
        <v>0</v>
      </c>
    </row>
    <row r="45" spans="2:15">
      <c r="B45" s="265" t="s">
        <v>18</v>
      </c>
      <c r="C45" s="112">
        <f t="shared" si="10"/>
        <v>7.0000000000000001E-3</v>
      </c>
      <c r="D45" s="93">
        <f>+$C$25</f>
        <v>438000</v>
      </c>
      <c r="E45" s="173">
        <f t="shared" si="11"/>
        <v>3066</v>
      </c>
      <c r="F45" s="91"/>
      <c r="G45" s="112">
        <f t="shared" si="12"/>
        <v>7.0000000000000001E-3</v>
      </c>
      <c r="H45" s="99">
        <f>+$C$25</f>
        <v>438000</v>
      </c>
      <c r="I45" s="123">
        <f t="shared" si="13"/>
        <v>3066</v>
      </c>
      <c r="J45" s="91"/>
      <c r="K45" s="190">
        <f t="shared" si="8"/>
        <v>0</v>
      </c>
      <c r="L45" s="133">
        <f t="shared" si="9"/>
        <v>0</v>
      </c>
    </row>
    <row r="46" spans="2:15" ht="15.75" thickBot="1">
      <c r="B46" s="269" t="s">
        <v>87</v>
      </c>
      <c r="C46" s="102">
        <f>+C7</f>
        <v>7.8916666666666663E-2</v>
      </c>
      <c r="D46" s="98">
        <f>+C25*C27</f>
        <v>453286.19999999995</v>
      </c>
      <c r="E46" s="123">
        <f t="shared" si="11"/>
        <v>35771.835949999993</v>
      </c>
      <c r="F46" s="91"/>
      <c r="G46" s="102">
        <f>+D7</f>
        <v>7.8916666666666663E-2</v>
      </c>
      <c r="H46" s="98">
        <f>+D46</f>
        <v>453286.19999999995</v>
      </c>
      <c r="I46" s="123">
        <f t="shared" si="13"/>
        <v>35771.835949999993</v>
      </c>
      <c r="J46" s="91"/>
      <c r="K46" s="190">
        <f t="shared" si="8"/>
        <v>0</v>
      </c>
      <c r="L46" s="133">
        <f t="shared" si="9"/>
        <v>0</v>
      </c>
    </row>
    <row r="47" spans="2:15" ht="15.75" thickBot="1">
      <c r="B47" s="273"/>
      <c r="C47" s="103"/>
      <c r="D47" s="104"/>
      <c r="E47" s="124"/>
      <c r="F47" s="105"/>
      <c r="G47" s="103"/>
      <c r="H47" s="106"/>
      <c r="I47" s="124"/>
      <c r="J47" s="105"/>
      <c r="K47" s="227"/>
      <c r="L47" s="274"/>
    </row>
    <row r="48" spans="2:15">
      <c r="B48" s="275" t="s">
        <v>90</v>
      </c>
      <c r="C48" s="134"/>
      <c r="D48" s="135"/>
      <c r="E48" s="125">
        <f>SUM(E41:E46)</f>
        <v>50829.208669999993</v>
      </c>
      <c r="F48" s="136"/>
      <c r="G48" s="137"/>
      <c r="H48" s="137"/>
      <c r="I48" s="237">
        <f>SUM(I41:I46)</f>
        <v>50501.888669999993</v>
      </c>
      <c r="J48" s="107"/>
      <c r="K48" s="225">
        <f>+I48-E48</f>
        <v>-327.31999999999971</v>
      </c>
      <c r="L48" s="226">
        <f t="shared" ref="L48:L50" si="14">IF((E48)=0,"",(K48/E48))</f>
        <v>-6.4396044826325986E-3</v>
      </c>
    </row>
    <row r="49" spans="2:12">
      <c r="B49" s="276" t="s">
        <v>19</v>
      </c>
      <c r="C49" s="134">
        <v>0.13</v>
      </c>
      <c r="D49" s="138"/>
      <c r="E49" s="126">
        <f>+E48*C49</f>
        <v>6607.7971270999997</v>
      </c>
      <c r="F49" s="90"/>
      <c r="G49" s="134">
        <v>0.13</v>
      </c>
      <c r="H49" s="90"/>
      <c r="I49" s="130">
        <f>+I48*G49</f>
        <v>6565.245527099999</v>
      </c>
      <c r="J49" s="108"/>
      <c r="K49" s="195">
        <f t="shared" ref="K49:K50" si="15">+I49-E49</f>
        <v>-42.55160000000069</v>
      </c>
      <c r="L49" s="146">
        <f t="shared" si="14"/>
        <v>-6.4396044826327079E-3</v>
      </c>
    </row>
    <row r="50" spans="2:12" ht="15.75" thickBot="1">
      <c r="B50" s="279" t="s">
        <v>97</v>
      </c>
      <c r="C50" s="139"/>
      <c r="D50" s="140"/>
      <c r="E50" s="128">
        <f>SUM(E48:E49)</f>
        <v>57437.005797099991</v>
      </c>
      <c r="F50" s="141"/>
      <c r="G50" s="141"/>
      <c r="H50" s="141"/>
      <c r="I50" s="132">
        <f>SUM(I48:I49)</f>
        <v>57067.134197099993</v>
      </c>
      <c r="J50" s="109"/>
      <c r="K50" s="196">
        <f t="shared" si="15"/>
        <v>-369.87159999999858</v>
      </c>
      <c r="L50" s="155">
        <f t="shared" si="14"/>
        <v>-6.4396044826325795E-3</v>
      </c>
    </row>
    <row r="51" spans="2:12">
      <c r="B51" s="280"/>
      <c r="C51" s="281"/>
      <c r="D51" s="282"/>
      <c r="E51" s="283"/>
      <c r="F51" s="284"/>
      <c r="G51" s="281"/>
      <c r="H51" s="285"/>
      <c r="I51" s="283"/>
      <c r="J51" s="284"/>
      <c r="K51" s="288"/>
      <c r="L51" s="289"/>
    </row>
    <row r="53" spans="2:12">
      <c r="E53" s="144"/>
      <c r="I53" s="144"/>
    </row>
    <row r="54" spans="2:12">
      <c r="E54" s="144"/>
      <c r="I54" s="144"/>
    </row>
    <row r="55" spans="2:12" ht="108.7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I34 C42:I46 C35:D41 F35:H41" unlockedFormula="1"/>
    <ignoredError sqref="E35:E41 I35:I41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AC55"/>
  <sheetViews>
    <sheetView showGridLines="0" zoomScale="85" zoomScaleNormal="85" workbookViewId="0">
      <selection sqref="A1:M61"/>
    </sheetView>
  </sheetViews>
  <sheetFormatPr defaultRowHeight="15"/>
  <cols>
    <col min="1" max="1" width="3.28515625" style="161" customWidth="1"/>
    <col min="2" max="2" width="47.5703125" style="161" customWidth="1"/>
    <col min="3" max="3" width="13.5703125" style="161" customWidth="1"/>
    <col min="4" max="4" width="13.140625" style="161" customWidth="1"/>
    <col min="5" max="5" width="17.5703125" style="161" customWidth="1"/>
    <col min="6" max="6" width="2.140625" style="161" customWidth="1"/>
    <col min="7" max="7" width="13" style="161" customWidth="1"/>
    <col min="8" max="8" width="13.42578125" style="161" customWidth="1"/>
    <col min="9" max="9" width="14.85546875" style="161" customWidth="1"/>
    <col min="10" max="10" width="2" style="161" customWidth="1"/>
    <col min="11" max="11" width="10.7109375" style="161" bestFit="1" customWidth="1"/>
    <col min="12" max="12" width="10.28515625" style="161" bestFit="1" customWidth="1"/>
    <col min="13" max="13" width="3.28515625" style="161" customWidth="1"/>
    <col min="14" max="16384" width="9.140625" style="161"/>
  </cols>
  <sheetData>
    <row r="1" spans="2:29" ht="23.25">
      <c r="B1" s="308" t="s">
        <v>34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2"/>
      <c r="F7" s="72"/>
      <c r="G7" s="161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/>
      <c r="C8" s="50"/>
      <c r="D8" s="50"/>
      <c r="E8" s="72"/>
      <c r="F8" s="72"/>
      <c r="G8" s="161" t="s">
        <v>40</v>
      </c>
      <c r="K8" s="175">
        <v>0</v>
      </c>
      <c r="L8" s="175">
        <v>0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/>
      <c r="C9" s="50"/>
      <c r="D9" s="50"/>
      <c r="E9" s="72"/>
      <c r="F9" s="72"/>
      <c r="G9" s="161" t="s">
        <v>29</v>
      </c>
      <c r="K9" s="176">
        <v>0</v>
      </c>
      <c r="L9" s="176">
        <v>0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1179.8</v>
      </c>
      <c r="D10" s="59">
        <v>1194.9000000000001</v>
      </c>
      <c r="E10" s="72"/>
      <c r="F10" s="72"/>
      <c r="K10" s="144">
        <f>SUM(K7:K9)</f>
        <v>0.02</v>
      </c>
      <c r="L10" s="144">
        <f>SUM(L7:L9)</f>
        <v>0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0.02</v>
      </c>
      <c r="D11" s="51">
        <f>+L10</f>
        <v>0</v>
      </c>
      <c r="E11" s="72"/>
      <c r="F11" s="72"/>
      <c r="G11" s="161" t="s">
        <v>41</v>
      </c>
      <c r="K11" s="175">
        <v>0</v>
      </c>
      <c r="L11" s="175">
        <v>0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3.3936000000000002</v>
      </c>
      <c r="D13" s="60">
        <v>3.4369999999999998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-0.40409999999999996</v>
      </c>
      <c r="E14" s="72"/>
      <c r="F14" s="72"/>
      <c r="G14" s="161" t="s">
        <v>42</v>
      </c>
      <c r="K14" s="39">
        <v>0</v>
      </c>
      <c r="L14" s="63">
        <v>-0.58709999999999996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>
        <v>0.183</v>
      </c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2.9152999999999998</v>
      </c>
      <c r="D16" s="62">
        <v>2.9649000000000001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1.964</v>
      </c>
      <c r="D17" s="62">
        <v>1.9327000000000001</v>
      </c>
      <c r="E17" s="72"/>
      <c r="F17" s="72"/>
      <c r="G17" s="161" t="s">
        <v>14</v>
      </c>
      <c r="K17" s="40">
        <f>SUM(K14:K16)</f>
        <v>0</v>
      </c>
      <c r="L17" s="40">
        <f>SUM(L14:L16)</f>
        <v>-0.40409999999999996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0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0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0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0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0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 ht="6.75" customHeight="1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170"/>
      <c r="C24" s="170"/>
      <c r="D24" s="170"/>
      <c r="E24" s="170"/>
      <c r="F24" s="167"/>
      <c r="G24" s="167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170" t="s">
        <v>1</v>
      </c>
      <c r="C25" s="222">
        <f>+E25*C26*365*24/12</f>
        <v>919800</v>
      </c>
      <c r="D25" s="170" t="s">
        <v>0</v>
      </c>
      <c r="E25" s="223">
        <v>2100</v>
      </c>
      <c r="F25" s="76"/>
      <c r="G25" s="167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43" t="s">
        <v>3</v>
      </c>
      <c r="C26" s="46">
        <v>0.6</v>
      </c>
      <c r="D26" s="87"/>
      <c r="E26" s="87"/>
      <c r="F26" s="76"/>
      <c r="G26" s="167"/>
      <c r="H26" s="170"/>
      <c r="I26" s="171"/>
      <c r="J26" s="72"/>
      <c r="K26" s="82"/>
      <c r="L26" s="82"/>
      <c r="M26" s="70"/>
      <c r="N26" s="76"/>
      <c r="O26" s="77"/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47" t="s">
        <v>4</v>
      </c>
      <c r="C27" s="48">
        <v>1.0348999999999999</v>
      </c>
      <c r="D27" s="78"/>
      <c r="E27" s="87"/>
      <c r="F27" s="81"/>
      <c r="G27" s="167"/>
      <c r="H27" s="169"/>
      <c r="I27" s="169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 ht="8.25" customHeight="1"/>
    <row r="29" spans="2:29">
      <c r="B29" s="262"/>
      <c r="C29" s="313" t="s">
        <v>44</v>
      </c>
      <c r="D29" s="314"/>
      <c r="E29" s="315"/>
      <c r="F29" s="263"/>
      <c r="G29" s="313" t="s">
        <v>45</v>
      </c>
      <c r="H29" s="314"/>
      <c r="I29" s="315"/>
      <c r="J29" s="263"/>
      <c r="K29" s="313" t="s">
        <v>46</v>
      </c>
      <c r="L29" s="315"/>
    </row>
    <row r="30" spans="2:29">
      <c r="B30" s="264"/>
      <c r="C30" s="113" t="s">
        <v>47</v>
      </c>
      <c r="D30" s="113" t="s">
        <v>5</v>
      </c>
      <c r="E30" s="114" t="s">
        <v>48</v>
      </c>
      <c r="F30" s="91"/>
      <c r="G30" s="113" t="s">
        <v>47</v>
      </c>
      <c r="H30" s="115" t="s">
        <v>5</v>
      </c>
      <c r="I30" s="114" t="s">
        <v>48</v>
      </c>
      <c r="J30" s="91"/>
      <c r="K30" s="311" t="s">
        <v>49</v>
      </c>
      <c r="L30" s="309" t="s">
        <v>50</v>
      </c>
    </row>
    <row r="31" spans="2:29">
      <c r="B31" s="264"/>
      <c r="C31" s="116" t="s">
        <v>51</v>
      </c>
      <c r="D31" s="116"/>
      <c r="E31" s="117" t="s">
        <v>51</v>
      </c>
      <c r="F31" s="91"/>
      <c r="G31" s="116" t="s">
        <v>51</v>
      </c>
      <c r="H31" s="117"/>
      <c r="I31" s="117" t="s">
        <v>51</v>
      </c>
      <c r="J31" s="91"/>
      <c r="K31" s="312"/>
      <c r="L31" s="310"/>
    </row>
    <row r="32" spans="2:29">
      <c r="B32" s="265" t="s">
        <v>52</v>
      </c>
      <c r="C32" s="142">
        <f>+C10</f>
        <v>1179.8</v>
      </c>
      <c r="D32" s="90">
        <v>1</v>
      </c>
      <c r="E32" s="172">
        <f>+C32*D32</f>
        <v>1179.8</v>
      </c>
      <c r="F32" s="91"/>
      <c r="G32" s="142">
        <f>+D10</f>
        <v>1194.9000000000001</v>
      </c>
      <c r="H32" s="92">
        <v>1</v>
      </c>
      <c r="I32" s="120">
        <f>+G32*H32</f>
        <v>1194.9000000000001</v>
      </c>
      <c r="J32" s="91"/>
      <c r="K32" s="190">
        <f>+I32-E32</f>
        <v>15.100000000000136</v>
      </c>
      <c r="L32" s="133">
        <f>IF((E32)=0,"",(K32/E32))</f>
        <v>1.2798779454144886E-2</v>
      </c>
    </row>
    <row r="33" spans="2:15">
      <c r="B33" s="265" t="s">
        <v>12</v>
      </c>
      <c r="C33" s="110">
        <f>+C13</f>
        <v>3.3936000000000002</v>
      </c>
      <c r="D33" s="93">
        <f>+E25</f>
        <v>2100</v>
      </c>
      <c r="E33" s="172">
        <f>+C33*D33</f>
        <v>7126.56</v>
      </c>
      <c r="F33" s="91"/>
      <c r="G33" s="110">
        <f>+D13</f>
        <v>3.4369999999999998</v>
      </c>
      <c r="H33" s="94">
        <f>+E25</f>
        <v>2100</v>
      </c>
      <c r="I33" s="120">
        <f>+G33*H33</f>
        <v>7217.7</v>
      </c>
      <c r="J33" s="91"/>
      <c r="K33" s="190">
        <f t="shared" ref="K33:K34" si="1">+I33-E33</f>
        <v>91.139999999999418</v>
      </c>
      <c r="L33" s="133">
        <f t="shared" ref="L33:L37" si="2">IF((E33)=0,"",(K33/E33))</f>
        <v>1.2788778877887706E-2</v>
      </c>
    </row>
    <row r="34" spans="2:15">
      <c r="B34" s="266" t="s">
        <v>53</v>
      </c>
      <c r="C34" s="160">
        <f>+K10</f>
        <v>0.02</v>
      </c>
      <c r="D34" s="90">
        <v>1</v>
      </c>
      <c r="E34" s="172">
        <f>+C34*D34</f>
        <v>0.02</v>
      </c>
      <c r="F34" s="91"/>
      <c r="G34" s="160">
        <f>+L10</f>
        <v>0</v>
      </c>
      <c r="H34" s="92">
        <v>1</v>
      </c>
      <c r="I34" s="120">
        <f t="shared" ref="I34" si="3">+G34*H34</f>
        <v>0</v>
      </c>
      <c r="J34" s="91"/>
      <c r="K34" s="190">
        <f t="shared" si="1"/>
        <v>-0.02</v>
      </c>
      <c r="L34" s="133">
        <f t="shared" si="2"/>
        <v>-1</v>
      </c>
    </row>
    <row r="35" spans="2:15">
      <c r="B35" s="217" t="s">
        <v>55</v>
      </c>
      <c r="C35" s="148"/>
      <c r="D35" s="148"/>
      <c r="E35" s="152">
        <f>SUM(E32:E34)</f>
        <v>8306.380000000001</v>
      </c>
      <c r="F35" s="218"/>
      <c r="G35" s="148"/>
      <c r="H35" s="100"/>
      <c r="I35" s="152">
        <f>SUM(I32:I34)</f>
        <v>8412.6</v>
      </c>
      <c r="J35" s="218"/>
      <c r="K35" s="197">
        <f>+I35-E35</f>
        <v>106.21999999999935</v>
      </c>
      <c r="L35" s="153">
        <f>IF((E35)=0,"",(K35/E35))</f>
        <v>1.2787760733315756E-2</v>
      </c>
    </row>
    <row r="36" spans="2:15" s="66" customFormat="1">
      <c r="B36" s="269" t="s">
        <v>58</v>
      </c>
      <c r="C36" s="112">
        <v>0</v>
      </c>
      <c r="D36" s="98">
        <f>+E25</f>
        <v>2100</v>
      </c>
      <c r="E36" s="173">
        <f>+C36*D36</f>
        <v>0</v>
      </c>
      <c r="F36" s="91"/>
      <c r="G36" s="112">
        <v>0</v>
      </c>
      <c r="H36" s="99">
        <f>+E25</f>
        <v>2100</v>
      </c>
      <c r="I36" s="204">
        <f>+G36*H36</f>
        <v>0</v>
      </c>
      <c r="J36" s="200"/>
      <c r="K36" s="190">
        <f>+I36-E36</f>
        <v>0</v>
      </c>
      <c r="L36" s="133" t="str">
        <f>IF((E36)=0,"",(K36/E36))</f>
        <v/>
      </c>
    </row>
    <row r="37" spans="2:15">
      <c r="B37" s="268" t="s">
        <v>57</v>
      </c>
      <c r="C37" s="157">
        <v>0</v>
      </c>
      <c r="D37" s="93">
        <f>+E25</f>
        <v>2100</v>
      </c>
      <c r="E37" s="120">
        <f>+C37*D37</f>
        <v>0</v>
      </c>
      <c r="F37" s="91"/>
      <c r="G37" s="192">
        <f>+D14</f>
        <v>-0.40409999999999996</v>
      </c>
      <c r="H37" s="94">
        <f>+E25</f>
        <v>2100</v>
      </c>
      <c r="I37" s="174">
        <f t="shared" ref="I37" si="4">+G37*H37</f>
        <v>-848.6099999999999</v>
      </c>
      <c r="J37" s="91"/>
      <c r="K37" s="190">
        <f t="shared" ref="K37" si="5">+I37-E37</f>
        <v>-848.6099999999999</v>
      </c>
      <c r="L37" s="133" t="str">
        <f t="shared" si="2"/>
        <v/>
      </c>
    </row>
    <row r="38" spans="2:15">
      <c r="B38" s="119" t="s">
        <v>59</v>
      </c>
      <c r="C38" s="96"/>
      <c r="D38" s="96"/>
      <c r="E38" s="122">
        <f>SUM(E35:E37)</f>
        <v>8306.380000000001</v>
      </c>
      <c r="F38" s="91"/>
      <c r="G38" s="96"/>
      <c r="H38" s="97"/>
      <c r="I38" s="122">
        <f>SUM(I35:I37)</f>
        <v>7563.9900000000007</v>
      </c>
      <c r="J38" s="91"/>
      <c r="K38" s="198">
        <f>+I38-E38</f>
        <v>-742.39000000000033</v>
      </c>
      <c r="L38" s="145">
        <f>IF((E38)=0,"",(K38/E38))</f>
        <v>-8.9375877337660961E-2</v>
      </c>
      <c r="O38" s="144"/>
    </row>
    <row r="39" spans="2:15">
      <c r="B39" s="270" t="s">
        <v>60</v>
      </c>
      <c r="C39" s="110">
        <f>+C16</f>
        <v>2.9152999999999998</v>
      </c>
      <c r="D39" s="98">
        <f>+E25</f>
        <v>2100</v>
      </c>
      <c r="E39" s="172">
        <f>+C39*D39</f>
        <v>6122.1299999999992</v>
      </c>
      <c r="F39" s="91"/>
      <c r="G39" s="110">
        <f>+D16</f>
        <v>2.9649000000000001</v>
      </c>
      <c r="H39" s="99">
        <f>+E25</f>
        <v>2100</v>
      </c>
      <c r="I39" s="120">
        <f>+G39*H39</f>
        <v>6226.29</v>
      </c>
      <c r="J39" s="91"/>
      <c r="K39" s="190">
        <f t="shared" ref="K39:K40" si="6">+I39-E39</f>
        <v>104.16000000000076</v>
      </c>
      <c r="L39" s="133">
        <f t="shared" ref="L39:L40" si="7">IF((E39)=0,"",(K39/E39))</f>
        <v>1.7013686413062248E-2</v>
      </c>
    </row>
    <row r="40" spans="2:15" ht="30" customHeight="1">
      <c r="B40" s="271" t="s">
        <v>61</v>
      </c>
      <c r="C40" s="110">
        <f>+C17</f>
        <v>1.964</v>
      </c>
      <c r="D40" s="98">
        <f>+E25</f>
        <v>2100</v>
      </c>
      <c r="E40" s="172">
        <f>+C40*D40</f>
        <v>4124.3999999999996</v>
      </c>
      <c r="F40" s="91"/>
      <c r="G40" s="110">
        <f>+D17</f>
        <v>1.9327000000000001</v>
      </c>
      <c r="H40" s="99">
        <f>+E25</f>
        <v>2100</v>
      </c>
      <c r="I40" s="120">
        <f>+G40*H40</f>
        <v>4058.67</v>
      </c>
      <c r="J40" s="91"/>
      <c r="K40" s="190">
        <f t="shared" si="6"/>
        <v>-65.729999999999563</v>
      </c>
      <c r="L40" s="133">
        <f t="shared" si="7"/>
        <v>-1.5936863543788083E-2</v>
      </c>
    </row>
    <row r="41" spans="2:15">
      <c r="B41" s="119" t="s">
        <v>62</v>
      </c>
      <c r="C41" s="96"/>
      <c r="D41" s="96"/>
      <c r="E41" s="122">
        <f>SUM(E38:E40)</f>
        <v>18552.91</v>
      </c>
      <c r="F41" s="91"/>
      <c r="G41" s="100"/>
      <c r="H41" s="101"/>
      <c r="I41" s="122">
        <f>SUM(I38:I40)</f>
        <v>17848.95</v>
      </c>
      <c r="J41" s="91"/>
      <c r="K41" s="198">
        <f>+I41-E41</f>
        <v>-703.95999999999913</v>
      </c>
      <c r="L41" s="145">
        <f>IF((E41)=0,"",(K41/E41))</f>
        <v>-3.7943373842701716E-2</v>
      </c>
    </row>
    <row r="42" spans="2:15">
      <c r="B42" s="272" t="s">
        <v>63</v>
      </c>
      <c r="C42" s="112">
        <f>+C18</f>
        <v>4.4000000000000003E-3</v>
      </c>
      <c r="D42" s="98">
        <f>+$C$25*$C$27</f>
        <v>951901.0199999999</v>
      </c>
      <c r="E42" s="173">
        <f>+C42*D42</f>
        <v>4188.3644880000002</v>
      </c>
      <c r="F42" s="91"/>
      <c r="G42" s="112">
        <f>+D18</f>
        <v>4.4000000000000003E-3</v>
      </c>
      <c r="H42" s="99">
        <f>+$C$25*$C$27</f>
        <v>951901.0199999999</v>
      </c>
      <c r="I42" s="123">
        <f>+G42*H42</f>
        <v>4188.3644880000002</v>
      </c>
      <c r="J42" s="91"/>
      <c r="K42" s="190">
        <f t="shared" ref="K42:K46" si="8">+I42-E42</f>
        <v>0</v>
      </c>
      <c r="L42" s="133">
        <f t="shared" ref="L42:L46" si="9">IF((E42)=0,"",(K42/E42))</f>
        <v>0</v>
      </c>
    </row>
    <row r="43" spans="2:15">
      <c r="B43" s="272" t="s">
        <v>64</v>
      </c>
      <c r="C43" s="112">
        <f t="shared" ref="C43:C45" si="10">+C19</f>
        <v>1.1999999999999999E-3</v>
      </c>
      <c r="D43" s="98">
        <f>+$C$25*$C$27</f>
        <v>951901.0199999999</v>
      </c>
      <c r="E43" s="173">
        <f t="shared" ref="E43:E46" si="11">+C43*D43</f>
        <v>1142.2812239999998</v>
      </c>
      <c r="F43" s="91"/>
      <c r="G43" s="112">
        <f t="shared" ref="G43:G45" si="12">+D19</f>
        <v>1.1999999999999999E-3</v>
      </c>
      <c r="H43" s="99">
        <f>+$C$25*$C$27</f>
        <v>951901.0199999999</v>
      </c>
      <c r="I43" s="123">
        <f t="shared" ref="I43:I46" si="13">+G43*H43</f>
        <v>1142.2812239999998</v>
      </c>
      <c r="J43" s="91"/>
      <c r="K43" s="190">
        <f t="shared" si="8"/>
        <v>0</v>
      </c>
      <c r="L43" s="133">
        <f t="shared" si="9"/>
        <v>0</v>
      </c>
    </row>
    <row r="44" spans="2:15">
      <c r="B44" s="265" t="s">
        <v>65</v>
      </c>
      <c r="C44" s="112">
        <f t="shared" si="10"/>
        <v>0.25</v>
      </c>
      <c r="D44" s="98">
        <v>1</v>
      </c>
      <c r="E44" s="173">
        <f t="shared" si="11"/>
        <v>0.25</v>
      </c>
      <c r="F44" s="91"/>
      <c r="G44" s="112">
        <f t="shared" si="12"/>
        <v>0.25</v>
      </c>
      <c r="H44" s="99">
        <v>1</v>
      </c>
      <c r="I44" s="123">
        <f t="shared" si="13"/>
        <v>0.25</v>
      </c>
      <c r="J44" s="91"/>
      <c r="K44" s="190">
        <f t="shared" si="8"/>
        <v>0</v>
      </c>
      <c r="L44" s="133">
        <f t="shared" si="9"/>
        <v>0</v>
      </c>
    </row>
    <row r="45" spans="2:15">
      <c r="B45" s="265" t="s">
        <v>18</v>
      </c>
      <c r="C45" s="112">
        <f t="shared" si="10"/>
        <v>7.0000000000000001E-3</v>
      </c>
      <c r="D45" s="93">
        <f>+$C$25</f>
        <v>919800</v>
      </c>
      <c r="E45" s="173">
        <f t="shared" si="11"/>
        <v>6438.6</v>
      </c>
      <c r="F45" s="91"/>
      <c r="G45" s="112">
        <f t="shared" si="12"/>
        <v>7.0000000000000001E-3</v>
      </c>
      <c r="H45" s="99">
        <f>+$C$25</f>
        <v>919800</v>
      </c>
      <c r="I45" s="123">
        <f t="shared" si="13"/>
        <v>6438.6</v>
      </c>
      <c r="J45" s="91"/>
      <c r="K45" s="190">
        <f t="shared" si="8"/>
        <v>0</v>
      </c>
      <c r="L45" s="133">
        <f t="shared" si="9"/>
        <v>0</v>
      </c>
    </row>
    <row r="46" spans="2:15" ht="15.75" thickBot="1">
      <c r="B46" s="269" t="s">
        <v>87</v>
      </c>
      <c r="C46" s="102">
        <f>+C7</f>
        <v>7.8916666666666663E-2</v>
      </c>
      <c r="D46" s="98">
        <f>+C25*C27</f>
        <v>951901.0199999999</v>
      </c>
      <c r="E46" s="123">
        <f t="shared" si="11"/>
        <v>75120.855494999982</v>
      </c>
      <c r="F46" s="91"/>
      <c r="G46" s="102">
        <f>+D7</f>
        <v>7.8916666666666663E-2</v>
      </c>
      <c r="H46" s="98">
        <f>+D46</f>
        <v>951901.0199999999</v>
      </c>
      <c r="I46" s="123">
        <f t="shared" si="13"/>
        <v>75120.855494999982</v>
      </c>
      <c r="J46" s="91"/>
      <c r="K46" s="190">
        <f t="shared" si="8"/>
        <v>0</v>
      </c>
      <c r="L46" s="133">
        <f t="shared" si="9"/>
        <v>0</v>
      </c>
    </row>
    <row r="47" spans="2:15" ht="15.75" thickBot="1">
      <c r="B47" s="273"/>
      <c r="C47" s="103"/>
      <c r="D47" s="104"/>
      <c r="E47" s="124"/>
      <c r="F47" s="105"/>
      <c r="G47" s="103"/>
      <c r="H47" s="106"/>
      <c r="I47" s="124"/>
      <c r="J47" s="105"/>
      <c r="K47" s="227"/>
      <c r="L47" s="274"/>
    </row>
    <row r="48" spans="2:15">
      <c r="B48" s="275" t="s">
        <v>90</v>
      </c>
      <c r="C48" s="134"/>
      <c r="D48" s="135"/>
      <c r="E48" s="125">
        <f>SUM(E41:E46)</f>
        <v>105443.26120699997</v>
      </c>
      <c r="F48" s="136"/>
      <c r="G48" s="137"/>
      <c r="H48" s="137"/>
      <c r="I48" s="237">
        <f>SUM(I41:I46)</f>
        <v>104739.30120699998</v>
      </c>
      <c r="J48" s="107"/>
      <c r="K48" s="225">
        <f>+I48-E48</f>
        <v>-703.95999999999185</v>
      </c>
      <c r="L48" s="226">
        <f t="shared" ref="L48:L50" si="14">IF((E48)=0,"",(K48/E48))</f>
        <v>-6.6761971504088746E-3</v>
      </c>
    </row>
    <row r="49" spans="2:12">
      <c r="B49" s="276" t="s">
        <v>19</v>
      </c>
      <c r="C49" s="134">
        <v>0.13</v>
      </c>
      <c r="D49" s="138"/>
      <c r="E49" s="126">
        <f>+E48*C49</f>
        <v>13707.623956909996</v>
      </c>
      <c r="F49" s="90"/>
      <c r="G49" s="134">
        <v>0.13</v>
      </c>
      <c r="H49" s="90"/>
      <c r="I49" s="130">
        <f>+I48*G49</f>
        <v>13616.109156909999</v>
      </c>
      <c r="J49" s="108"/>
      <c r="K49" s="195">
        <f t="shared" ref="K49:K50" si="15">+I49-E49</f>
        <v>-91.514799999997194</v>
      </c>
      <c r="L49" s="146">
        <f t="shared" si="14"/>
        <v>-6.6761971504087471E-3</v>
      </c>
    </row>
    <row r="50" spans="2:12" ht="15.75" thickBot="1">
      <c r="B50" s="279" t="s">
        <v>97</v>
      </c>
      <c r="C50" s="139"/>
      <c r="D50" s="140"/>
      <c r="E50" s="128">
        <f>SUM(E48:E49)</f>
        <v>119150.88516390997</v>
      </c>
      <c r="F50" s="141"/>
      <c r="G50" s="141"/>
      <c r="H50" s="141"/>
      <c r="I50" s="132">
        <f>SUM(I48:I49)</f>
        <v>118355.41036390998</v>
      </c>
      <c r="J50" s="109"/>
      <c r="K50" s="196">
        <f t="shared" si="15"/>
        <v>-795.47479999999632</v>
      </c>
      <c r="L50" s="155">
        <f t="shared" si="14"/>
        <v>-6.6761971504089206E-3</v>
      </c>
    </row>
    <row r="51" spans="2:12">
      <c r="B51" s="280"/>
      <c r="C51" s="281"/>
      <c r="D51" s="282"/>
      <c r="E51" s="283"/>
      <c r="F51" s="284"/>
      <c r="G51" s="281"/>
      <c r="H51" s="285"/>
      <c r="I51" s="283"/>
      <c r="J51" s="284"/>
      <c r="K51" s="288"/>
      <c r="L51" s="289"/>
    </row>
    <row r="53" spans="2:12">
      <c r="E53" s="144"/>
      <c r="I53" s="144"/>
    </row>
    <row r="54" spans="2:12">
      <c r="E54" s="144"/>
      <c r="I54" s="144"/>
    </row>
    <row r="55" spans="2:12" ht="108.7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I34 C42:I46 C35:D41 F35:H41" unlockedFormula="1"/>
    <ignoredError sqref="E35:E41 I35:I41" formula="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B1:AC55"/>
  <sheetViews>
    <sheetView showGridLines="0" zoomScale="85" zoomScaleNormal="85" workbookViewId="0">
      <selection sqref="A1:M61"/>
    </sheetView>
  </sheetViews>
  <sheetFormatPr defaultRowHeight="15"/>
  <cols>
    <col min="1" max="1" width="4" style="161" customWidth="1"/>
    <col min="2" max="2" width="47.5703125" style="161" customWidth="1"/>
    <col min="3" max="3" width="13.5703125" style="161" customWidth="1"/>
    <col min="4" max="4" width="13.140625" style="161" customWidth="1"/>
    <col min="5" max="5" width="17.5703125" style="161" customWidth="1"/>
    <col min="6" max="6" width="2.140625" style="161" customWidth="1"/>
    <col min="7" max="7" width="13" style="161" customWidth="1"/>
    <col min="8" max="8" width="13.42578125" style="161" customWidth="1"/>
    <col min="9" max="9" width="14.85546875" style="161" customWidth="1"/>
    <col min="10" max="10" width="2" style="161" customWidth="1"/>
    <col min="11" max="11" width="12.42578125" style="161" bestFit="1" customWidth="1"/>
    <col min="12" max="12" width="10.28515625" style="161" bestFit="1" customWidth="1"/>
    <col min="13" max="13" width="4.140625" style="161" customWidth="1"/>
    <col min="14" max="16384" width="9.140625" style="161"/>
  </cols>
  <sheetData>
    <row r="1" spans="2:29" ht="23.25">
      <c r="B1" s="308" t="s">
        <v>35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2"/>
      <c r="F7" s="72"/>
      <c r="G7" s="161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/>
      <c r="C8" s="50"/>
      <c r="D8" s="50"/>
      <c r="E8" s="72"/>
      <c r="F8" s="72"/>
      <c r="G8" s="161" t="s">
        <v>40</v>
      </c>
      <c r="K8" s="175">
        <v>0</v>
      </c>
      <c r="L8" s="175">
        <v>0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/>
      <c r="C9" s="50"/>
      <c r="D9" s="50"/>
      <c r="E9" s="72"/>
      <c r="F9" s="72"/>
      <c r="G9" s="161" t="s">
        <v>29</v>
      </c>
      <c r="K9" s="176">
        <v>0</v>
      </c>
      <c r="L9" s="176">
        <v>0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4486.8500000000004</v>
      </c>
      <c r="D10" s="59">
        <v>4544.28</v>
      </c>
      <c r="E10" s="72"/>
      <c r="F10" s="72"/>
      <c r="K10" s="144">
        <f>SUM(K7:K9)</f>
        <v>0.02</v>
      </c>
      <c r="L10" s="144">
        <f>SUM(L7:L9)</f>
        <v>0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0.02</v>
      </c>
      <c r="D11" s="51">
        <f>+L10</f>
        <v>0</v>
      </c>
      <c r="E11" s="72"/>
      <c r="F11" s="72"/>
      <c r="G11" s="161" t="s">
        <v>41</v>
      </c>
      <c r="K11" s="175">
        <v>0</v>
      </c>
      <c r="L11" s="175">
        <v>0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2.1734</v>
      </c>
      <c r="D13" s="60">
        <v>2.2012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-0.49579999999999996</v>
      </c>
      <c r="E14" s="72"/>
      <c r="F14" s="72"/>
      <c r="G14" s="161" t="s">
        <v>42</v>
      </c>
      <c r="K14" s="39">
        <v>0</v>
      </c>
      <c r="L14" s="63">
        <v>-0.72019999999999995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>
        <v>0.22439999999999999</v>
      </c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3.2995000000000001</v>
      </c>
      <c r="D16" s="62">
        <v>3.3557000000000001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2.27</v>
      </c>
      <c r="D17" s="62">
        <v>2.2339000000000002</v>
      </c>
      <c r="E17" s="72"/>
      <c r="F17" s="72"/>
      <c r="G17" s="161" t="s">
        <v>14</v>
      </c>
      <c r="K17" s="40">
        <f>SUM(K14:K16)</f>
        <v>0</v>
      </c>
      <c r="L17" s="40">
        <f>SUM(L14:L16)</f>
        <v>-0.49579999999999996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1" si="0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0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0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0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1.0145</v>
      </c>
      <c r="D22" s="56">
        <v>1.0145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 ht="6.75" customHeight="1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171"/>
      <c r="C24" s="171"/>
      <c r="D24" s="171"/>
      <c r="E24" s="171"/>
      <c r="F24" s="167"/>
      <c r="G24" s="167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171" t="s">
        <v>1</v>
      </c>
      <c r="C25" s="222">
        <f>+E25*C26*365*24/12</f>
        <v>4854500</v>
      </c>
      <c r="D25" s="171" t="s">
        <v>0</v>
      </c>
      <c r="E25" s="223">
        <v>9500</v>
      </c>
      <c r="F25" s="76"/>
      <c r="G25" s="167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171" t="s">
        <v>3</v>
      </c>
      <c r="C26" s="224">
        <v>0.7</v>
      </c>
      <c r="D26" s="171"/>
      <c r="E26" s="171"/>
      <c r="F26" s="76"/>
      <c r="G26" s="167"/>
      <c r="H26" s="170"/>
      <c r="I26" s="171"/>
      <c r="J26" s="72"/>
      <c r="K26" s="82"/>
      <c r="L26" s="82"/>
      <c r="M26" s="70"/>
      <c r="N26" s="76"/>
      <c r="O26" s="77"/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47" t="s">
        <v>4</v>
      </c>
      <c r="C27" s="48">
        <v>1.0145</v>
      </c>
      <c r="D27" s="78"/>
      <c r="E27" s="87"/>
      <c r="F27" s="81"/>
      <c r="G27" s="167"/>
      <c r="H27" s="169"/>
      <c r="I27" s="169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 ht="9.75" customHeight="1"/>
    <row r="29" spans="2:29">
      <c r="B29" s="262"/>
      <c r="C29" s="313" t="s">
        <v>44</v>
      </c>
      <c r="D29" s="314"/>
      <c r="E29" s="315"/>
      <c r="F29" s="263"/>
      <c r="G29" s="313" t="s">
        <v>45</v>
      </c>
      <c r="H29" s="314"/>
      <c r="I29" s="315"/>
      <c r="J29" s="263"/>
      <c r="K29" s="313" t="s">
        <v>46</v>
      </c>
      <c r="L29" s="315"/>
    </row>
    <row r="30" spans="2:29">
      <c r="B30" s="264"/>
      <c r="C30" s="113" t="s">
        <v>47</v>
      </c>
      <c r="D30" s="113" t="s">
        <v>5</v>
      </c>
      <c r="E30" s="114" t="s">
        <v>48</v>
      </c>
      <c r="F30" s="91"/>
      <c r="G30" s="113" t="s">
        <v>47</v>
      </c>
      <c r="H30" s="115" t="s">
        <v>5</v>
      </c>
      <c r="I30" s="114" t="s">
        <v>48</v>
      </c>
      <c r="J30" s="91"/>
      <c r="K30" s="311" t="s">
        <v>49</v>
      </c>
      <c r="L30" s="309" t="s">
        <v>50</v>
      </c>
    </row>
    <row r="31" spans="2:29">
      <c r="B31" s="264"/>
      <c r="C31" s="116" t="s">
        <v>51</v>
      </c>
      <c r="D31" s="116"/>
      <c r="E31" s="117" t="s">
        <v>51</v>
      </c>
      <c r="F31" s="91"/>
      <c r="G31" s="116" t="s">
        <v>51</v>
      </c>
      <c r="H31" s="117"/>
      <c r="I31" s="117" t="s">
        <v>51</v>
      </c>
      <c r="J31" s="91"/>
      <c r="K31" s="312"/>
      <c r="L31" s="310"/>
    </row>
    <row r="32" spans="2:29">
      <c r="B32" s="265" t="s">
        <v>52</v>
      </c>
      <c r="C32" s="142">
        <f>+C10</f>
        <v>4486.8500000000004</v>
      </c>
      <c r="D32" s="90">
        <v>1</v>
      </c>
      <c r="E32" s="172">
        <f>+C32*D32</f>
        <v>4486.8500000000004</v>
      </c>
      <c r="F32" s="91"/>
      <c r="G32" s="142">
        <f>+D10</f>
        <v>4544.28</v>
      </c>
      <c r="H32" s="92">
        <v>1</v>
      </c>
      <c r="I32" s="120">
        <f>+G32*H32</f>
        <v>4544.28</v>
      </c>
      <c r="J32" s="91"/>
      <c r="K32" s="190">
        <f>+I32-E32</f>
        <v>57.429999999999382</v>
      </c>
      <c r="L32" s="133">
        <f>IF((E32)=0,"",(K32/E32))</f>
        <v>1.2799625572506185E-2</v>
      </c>
    </row>
    <row r="33" spans="2:15">
      <c r="B33" s="265" t="s">
        <v>12</v>
      </c>
      <c r="C33" s="110">
        <f>+C13</f>
        <v>2.1734</v>
      </c>
      <c r="D33" s="93">
        <f>+E25</f>
        <v>9500</v>
      </c>
      <c r="E33" s="172">
        <f>+C33*D33</f>
        <v>20647.3</v>
      </c>
      <c r="F33" s="91"/>
      <c r="G33" s="110">
        <f>+D13</f>
        <v>2.2012</v>
      </c>
      <c r="H33" s="94">
        <f>+E25</f>
        <v>9500</v>
      </c>
      <c r="I33" s="120">
        <f>+G33*H33</f>
        <v>20911.400000000001</v>
      </c>
      <c r="J33" s="91"/>
      <c r="K33" s="190">
        <f t="shared" ref="K33:K34" si="1">+I33-E33</f>
        <v>264.10000000000218</v>
      </c>
      <c r="L33" s="133">
        <f t="shared" ref="L33:L37" si="2">IF((E33)=0,"",(K33/E33))</f>
        <v>1.2791018680408682E-2</v>
      </c>
    </row>
    <row r="34" spans="2:15">
      <c r="B34" s="266" t="s">
        <v>53</v>
      </c>
      <c r="C34" s="160">
        <f>+K10</f>
        <v>0.02</v>
      </c>
      <c r="D34" s="90">
        <v>1</v>
      </c>
      <c r="E34" s="172">
        <f>+C34*D34</f>
        <v>0.02</v>
      </c>
      <c r="F34" s="91"/>
      <c r="G34" s="160">
        <f>+L10</f>
        <v>0</v>
      </c>
      <c r="H34" s="92">
        <v>1</v>
      </c>
      <c r="I34" s="120">
        <f t="shared" ref="I34" si="3">+G34*H34</f>
        <v>0</v>
      </c>
      <c r="J34" s="91"/>
      <c r="K34" s="190">
        <f t="shared" si="1"/>
        <v>-0.02</v>
      </c>
      <c r="L34" s="133">
        <f t="shared" si="2"/>
        <v>-1</v>
      </c>
    </row>
    <row r="35" spans="2:15" s="66" customFormat="1">
      <c r="B35" s="217" t="s">
        <v>55</v>
      </c>
      <c r="C35" s="148"/>
      <c r="D35" s="148"/>
      <c r="E35" s="152">
        <f>SUM(E32:E34)</f>
        <v>25134.170000000002</v>
      </c>
      <c r="F35" s="218"/>
      <c r="G35" s="148"/>
      <c r="H35" s="100"/>
      <c r="I35" s="152">
        <f>SUM(I32:I34)</f>
        <v>25455.68</v>
      </c>
      <c r="J35" s="218"/>
      <c r="K35" s="197">
        <f>+I35-E35</f>
        <v>321.5099999999984</v>
      </c>
      <c r="L35" s="153">
        <f>IF((E35)=0,"",(K35/E35))</f>
        <v>1.2791749240177749E-2</v>
      </c>
    </row>
    <row r="36" spans="2:15" s="66" customFormat="1">
      <c r="B36" s="269" t="s">
        <v>58</v>
      </c>
      <c r="C36" s="112">
        <v>0</v>
      </c>
      <c r="D36" s="98">
        <f>+E25</f>
        <v>9500</v>
      </c>
      <c r="E36" s="173">
        <f>+C36*D36</f>
        <v>0</v>
      </c>
      <c r="F36" s="91"/>
      <c r="G36" s="112">
        <v>0</v>
      </c>
      <c r="H36" s="99">
        <f>+E25</f>
        <v>9500</v>
      </c>
      <c r="I36" s="204">
        <f>+G36*H36</f>
        <v>0</v>
      </c>
      <c r="J36" s="200"/>
      <c r="K36" s="190">
        <f>+I36-E36</f>
        <v>0</v>
      </c>
      <c r="L36" s="133" t="str">
        <f>IF((E36)=0,"",(K36/E36))</f>
        <v/>
      </c>
    </row>
    <row r="37" spans="2:15">
      <c r="B37" s="268" t="s">
        <v>57</v>
      </c>
      <c r="C37" s="157">
        <v>0</v>
      </c>
      <c r="D37" s="93">
        <f>+E25</f>
        <v>9500</v>
      </c>
      <c r="E37" s="120">
        <f>+C37*D37</f>
        <v>0</v>
      </c>
      <c r="F37" s="91"/>
      <c r="G37" s="192">
        <f>+D14</f>
        <v>-0.49579999999999996</v>
      </c>
      <c r="H37" s="94">
        <f>+E25</f>
        <v>9500</v>
      </c>
      <c r="I37" s="174">
        <f t="shared" ref="I37" si="4">+G37*H37</f>
        <v>-4710.0999999999995</v>
      </c>
      <c r="J37" s="91"/>
      <c r="K37" s="190">
        <f t="shared" ref="K37" si="5">+I37-E37</f>
        <v>-4710.0999999999995</v>
      </c>
      <c r="L37" s="133" t="str">
        <f t="shared" si="2"/>
        <v/>
      </c>
    </row>
    <row r="38" spans="2:15">
      <c r="B38" s="119" t="s">
        <v>59</v>
      </c>
      <c r="C38" s="96"/>
      <c r="D38" s="96"/>
      <c r="E38" s="122">
        <f>SUM(E35:E37)</f>
        <v>25134.170000000002</v>
      </c>
      <c r="F38" s="91"/>
      <c r="G38" s="96"/>
      <c r="H38" s="97"/>
      <c r="I38" s="122">
        <f>SUM(I35:I37)</f>
        <v>20745.580000000002</v>
      </c>
      <c r="J38" s="91"/>
      <c r="K38" s="198">
        <f>+I38-E38</f>
        <v>-4388.59</v>
      </c>
      <c r="L38" s="145">
        <f>IF((E38)=0,"",(K38/E38))</f>
        <v>-0.17460652171923718</v>
      </c>
      <c r="O38" s="144"/>
    </row>
    <row r="39" spans="2:15">
      <c r="B39" s="270" t="s">
        <v>60</v>
      </c>
      <c r="C39" s="110">
        <f>+C16</f>
        <v>3.2995000000000001</v>
      </c>
      <c r="D39" s="98">
        <f>+E25</f>
        <v>9500</v>
      </c>
      <c r="E39" s="172">
        <f>+C39*D39</f>
        <v>31345.25</v>
      </c>
      <c r="F39" s="91"/>
      <c r="G39" s="110">
        <f>+D16</f>
        <v>3.3557000000000001</v>
      </c>
      <c r="H39" s="99">
        <f>+E25</f>
        <v>9500</v>
      </c>
      <c r="I39" s="120">
        <f>+G39*H39</f>
        <v>31879.15</v>
      </c>
      <c r="J39" s="91"/>
      <c r="K39" s="190">
        <f t="shared" ref="K39:K40" si="6">+I39-E39</f>
        <v>533.90000000000146</v>
      </c>
      <c r="L39" s="133">
        <f t="shared" ref="L39:L40" si="7">IF((E39)=0,"",(K39/E39))</f>
        <v>1.7032883770268268E-2</v>
      </c>
    </row>
    <row r="40" spans="2:15" ht="30" customHeight="1">
      <c r="B40" s="271" t="s">
        <v>61</v>
      </c>
      <c r="C40" s="110">
        <f>+C17</f>
        <v>2.27</v>
      </c>
      <c r="D40" s="98">
        <f>+E25</f>
        <v>9500</v>
      </c>
      <c r="E40" s="172">
        <f>+C40*D40</f>
        <v>21565</v>
      </c>
      <c r="F40" s="91"/>
      <c r="G40" s="110">
        <f>+D17</f>
        <v>2.2339000000000002</v>
      </c>
      <c r="H40" s="99">
        <f>+E25</f>
        <v>9500</v>
      </c>
      <c r="I40" s="120">
        <f>+G40*H40</f>
        <v>21222.050000000003</v>
      </c>
      <c r="J40" s="91"/>
      <c r="K40" s="190">
        <f t="shared" si="6"/>
        <v>-342.94999999999709</v>
      </c>
      <c r="L40" s="133">
        <f t="shared" si="7"/>
        <v>-1.5903083700440395E-2</v>
      </c>
    </row>
    <row r="41" spans="2:15">
      <c r="B41" s="119" t="s">
        <v>62</v>
      </c>
      <c r="C41" s="96"/>
      <c r="D41" s="96"/>
      <c r="E41" s="122">
        <f>SUM(E38:E40)</f>
        <v>78044.42</v>
      </c>
      <c r="F41" s="91"/>
      <c r="G41" s="100"/>
      <c r="H41" s="101"/>
      <c r="I41" s="122">
        <f>SUM(I38:I40)</f>
        <v>73846.78</v>
      </c>
      <c r="J41" s="91"/>
      <c r="K41" s="198">
        <f>+I41-E41</f>
        <v>-4197.6399999999994</v>
      </c>
      <c r="L41" s="145">
        <f>IF((E41)=0,"",(K41/E41))</f>
        <v>-5.3785267415658922E-2</v>
      </c>
    </row>
    <row r="42" spans="2:15">
      <c r="B42" s="272" t="s">
        <v>63</v>
      </c>
      <c r="C42" s="112">
        <f>+C18</f>
        <v>4.4000000000000003E-3</v>
      </c>
      <c r="D42" s="98">
        <f>+$C$25*$C$27</f>
        <v>4924890.25</v>
      </c>
      <c r="E42" s="173">
        <f>+C42*D42</f>
        <v>21669.517100000001</v>
      </c>
      <c r="F42" s="91"/>
      <c r="G42" s="112">
        <f>+D18</f>
        <v>4.4000000000000003E-3</v>
      </c>
      <c r="H42" s="99">
        <f>+$C$25*$C$27</f>
        <v>4924890.25</v>
      </c>
      <c r="I42" s="123">
        <f>+G42*H42</f>
        <v>21669.517100000001</v>
      </c>
      <c r="J42" s="91"/>
      <c r="K42" s="190">
        <f t="shared" ref="K42:K46" si="8">+I42-E42</f>
        <v>0</v>
      </c>
      <c r="L42" s="133">
        <f t="shared" ref="L42:L46" si="9">IF((E42)=0,"",(K42/E42))</f>
        <v>0</v>
      </c>
    </row>
    <row r="43" spans="2:15">
      <c r="B43" s="272" t="s">
        <v>64</v>
      </c>
      <c r="C43" s="112">
        <f t="shared" ref="C43:C45" si="10">+C19</f>
        <v>1.1999999999999999E-3</v>
      </c>
      <c r="D43" s="98">
        <f>+$C$25*$C$27</f>
        <v>4924890.25</v>
      </c>
      <c r="E43" s="173">
        <f t="shared" ref="E43:E46" si="11">+C43*D43</f>
        <v>5909.8682999999992</v>
      </c>
      <c r="F43" s="91"/>
      <c r="G43" s="112">
        <f t="shared" ref="G43:G45" si="12">+D19</f>
        <v>1.1999999999999999E-3</v>
      </c>
      <c r="H43" s="99">
        <f>+$C$25*$C$27</f>
        <v>4924890.25</v>
      </c>
      <c r="I43" s="123">
        <f t="shared" ref="I43:I46" si="13">+G43*H43</f>
        <v>5909.8682999999992</v>
      </c>
      <c r="J43" s="91"/>
      <c r="K43" s="190">
        <f t="shared" si="8"/>
        <v>0</v>
      </c>
      <c r="L43" s="133">
        <f t="shared" si="9"/>
        <v>0</v>
      </c>
    </row>
    <row r="44" spans="2:15">
      <c r="B44" s="265" t="s">
        <v>65</v>
      </c>
      <c r="C44" s="112">
        <f t="shared" si="10"/>
        <v>0.25</v>
      </c>
      <c r="D44" s="98">
        <v>1</v>
      </c>
      <c r="E44" s="173">
        <f t="shared" si="11"/>
        <v>0.25</v>
      </c>
      <c r="F44" s="91"/>
      <c r="G44" s="112">
        <f t="shared" si="12"/>
        <v>0.25</v>
      </c>
      <c r="H44" s="99">
        <v>1</v>
      </c>
      <c r="I44" s="123">
        <f t="shared" si="13"/>
        <v>0.25</v>
      </c>
      <c r="J44" s="91"/>
      <c r="K44" s="190">
        <f t="shared" si="8"/>
        <v>0</v>
      </c>
      <c r="L44" s="133">
        <f t="shared" si="9"/>
        <v>0</v>
      </c>
    </row>
    <row r="45" spans="2:15">
      <c r="B45" s="265" t="s">
        <v>18</v>
      </c>
      <c r="C45" s="112">
        <f t="shared" si="10"/>
        <v>7.0000000000000001E-3</v>
      </c>
      <c r="D45" s="93">
        <f>+$C$25</f>
        <v>4854500</v>
      </c>
      <c r="E45" s="173">
        <f t="shared" si="11"/>
        <v>33981.5</v>
      </c>
      <c r="F45" s="91"/>
      <c r="G45" s="112">
        <f t="shared" si="12"/>
        <v>7.0000000000000001E-3</v>
      </c>
      <c r="H45" s="99">
        <f>+$C$25</f>
        <v>4854500</v>
      </c>
      <c r="I45" s="123">
        <f t="shared" si="13"/>
        <v>33981.5</v>
      </c>
      <c r="J45" s="91"/>
      <c r="K45" s="190">
        <f t="shared" si="8"/>
        <v>0</v>
      </c>
      <c r="L45" s="133">
        <f t="shared" si="9"/>
        <v>0</v>
      </c>
    </row>
    <row r="46" spans="2:15" ht="15.75" thickBot="1">
      <c r="B46" s="269" t="s">
        <v>87</v>
      </c>
      <c r="C46" s="102">
        <f>+C7</f>
        <v>7.8916666666666663E-2</v>
      </c>
      <c r="D46" s="98">
        <f>+C25*C27</f>
        <v>4924890.25</v>
      </c>
      <c r="E46" s="123">
        <f t="shared" si="11"/>
        <v>388655.92222916667</v>
      </c>
      <c r="F46" s="91"/>
      <c r="G46" s="102">
        <f>+D7</f>
        <v>7.8916666666666663E-2</v>
      </c>
      <c r="H46" s="98">
        <f>+D46</f>
        <v>4924890.25</v>
      </c>
      <c r="I46" s="123">
        <f t="shared" si="13"/>
        <v>388655.92222916667</v>
      </c>
      <c r="J46" s="91"/>
      <c r="K46" s="190">
        <f t="shared" si="8"/>
        <v>0</v>
      </c>
      <c r="L46" s="133">
        <f t="shared" si="9"/>
        <v>0</v>
      </c>
    </row>
    <row r="47" spans="2:15" ht="15.75" thickBot="1">
      <c r="B47" s="273"/>
      <c r="C47" s="103"/>
      <c r="D47" s="104"/>
      <c r="E47" s="124"/>
      <c r="F47" s="105"/>
      <c r="G47" s="103"/>
      <c r="H47" s="106"/>
      <c r="I47" s="124"/>
      <c r="J47" s="105"/>
      <c r="K47" s="227"/>
      <c r="L47" s="274"/>
    </row>
    <row r="48" spans="2:15">
      <c r="B48" s="275" t="s">
        <v>90</v>
      </c>
      <c r="C48" s="134"/>
      <c r="D48" s="135"/>
      <c r="E48" s="125">
        <f>SUM(E41:E46)</f>
        <v>528261.47762916668</v>
      </c>
      <c r="F48" s="136"/>
      <c r="G48" s="137"/>
      <c r="H48" s="137"/>
      <c r="I48" s="237">
        <f>SUM(I41:I46)</f>
        <v>524063.83762916666</v>
      </c>
      <c r="J48" s="107"/>
      <c r="K48" s="225">
        <f>+I48-E48</f>
        <v>-4197.640000000014</v>
      </c>
      <c r="L48" s="226">
        <f t="shared" ref="L48:L50" si="14">IF((E48)=0,"",(K48/E48))</f>
        <v>-7.9461406476939965E-3</v>
      </c>
    </row>
    <row r="49" spans="2:12">
      <c r="B49" s="276" t="s">
        <v>19</v>
      </c>
      <c r="C49" s="134">
        <v>0.13</v>
      </c>
      <c r="D49" s="138"/>
      <c r="E49" s="126">
        <f>+E48*C49</f>
        <v>68673.992091791675</v>
      </c>
      <c r="F49" s="90"/>
      <c r="G49" s="134">
        <v>0.13</v>
      </c>
      <c r="H49" s="90"/>
      <c r="I49" s="130">
        <f>+I48*G49</f>
        <v>68128.298891791666</v>
      </c>
      <c r="J49" s="108"/>
      <c r="K49" s="195">
        <f t="shared" ref="K49:K50" si="15">+I49-E49</f>
        <v>-545.6932000000088</v>
      </c>
      <c r="L49" s="146">
        <f t="shared" si="14"/>
        <v>-7.9461406476940971E-3</v>
      </c>
    </row>
    <row r="50" spans="2:12" ht="15.75" thickBot="1">
      <c r="B50" s="279" t="s">
        <v>97</v>
      </c>
      <c r="C50" s="139"/>
      <c r="D50" s="140"/>
      <c r="E50" s="128">
        <f>SUM(E48:E49)</f>
        <v>596935.46972095838</v>
      </c>
      <c r="F50" s="141"/>
      <c r="G50" s="141"/>
      <c r="H50" s="141"/>
      <c r="I50" s="132">
        <f>SUM(I48:I49)</f>
        <v>592192.13652095827</v>
      </c>
      <c r="J50" s="109"/>
      <c r="K50" s="196">
        <f t="shared" si="15"/>
        <v>-4743.3332000001101</v>
      </c>
      <c r="L50" s="155">
        <f t="shared" si="14"/>
        <v>-7.9461406476941544E-3</v>
      </c>
    </row>
    <row r="51" spans="2:12">
      <c r="B51" s="280"/>
      <c r="C51" s="281"/>
      <c r="D51" s="282"/>
      <c r="E51" s="283"/>
      <c r="F51" s="284"/>
      <c r="G51" s="281"/>
      <c r="H51" s="285"/>
      <c r="I51" s="283"/>
      <c r="J51" s="284"/>
      <c r="K51" s="288"/>
      <c r="L51" s="289"/>
    </row>
    <row r="53" spans="2:12">
      <c r="E53" s="144"/>
      <c r="I53" s="144"/>
    </row>
    <row r="54" spans="2:12">
      <c r="E54" s="144"/>
      <c r="I54" s="144"/>
    </row>
    <row r="55" spans="2:12" ht="108.75" customHeight="1">
      <c r="B55" s="306" t="s">
        <v>26</v>
      </c>
      <c r="C55" s="307"/>
      <c r="D55" s="307"/>
      <c r="E55" s="307"/>
      <c r="F55" s="307"/>
      <c r="G55" s="307"/>
      <c r="H55" s="307"/>
      <c r="I55" s="307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5" orientation="portrait" r:id="rId1"/>
  <ignoredErrors>
    <ignoredError sqref="C32:I34 C42:I46 C35:D41 F35:H41" unlockedFormula="1"/>
    <ignoredError sqref="E35:E41 I35:I41" formula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B1:AC55"/>
  <sheetViews>
    <sheetView showGridLines="0" topLeftCell="A8" zoomScale="85" zoomScaleNormal="85" workbookViewId="0">
      <selection activeCell="E36" sqref="E36"/>
    </sheetView>
  </sheetViews>
  <sheetFormatPr defaultRowHeight="15"/>
  <cols>
    <col min="1" max="1" width="3.42578125" style="161" customWidth="1"/>
    <col min="2" max="2" width="58.140625" style="161" customWidth="1"/>
    <col min="3" max="3" width="13.5703125" style="161" customWidth="1"/>
    <col min="4" max="4" width="13.140625" style="161" customWidth="1"/>
    <col min="5" max="5" width="17.5703125" style="161" customWidth="1"/>
    <col min="6" max="6" width="2.140625" style="161" customWidth="1"/>
    <col min="7" max="7" width="13" style="161" customWidth="1"/>
    <col min="8" max="8" width="13.42578125" style="161" customWidth="1"/>
    <col min="9" max="9" width="16" style="161" bestFit="1" customWidth="1"/>
    <col min="10" max="10" width="2" style="161" customWidth="1"/>
    <col min="11" max="11" width="13.7109375" style="161" bestFit="1" customWidth="1"/>
    <col min="12" max="12" width="10.28515625" style="161" bestFit="1" customWidth="1"/>
    <col min="13" max="13" width="2.5703125" style="161" customWidth="1"/>
    <col min="14" max="16384" width="9.140625" style="161"/>
  </cols>
  <sheetData>
    <row r="1" spans="2:29" ht="23.25">
      <c r="B1" s="308" t="s">
        <v>35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88</v>
      </c>
      <c r="C5" s="50">
        <f>+'HOEP &amp; GA'!$O$5</f>
        <v>2.7608333333333335E-2</v>
      </c>
      <c r="D5" s="50">
        <f>+'HOEP &amp; GA'!$O$5</f>
        <v>2.7608333333333335E-2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89</v>
      </c>
      <c r="C6" s="50">
        <f>+'HOEP &amp; GA'!$O$15</f>
        <v>5.1308333333333324E-2</v>
      </c>
      <c r="D6" s="50">
        <f>+'HOEP &amp; GA'!$O$15</f>
        <v>5.1308333333333324E-2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85</v>
      </c>
      <c r="C7" s="50">
        <f>+C5+C6</f>
        <v>7.8916666666666663E-2</v>
      </c>
      <c r="D7" s="50">
        <f>+D5+D6</f>
        <v>7.8916666666666663E-2</v>
      </c>
      <c r="E7" s="72"/>
      <c r="F7" s="72"/>
      <c r="G7" s="161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/>
      <c r="C8" s="50"/>
      <c r="D8" s="50"/>
      <c r="E8" s="72"/>
      <c r="F8" s="72"/>
      <c r="G8" s="161" t="s">
        <v>40</v>
      </c>
      <c r="K8" s="175">
        <v>0</v>
      </c>
      <c r="L8" s="175">
        <v>0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/>
      <c r="C9" s="50"/>
      <c r="D9" s="50"/>
      <c r="E9" s="72"/>
      <c r="F9" s="72"/>
      <c r="G9" s="161" t="s">
        <v>29</v>
      </c>
      <c r="K9" s="176">
        <v>0</v>
      </c>
      <c r="L9" s="176">
        <v>0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4486.8500000000004</v>
      </c>
      <c r="D10" s="59">
        <v>4544.28</v>
      </c>
      <c r="E10" s="72"/>
      <c r="F10" s="72"/>
      <c r="K10" s="144">
        <f>SUM(K7:K9)</f>
        <v>0.02</v>
      </c>
      <c r="L10" s="144">
        <f>SUM(L7:L9)</f>
        <v>0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0.02</v>
      </c>
      <c r="D11" s="51">
        <f>+L10</f>
        <v>0</v>
      </c>
      <c r="E11" s="72"/>
      <c r="F11" s="72"/>
      <c r="G11" s="161" t="s">
        <v>41</v>
      </c>
      <c r="K11" s="175">
        <v>0</v>
      </c>
      <c r="L11" s="175">
        <v>0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2.1734</v>
      </c>
      <c r="D13" s="60">
        <v>2.2012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-0.49579999999999996</v>
      </c>
      <c r="E14" s="72"/>
      <c r="F14" s="72"/>
      <c r="G14" s="161" t="s">
        <v>42</v>
      </c>
      <c r="K14" s="39">
        <v>0</v>
      </c>
      <c r="L14" s="63">
        <v>-0.72019999999999995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>
        <v>0.22439999999999999</v>
      </c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3.2995000000000001</v>
      </c>
      <c r="D16" s="62">
        <v>3.3557000000000001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2.27</v>
      </c>
      <c r="D17" s="62">
        <v>2.2339000000000002</v>
      </c>
      <c r="E17" s="72"/>
      <c r="F17" s="72"/>
      <c r="G17" s="161" t="s">
        <v>14</v>
      </c>
      <c r="K17" s="40">
        <f>SUM(K14:K16)</f>
        <v>0</v>
      </c>
      <c r="L17" s="40">
        <f>SUM(L14:L16)</f>
        <v>-0.49579999999999996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1" si="0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0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>
      <c r="B20" s="36" t="s">
        <v>17</v>
      </c>
      <c r="C20" s="54">
        <v>0.25</v>
      </c>
      <c r="D20" s="53">
        <f t="shared" si="0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0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1.0145</v>
      </c>
      <c r="D22" s="56">
        <v>1.0145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 ht="6.75" customHeight="1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171"/>
      <c r="C24" s="171"/>
      <c r="D24" s="171"/>
      <c r="E24" s="171"/>
      <c r="F24" s="167"/>
      <c r="G24" s="167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171" t="s">
        <v>1</v>
      </c>
      <c r="C25" s="222">
        <f>+E25*C26*365*24/12</f>
        <v>10220000</v>
      </c>
      <c r="D25" s="171" t="s">
        <v>0</v>
      </c>
      <c r="E25" s="223">
        <v>20000</v>
      </c>
      <c r="F25" s="76"/>
      <c r="G25" s="167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171" t="s">
        <v>3</v>
      </c>
      <c r="C26" s="224">
        <v>0.7</v>
      </c>
      <c r="D26" s="171"/>
      <c r="E26" s="171"/>
      <c r="F26" s="76"/>
      <c r="G26" s="167"/>
      <c r="H26" s="170"/>
      <c r="I26" s="171"/>
      <c r="J26" s="72"/>
      <c r="K26" s="82"/>
      <c r="L26" s="82"/>
      <c r="M26" s="70"/>
      <c r="N26" s="76"/>
      <c r="O26" s="77"/>
      <c r="P26" s="71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47" t="s">
        <v>4</v>
      </c>
      <c r="C27" s="48">
        <v>1.0145</v>
      </c>
      <c r="D27" s="78"/>
      <c r="E27" s="87"/>
      <c r="F27" s="81"/>
      <c r="G27" s="167"/>
      <c r="H27" s="169"/>
      <c r="I27" s="169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 ht="8.25" customHeight="1"/>
    <row r="29" spans="2:29">
      <c r="B29" s="262"/>
      <c r="C29" s="313" t="s">
        <v>44</v>
      </c>
      <c r="D29" s="314"/>
      <c r="E29" s="315"/>
      <c r="F29" s="263"/>
      <c r="G29" s="313" t="s">
        <v>45</v>
      </c>
      <c r="H29" s="314"/>
      <c r="I29" s="315"/>
      <c r="J29" s="263"/>
      <c r="K29" s="313" t="s">
        <v>46</v>
      </c>
      <c r="L29" s="315"/>
    </row>
    <row r="30" spans="2:29">
      <c r="B30" s="264"/>
      <c r="C30" s="113" t="s">
        <v>47</v>
      </c>
      <c r="D30" s="113" t="s">
        <v>5</v>
      </c>
      <c r="E30" s="114" t="s">
        <v>48</v>
      </c>
      <c r="F30" s="91"/>
      <c r="G30" s="113" t="s">
        <v>47</v>
      </c>
      <c r="H30" s="115" t="s">
        <v>5</v>
      </c>
      <c r="I30" s="114" t="s">
        <v>48</v>
      </c>
      <c r="J30" s="91"/>
      <c r="K30" s="311" t="s">
        <v>49</v>
      </c>
      <c r="L30" s="309" t="s">
        <v>50</v>
      </c>
    </row>
    <row r="31" spans="2:29">
      <c r="B31" s="264"/>
      <c r="C31" s="116" t="s">
        <v>51</v>
      </c>
      <c r="D31" s="116"/>
      <c r="E31" s="117" t="s">
        <v>51</v>
      </c>
      <c r="F31" s="91"/>
      <c r="G31" s="116" t="s">
        <v>51</v>
      </c>
      <c r="H31" s="117"/>
      <c r="I31" s="117" t="s">
        <v>51</v>
      </c>
      <c r="J31" s="91"/>
      <c r="K31" s="312"/>
      <c r="L31" s="310"/>
    </row>
    <row r="32" spans="2:29">
      <c r="B32" s="265" t="s">
        <v>52</v>
      </c>
      <c r="C32" s="142">
        <f>+C10</f>
        <v>4486.8500000000004</v>
      </c>
      <c r="D32" s="90">
        <v>1</v>
      </c>
      <c r="E32" s="172">
        <f>+C32*D32</f>
        <v>4486.8500000000004</v>
      </c>
      <c r="F32" s="91"/>
      <c r="G32" s="142">
        <f>+D10</f>
        <v>4544.28</v>
      </c>
      <c r="H32" s="92">
        <v>1</v>
      </c>
      <c r="I32" s="120">
        <f>+G32*H32</f>
        <v>4544.28</v>
      </c>
      <c r="J32" s="91"/>
      <c r="K32" s="190">
        <f>+I32-E32</f>
        <v>57.429999999999382</v>
      </c>
      <c r="L32" s="133">
        <f>IF((E32)=0,"",(K32/E32))</f>
        <v>1.2799625572506185E-2</v>
      </c>
    </row>
    <row r="33" spans="2:15">
      <c r="B33" s="265" t="s">
        <v>12</v>
      </c>
      <c r="C33" s="110">
        <f>+C13</f>
        <v>2.1734</v>
      </c>
      <c r="D33" s="93">
        <f>+E25</f>
        <v>20000</v>
      </c>
      <c r="E33" s="172">
        <f>+C33*D33</f>
        <v>43468</v>
      </c>
      <c r="F33" s="91"/>
      <c r="G33" s="110">
        <f>+D13</f>
        <v>2.2012</v>
      </c>
      <c r="H33" s="94">
        <f>+E25</f>
        <v>20000</v>
      </c>
      <c r="I33" s="120">
        <f>+G33*H33</f>
        <v>44024</v>
      </c>
      <c r="J33" s="91"/>
      <c r="K33" s="190">
        <f t="shared" ref="K33:K34" si="1">+I33-E33</f>
        <v>556</v>
      </c>
      <c r="L33" s="133">
        <f t="shared" ref="L33:L37" si="2">IF((E33)=0,"",(K33/E33))</f>
        <v>1.2791018680408576E-2</v>
      </c>
    </row>
    <row r="34" spans="2:15">
      <c r="B34" s="266" t="s">
        <v>53</v>
      </c>
      <c r="C34" s="160">
        <f>+K10</f>
        <v>0.02</v>
      </c>
      <c r="D34" s="90">
        <v>1</v>
      </c>
      <c r="E34" s="172">
        <f>+C34*D34</f>
        <v>0.02</v>
      </c>
      <c r="F34" s="91"/>
      <c r="G34" s="160">
        <f>+L10</f>
        <v>0</v>
      </c>
      <c r="H34" s="92">
        <v>1</v>
      </c>
      <c r="I34" s="120">
        <f t="shared" ref="I34" si="3">+G34*H34</f>
        <v>0</v>
      </c>
      <c r="J34" s="91"/>
      <c r="K34" s="190">
        <f t="shared" si="1"/>
        <v>-0.02</v>
      </c>
      <c r="L34" s="133">
        <f t="shared" si="2"/>
        <v>-1</v>
      </c>
    </row>
    <row r="35" spans="2:15">
      <c r="B35" s="217" t="s">
        <v>55</v>
      </c>
      <c r="C35" s="148"/>
      <c r="D35" s="148"/>
      <c r="E35" s="152">
        <f>SUM(E32:E34)</f>
        <v>47954.869999999995</v>
      </c>
      <c r="F35" s="218"/>
      <c r="G35" s="148"/>
      <c r="H35" s="100"/>
      <c r="I35" s="152">
        <f>SUM(I32:I34)</f>
        <v>48568.28</v>
      </c>
      <c r="J35" s="218"/>
      <c r="K35" s="197">
        <f>+I35-E35</f>
        <v>613.41000000000349</v>
      </c>
      <c r="L35" s="153">
        <f>IF((E35)=0,"",(K35/E35))</f>
        <v>1.2791401582362825E-2</v>
      </c>
    </row>
    <row r="36" spans="2:15" s="66" customFormat="1">
      <c r="B36" s="269" t="s">
        <v>58</v>
      </c>
      <c r="C36" s="112">
        <v>0</v>
      </c>
      <c r="D36" s="98">
        <f>+E25</f>
        <v>20000</v>
      </c>
      <c r="E36" s="173">
        <f>+C36*D36</f>
        <v>0</v>
      </c>
      <c r="F36" s="91"/>
      <c r="G36" s="112">
        <v>0</v>
      </c>
      <c r="H36" s="99">
        <f>+E25</f>
        <v>20000</v>
      </c>
      <c r="I36" s="204">
        <f>+G36*H36</f>
        <v>0</v>
      </c>
      <c r="J36" s="200"/>
      <c r="K36" s="190">
        <f>+I36-E36</f>
        <v>0</v>
      </c>
      <c r="L36" s="133" t="str">
        <f>IF((E36)=0,"",(K36/E36))</f>
        <v/>
      </c>
    </row>
    <row r="37" spans="2:15">
      <c r="B37" s="268" t="s">
        <v>57</v>
      </c>
      <c r="C37" s="157">
        <v>0</v>
      </c>
      <c r="D37" s="93">
        <f>+E25</f>
        <v>20000</v>
      </c>
      <c r="E37" s="120">
        <f>+C37*D37</f>
        <v>0</v>
      </c>
      <c r="F37" s="91"/>
      <c r="G37" s="192">
        <f>+D14</f>
        <v>-0.49579999999999996</v>
      </c>
      <c r="H37" s="94">
        <f>+E25</f>
        <v>20000</v>
      </c>
      <c r="I37" s="174">
        <f t="shared" ref="I37" si="4">+G37*H37</f>
        <v>-9916</v>
      </c>
      <c r="J37" s="91"/>
      <c r="K37" s="190">
        <f t="shared" ref="K37" si="5">+I37-E37</f>
        <v>-9916</v>
      </c>
      <c r="L37" s="133" t="str">
        <f t="shared" si="2"/>
        <v/>
      </c>
    </row>
    <row r="38" spans="2:15">
      <c r="B38" s="119" t="s">
        <v>59</v>
      </c>
      <c r="C38" s="96"/>
      <c r="D38" s="96"/>
      <c r="E38" s="122">
        <f>SUM(E35:E37)</f>
        <v>47954.869999999995</v>
      </c>
      <c r="F38" s="91"/>
      <c r="G38" s="96"/>
      <c r="H38" s="97"/>
      <c r="I38" s="122">
        <f>SUM(I35:I37)</f>
        <v>38652.28</v>
      </c>
      <c r="J38" s="91"/>
      <c r="K38" s="198">
        <f>+I38-E38</f>
        <v>-9302.5899999999965</v>
      </c>
      <c r="L38" s="145">
        <f>IF((E38)=0,"",(K38/E38))</f>
        <v>-0.19398634591231292</v>
      </c>
      <c r="O38" s="144"/>
    </row>
    <row r="39" spans="2:15">
      <c r="B39" s="270" t="s">
        <v>60</v>
      </c>
      <c r="C39" s="110">
        <f>+C16</f>
        <v>3.2995000000000001</v>
      </c>
      <c r="D39" s="98">
        <f>+E25</f>
        <v>20000</v>
      </c>
      <c r="E39" s="172">
        <f>+C39*D39</f>
        <v>65990</v>
      </c>
      <c r="F39" s="91"/>
      <c r="G39" s="110">
        <f>+D16</f>
        <v>3.3557000000000001</v>
      </c>
      <c r="H39" s="99">
        <f>+E25</f>
        <v>20000</v>
      </c>
      <c r="I39" s="120">
        <f>+G39*H39</f>
        <v>67114</v>
      </c>
      <c r="J39" s="91"/>
      <c r="K39" s="190">
        <f t="shared" ref="K39:K40" si="6">+I39-E39</f>
        <v>1124</v>
      </c>
      <c r="L39" s="133">
        <f t="shared" ref="L39:L40" si="7">IF((E39)=0,"",(K39/E39))</f>
        <v>1.7032883770268223E-2</v>
      </c>
    </row>
    <row r="40" spans="2:15" ht="30" customHeight="1">
      <c r="B40" s="271" t="s">
        <v>61</v>
      </c>
      <c r="C40" s="110">
        <f>+C17</f>
        <v>2.27</v>
      </c>
      <c r="D40" s="98">
        <f>+E25</f>
        <v>20000</v>
      </c>
      <c r="E40" s="172">
        <f>+C40*D40</f>
        <v>45400</v>
      </c>
      <c r="F40" s="91"/>
      <c r="G40" s="110">
        <f>+D17</f>
        <v>2.2339000000000002</v>
      </c>
      <c r="H40" s="99">
        <f>+E25</f>
        <v>20000</v>
      </c>
      <c r="I40" s="120">
        <f>+G40*H40</f>
        <v>44678.000000000007</v>
      </c>
      <c r="J40" s="91"/>
      <c r="K40" s="190">
        <f t="shared" si="6"/>
        <v>-721.99999999999272</v>
      </c>
      <c r="L40" s="133">
        <f t="shared" si="7"/>
        <v>-1.5903083700440367E-2</v>
      </c>
    </row>
    <row r="41" spans="2:15">
      <c r="B41" s="119" t="s">
        <v>62</v>
      </c>
      <c r="C41" s="96"/>
      <c r="D41" s="96"/>
      <c r="E41" s="122">
        <f>SUM(E38:E40)</f>
        <v>159344.87</v>
      </c>
      <c r="F41" s="91"/>
      <c r="G41" s="100"/>
      <c r="H41" s="101"/>
      <c r="I41" s="122">
        <f>SUM(I38:I40)</f>
        <v>150444.28</v>
      </c>
      <c r="J41" s="91"/>
      <c r="K41" s="198">
        <f>+I41-E41</f>
        <v>-8900.5899999999965</v>
      </c>
      <c r="L41" s="145">
        <f>IF((E41)=0,"",(K41/E41))</f>
        <v>-5.5857399111750486E-2</v>
      </c>
    </row>
    <row r="42" spans="2:15">
      <c r="B42" s="272" t="s">
        <v>63</v>
      </c>
      <c r="C42" s="112">
        <f>+C18</f>
        <v>4.4000000000000003E-3</v>
      </c>
      <c r="D42" s="98">
        <f>+$C$25*$C$27</f>
        <v>10368190</v>
      </c>
      <c r="E42" s="173">
        <f>+C42*D42</f>
        <v>45620.036</v>
      </c>
      <c r="F42" s="91"/>
      <c r="G42" s="112">
        <f>+D18</f>
        <v>4.4000000000000003E-3</v>
      </c>
      <c r="H42" s="99">
        <f>+$C$25*$C$27</f>
        <v>10368190</v>
      </c>
      <c r="I42" s="123">
        <f>+G42*H42</f>
        <v>45620.036</v>
      </c>
      <c r="J42" s="91"/>
      <c r="K42" s="190">
        <f t="shared" ref="K42:K46" si="8">+I42-E42</f>
        <v>0</v>
      </c>
      <c r="L42" s="133">
        <f t="shared" ref="L42:L46" si="9">IF((E42)=0,"",(K42/E42))</f>
        <v>0</v>
      </c>
    </row>
    <row r="43" spans="2:15">
      <c r="B43" s="272" t="s">
        <v>64</v>
      </c>
      <c r="C43" s="112">
        <f t="shared" ref="C43:C45" si="10">+C19</f>
        <v>1.1999999999999999E-3</v>
      </c>
      <c r="D43" s="98">
        <f>+$C$25*$C$27</f>
        <v>10368190</v>
      </c>
      <c r="E43" s="173">
        <f t="shared" ref="E43:E46" si="11">+C43*D43</f>
        <v>12441.828</v>
      </c>
      <c r="F43" s="91"/>
      <c r="G43" s="112">
        <f t="shared" ref="G43:G45" si="12">+D19</f>
        <v>1.1999999999999999E-3</v>
      </c>
      <c r="H43" s="99">
        <f>+$C$25*$C$27</f>
        <v>10368190</v>
      </c>
      <c r="I43" s="123">
        <f t="shared" ref="I43:I46" si="13">+G43*H43</f>
        <v>12441.828</v>
      </c>
      <c r="J43" s="91"/>
      <c r="K43" s="190">
        <f t="shared" si="8"/>
        <v>0</v>
      </c>
      <c r="L43" s="133">
        <f t="shared" si="9"/>
        <v>0</v>
      </c>
    </row>
    <row r="44" spans="2:15">
      <c r="B44" s="265" t="s">
        <v>65</v>
      </c>
      <c r="C44" s="112">
        <f t="shared" si="10"/>
        <v>0.25</v>
      </c>
      <c r="D44" s="98">
        <v>1</v>
      </c>
      <c r="E44" s="173">
        <f t="shared" si="11"/>
        <v>0.25</v>
      </c>
      <c r="F44" s="91"/>
      <c r="G44" s="112">
        <f t="shared" si="12"/>
        <v>0.25</v>
      </c>
      <c r="H44" s="99">
        <v>1</v>
      </c>
      <c r="I44" s="123">
        <f t="shared" si="13"/>
        <v>0.25</v>
      </c>
      <c r="J44" s="91"/>
      <c r="K44" s="190">
        <f t="shared" si="8"/>
        <v>0</v>
      </c>
      <c r="L44" s="133">
        <f t="shared" si="9"/>
        <v>0</v>
      </c>
    </row>
    <row r="45" spans="2:15">
      <c r="B45" s="265" t="s">
        <v>18</v>
      </c>
      <c r="C45" s="112">
        <f t="shared" si="10"/>
        <v>7.0000000000000001E-3</v>
      </c>
      <c r="D45" s="93">
        <f>+$C$25</f>
        <v>10220000</v>
      </c>
      <c r="E45" s="173">
        <f t="shared" si="11"/>
        <v>71540</v>
      </c>
      <c r="F45" s="91"/>
      <c r="G45" s="112">
        <f t="shared" si="12"/>
        <v>7.0000000000000001E-3</v>
      </c>
      <c r="H45" s="99">
        <f>+$C$25</f>
        <v>10220000</v>
      </c>
      <c r="I45" s="123">
        <f t="shared" si="13"/>
        <v>71540</v>
      </c>
      <c r="J45" s="91"/>
      <c r="K45" s="190">
        <f t="shared" si="8"/>
        <v>0</v>
      </c>
      <c r="L45" s="133">
        <f t="shared" si="9"/>
        <v>0</v>
      </c>
    </row>
    <row r="46" spans="2:15" ht="15.75" thickBot="1">
      <c r="B46" s="269" t="s">
        <v>87</v>
      </c>
      <c r="C46" s="102">
        <f>+C7</f>
        <v>7.8916666666666663E-2</v>
      </c>
      <c r="D46" s="98">
        <f>+C25*C27</f>
        <v>10368190</v>
      </c>
      <c r="E46" s="123">
        <f t="shared" si="11"/>
        <v>818222.99416666664</v>
      </c>
      <c r="F46" s="91"/>
      <c r="G46" s="102">
        <f>+D7</f>
        <v>7.8916666666666663E-2</v>
      </c>
      <c r="H46" s="98">
        <f>+D46</f>
        <v>10368190</v>
      </c>
      <c r="I46" s="123">
        <f t="shared" si="13"/>
        <v>818222.99416666664</v>
      </c>
      <c r="J46" s="91"/>
      <c r="K46" s="190">
        <f t="shared" si="8"/>
        <v>0</v>
      </c>
      <c r="L46" s="133">
        <f t="shared" si="9"/>
        <v>0</v>
      </c>
    </row>
    <row r="47" spans="2:15" ht="15.75" thickBot="1">
      <c r="B47" s="273"/>
      <c r="C47" s="103"/>
      <c r="D47" s="104"/>
      <c r="E47" s="124"/>
      <c r="F47" s="105"/>
      <c r="G47" s="103"/>
      <c r="H47" s="106"/>
      <c r="I47" s="124"/>
      <c r="J47" s="105"/>
      <c r="K47" s="227"/>
      <c r="L47" s="274"/>
    </row>
    <row r="48" spans="2:15">
      <c r="B48" s="275" t="s">
        <v>90</v>
      </c>
      <c r="C48" s="134"/>
      <c r="D48" s="135"/>
      <c r="E48" s="125">
        <f>SUM(E41:E46)</f>
        <v>1107169.9781666666</v>
      </c>
      <c r="F48" s="136"/>
      <c r="G48" s="137"/>
      <c r="H48" s="137"/>
      <c r="I48" s="237">
        <f>SUM(I41:I46)</f>
        <v>1098269.3881666665</v>
      </c>
      <c r="J48" s="107"/>
      <c r="K48" s="225">
        <f>+I48-E48</f>
        <v>-8900.5900000000838</v>
      </c>
      <c r="L48" s="226">
        <f t="shared" ref="L48:L50" si="14">IF((E48)=0,"",(K48/E48))</f>
        <v>-8.0390456528981521E-3</v>
      </c>
    </row>
    <row r="49" spans="2:12">
      <c r="B49" s="276" t="s">
        <v>19</v>
      </c>
      <c r="C49" s="134">
        <v>0.13</v>
      </c>
      <c r="D49" s="138"/>
      <c r="E49" s="126">
        <f>+E48*C49</f>
        <v>143932.09716166666</v>
      </c>
      <c r="F49" s="90"/>
      <c r="G49" s="134">
        <v>0.13</v>
      </c>
      <c r="H49" s="90"/>
      <c r="I49" s="130">
        <f>+I48*G49</f>
        <v>142775.02046166666</v>
      </c>
      <c r="J49" s="108"/>
      <c r="K49" s="195">
        <f t="shared" ref="K49:K50" si="15">+I49-E49</f>
        <v>-1157.0767000000051</v>
      </c>
      <c r="L49" s="146">
        <f t="shared" si="14"/>
        <v>-8.0390456528981122E-3</v>
      </c>
    </row>
    <row r="50" spans="2:12" ht="15.75" thickBot="1">
      <c r="B50" s="279" t="s">
        <v>97</v>
      </c>
      <c r="C50" s="139"/>
      <c r="D50" s="140"/>
      <c r="E50" s="128">
        <f>SUM(E48:E49)</f>
        <v>1251102.0753283333</v>
      </c>
      <c r="F50" s="141"/>
      <c r="G50" s="141"/>
      <c r="H50" s="141"/>
      <c r="I50" s="132">
        <f>SUM(I48:I49)</f>
        <v>1241044.4086283331</v>
      </c>
      <c r="J50" s="109"/>
      <c r="K50" s="196">
        <f t="shared" si="15"/>
        <v>-10057.666700000176</v>
      </c>
      <c r="L50" s="155">
        <f t="shared" si="14"/>
        <v>-8.039045652898218E-3</v>
      </c>
    </row>
    <row r="51" spans="2:12">
      <c r="B51" s="280"/>
      <c r="C51" s="281"/>
      <c r="D51" s="282"/>
      <c r="E51" s="283"/>
      <c r="F51" s="284"/>
      <c r="G51" s="281"/>
      <c r="H51" s="285"/>
      <c r="I51" s="283"/>
      <c r="J51" s="284"/>
      <c r="K51" s="288"/>
      <c r="L51" s="289"/>
    </row>
    <row r="53" spans="2:12">
      <c r="E53" s="144"/>
      <c r="I53" s="144"/>
    </row>
    <row r="54" spans="2:12">
      <c r="E54" s="144"/>
      <c r="I54" s="144"/>
    </row>
    <row r="55" spans="2:12" ht="108.75" customHeight="1">
      <c r="B55" s="306" t="s">
        <v>26</v>
      </c>
      <c r="C55" s="306"/>
      <c r="D55" s="306"/>
      <c r="E55" s="306"/>
      <c r="F55" s="306"/>
      <c r="G55" s="306"/>
      <c r="H55" s="306"/>
      <c r="I55" s="306"/>
    </row>
  </sheetData>
  <mergeCells count="7">
    <mergeCell ref="B55:I55"/>
    <mergeCell ref="B1:K1"/>
    <mergeCell ref="C29:E29"/>
    <mergeCell ref="G29:I29"/>
    <mergeCell ref="K29:L29"/>
    <mergeCell ref="K30:K31"/>
    <mergeCell ref="L30:L31"/>
  </mergeCells>
  <pageMargins left="0.7" right="0.7" top="0.75" bottom="0.75" header="0.3" footer="0.3"/>
  <pageSetup scale="50" orientation="portrait" r:id="rId1"/>
  <ignoredErrors>
    <ignoredError sqref="C32:K34 C42:K50 C35:D41 F35:H41 J35:K41" unlockedFormula="1"/>
    <ignoredError sqref="E35:E41 I35:I41" formula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B1:AC62"/>
  <sheetViews>
    <sheetView showGridLines="0" zoomScale="85" zoomScaleNormal="85" workbookViewId="0">
      <selection sqref="A1:M68"/>
    </sheetView>
  </sheetViews>
  <sheetFormatPr defaultRowHeight="15"/>
  <cols>
    <col min="1" max="1" width="3.28515625" style="161" customWidth="1"/>
    <col min="2" max="2" width="47.5703125" style="161" customWidth="1"/>
    <col min="3" max="3" width="13.5703125" style="161" customWidth="1"/>
    <col min="4" max="4" width="13.140625" style="161" customWidth="1"/>
    <col min="5" max="5" width="13.5703125" style="161" customWidth="1"/>
    <col min="6" max="6" width="2.140625" style="161" customWidth="1"/>
    <col min="7" max="7" width="13.28515625" style="161" customWidth="1"/>
    <col min="8" max="8" width="13.42578125" style="161" customWidth="1"/>
    <col min="9" max="9" width="11.140625" style="161" customWidth="1"/>
    <col min="10" max="10" width="2" style="161" customWidth="1"/>
    <col min="11" max="12" width="11.140625" style="161" customWidth="1"/>
    <col min="13" max="13" width="3.42578125" style="161" customWidth="1"/>
    <col min="14" max="16384" width="9.140625" style="161"/>
  </cols>
  <sheetData>
    <row r="1" spans="2:29" ht="23.25">
      <c r="B1" s="308" t="s">
        <v>36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161" t="s">
        <v>28</v>
      </c>
      <c r="K7" s="175">
        <v>0</v>
      </c>
      <c r="L7" s="175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161" t="s">
        <v>40</v>
      </c>
      <c r="K8" s="175"/>
      <c r="L8" s="175"/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161" t="s">
        <v>29</v>
      </c>
      <c r="K9" s="176"/>
      <c r="L9" s="176"/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0.95</v>
      </c>
      <c r="D10" s="59">
        <v>0.96</v>
      </c>
      <c r="E10" s="72"/>
      <c r="F10" s="72"/>
      <c r="K10" s="144">
        <f>SUM(K7:K9)</f>
        <v>0</v>
      </c>
      <c r="L10" s="144">
        <f>SUM(L7:L9)</f>
        <v>0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</v>
      </c>
      <c r="D11" s="51">
        <f>+L10</f>
        <v>0</v>
      </c>
      <c r="E11" s="72"/>
      <c r="F11" s="72"/>
      <c r="G11" s="161" t="s">
        <v>41</v>
      </c>
      <c r="K11" s="175"/>
      <c r="L11" s="175"/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1.7399999999999999E-2</v>
      </c>
      <c r="D13" s="60">
        <v>1.7600000000000001E-2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161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6.7000000000000002E-3</v>
      </c>
      <c r="D16" s="62">
        <v>6.7999999999999996E-3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4.7000000000000002E-3</v>
      </c>
      <c r="D17" s="62">
        <v>4.5999999999999999E-3</v>
      </c>
      <c r="E17" s="72"/>
      <c r="F17" s="72"/>
      <c r="G17" s="161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83"/>
      <c r="C24" s="83"/>
      <c r="D24" s="72"/>
      <c r="E24" s="82"/>
      <c r="F24" s="82"/>
      <c r="G24" s="72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177" t="s">
        <v>1</v>
      </c>
      <c r="C25" s="181">
        <v>150</v>
      </c>
      <c r="D25" s="178" t="s">
        <v>0</v>
      </c>
      <c r="E25" s="82"/>
      <c r="F25" s="82"/>
      <c r="G25" s="74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179" t="s">
        <v>2</v>
      </c>
      <c r="C26" s="182">
        <v>750</v>
      </c>
      <c r="D26" s="178" t="s">
        <v>0</v>
      </c>
      <c r="E26" s="82"/>
      <c r="F26" s="82"/>
      <c r="G26" s="67"/>
      <c r="H26" s="170"/>
      <c r="I26" s="17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179" t="s">
        <v>38</v>
      </c>
      <c r="C27" s="182">
        <v>5</v>
      </c>
      <c r="D27" s="178"/>
      <c r="E27" s="82"/>
      <c r="F27" s="82"/>
      <c r="G27" s="69"/>
      <c r="H27" s="170"/>
      <c r="I27" s="17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79" t="s">
        <v>4</v>
      </c>
      <c r="C28" s="180">
        <v>1.0348999999999999</v>
      </c>
      <c r="D28" s="178"/>
      <c r="E28" s="82"/>
      <c r="F28" s="82"/>
      <c r="G28" s="70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0.95</v>
      </c>
      <c r="D33" s="90">
        <f>+C27</f>
        <v>5</v>
      </c>
      <c r="E33" s="172">
        <f>+C33*D33</f>
        <v>4.75</v>
      </c>
      <c r="F33" s="91"/>
      <c r="G33" s="142">
        <f>+D10</f>
        <v>0.96</v>
      </c>
      <c r="H33" s="92">
        <f>+C27</f>
        <v>5</v>
      </c>
      <c r="I33" s="120">
        <f>+G33*H33</f>
        <v>4.8</v>
      </c>
      <c r="J33" s="91"/>
      <c r="K33" s="190">
        <f>+I33-E33</f>
        <v>4.9999999999999822E-2</v>
      </c>
      <c r="L33" s="133">
        <f>IF((E33)=0,"",(K33/E33))</f>
        <v>1.0526315789473648E-2</v>
      </c>
    </row>
    <row r="34" spans="2:15">
      <c r="B34" s="265" t="s">
        <v>12</v>
      </c>
      <c r="C34" s="110">
        <f>+C13</f>
        <v>1.7399999999999999E-2</v>
      </c>
      <c r="D34" s="93">
        <f>+$C$25</f>
        <v>150</v>
      </c>
      <c r="E34" s="172">
        <f>+C34*D34</f>
        <v>2.61</v>
      </c>
      <c r="F34" s="91"/>
      <c r="G34" s="110">
        <f>+D13</f>
        <v>1.7600000000000001E-2</v>
      </c>
      <c r="H34" s="94">
        <f>+$C$25</f>
        <v>150</v>
      </c>
      <c r="I34" s="120">
        <f t="shared" ref="I34:I36" si="2">+G34*H34</f>
        <v>2.64</v>
      </c>
      <c r="J34" s="91"/>
      <c r="K34" s="190">
        <f t="shared" ref="K34:K37" si="3">+I34-E34</f>
        <v>3.0000000000000249E-2</v>
      </c>
      <c r="L34" s="133">
        <f t="shared" ref="L34:L37" si="4">IF((E34)=0,"",(K34/E34))</f>
        <v>1.1494252873563314E-2</v>
      </c>
    </row>
    <row r="35" spans="2:15">
      <c r="B35" s="266" t="s">
        <v>53</v>
      </c>
      <c r="C35" s="160">
        <f>+K10</f>
        <v>0</v>
      </c>
      <c r="D35" s="90"/>
      <c r="E35" s="172">
        <f>+C35*D35</f>
        <v>0</v>
      </c>
      <c r="F35" s="91"/>
      <c r="G35" s="160">
        <f>+L10</f>
        <v>0</v>
      </c>
      <c r="H35" s="92"/>
      <c r="I35" s="120">
        <f t="shared" si="2"/>
        <v>0</v>
      </c>
      <c r="J35" s="91"/>
      <c r="K35" s="190">
        <f t="shared" si="3"/>
        <v>0</v>
      </c>
      <c r="L35" s="133" t="str">
        <f t="shared" si="4"/>
        <v/>
      </c>
    </row>
    <row r="36" spans="2:15">
      <c r="B36" s="267" t="s">
        <v>54</v>
      </c>
      <c r="C36" s="111">
        <v>0</v>
      </c>
      <c r="D36" s="93"/>
      <c r="E36" s="121">
        <v>0</v>
      </c>
      <c r="F36" s="91"/>
      <c r="G36" s="111">
        <v>0</v>
      </c>
      <c r="H36" s="94"/>
      <c r="I36" s="120">
        <f t="shared" si="2"/>
        <v>0</v>
      </c>
      <c r="J36" s="91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7.3599999999999994</v>
      </c>
      <c r="F37" s="150"/>
      <c r="G37" s="147"/>
      <c r="H37" s="100"/>
      <c r="I37" s="151">
        <f>SUM(I33:I36)</f>
        <v>7.4399999999999995</v>
      </c>
      <c r="J37" s="150"/>
      <c r="K37" s="197">
        <f t="shared" si="3"/>
        <v>8.0000000000000071E-2</v>
      </c>
      <c r="L37" s="153">
        <f t="shared" si="4"/>
        <v>1.0869565217391314E-2</v>
      </c>
    </row>
    <row r="38" spans="2:15">
      <c r="B38" s="268" t="s">
        <v>56</v>
      </c>
      <c r="C38" s="156"/>
      <c r="D38" s="95"/>
      <c r="E38" s="159"/>
      <c r="F38" s="91"/>
      <c r="G38" s="110"/>
      <c r="H38" s="95"/>
      <c r="I38" s="120"/>
      <c r="J38" s="91"/>
      <c r="K38" s="190"/>
      <c r="L38" s="133"/>
    </row>
    <row r="39" spans="2:15">
      <c r="B39" s="268" t="s">
        <v>57</v>
      </c>
      <c r="C39" s="157">
        <v>0</v>
      </c>
      <c r="D39" s="93">
        <f>+$C$25</f>
        <v>150</v>
      </c>
      <c r="E39" s="120">
        <v>0</v>
      </c>
      <c r="F39" s="91"/>
      <c r="G39" s="192">
        <f>+D14</f>
        <v>-1.2999999999999999E-3</v>
      </c>
      <c r="H39" s="94">
        <f t="shared" ref="H39" si="5">+$C$25</f>
        <v>150</v>
      </c>
      <c r="I39" s="189">
        <f t="shared" ref="I39" si="6">+G39*H39</f>
        <v>-0.19499999999999998</v>
      </c>
      <c r="J39" s="91"/>
      <c r="K39" s="190">
        <f t="shared" ref="K39" si="7">+I39-E39</f>
        <v>-0.19499999999999998</v>
      </c>
      <c r="L39" s="133" t="str">
        <f t="shared" ref="L39" si="8">IF((E39)=0,"",(K39/E39))</f>
        <v/>
      </c>
    </row>
    <row r="40" spans="2:15">
      <c r="B40" s="269" t="s">
        <v>58</v>
      </c>
      <c r="C40" s="157"/>
      <c r="D40" s="93"/>
      <c r="E40" s="120"/>
      <c r="F40" s="91"/>
      <c r="G40" s="110"/>
      <c r="H40" s="94"/>
      <c r="I40" s="120"/>
      <c r="J40" s="91"/>
      <c r="K40" s="190"/>
      <c r="L40" s="133"/>
    </row>
    <row r="41" spans="2:15">
      <c r="B41" s="269" t="s">
        <v>41</v>
      </c>
      <c r="C41" s="158"/>
      <c r="D41" s="95"/>
      <c r="E41" s="120"/>
      <c r="F41" s="91"/>
      <c r="G41" s="110"/>
      <c r="H41" s="95"/>
      <c r="I41" s="120"/>
      <c r="J41" s="91"/>
      <c r="K41" s="190"/>
      <c r="L41" s="133"/>
    </row>
    <row r="42" spans="2:15">
      <c r="B42" s="119" t="s">
        <v>59</v>
      </c>
      <c r="C42" s="96"/>
      <c r="D42" s="96"/>
      <c r="E42" s="122">
        <f>SUM(E37:E41)</f>
        <v>7.3599999999999994</v>
      </c>
      <c r="F42" s="91"/>
      <c r="G42" s="96"/>
      <c r="H42" s="97"/>
      <c r="I42" s="122">
        <f>SUM(I37:I41)</f>
        <v>7.2449999999999992</v>
      </c>
      <c r="J42" s="91"/>
      <c r="K42" s="198">
        <f>+I42-E42</f>
        <v>-0.11500000000000021</v>
      </c>
      <c r="L42" s="145">
        <f>IF((E42)=0,"",(K42/E42))</f>
        <v>-1.5625000000000031E-2</v>
      </c>
      <c r="O42" s="144"/>
    </row>
    <row r="43" spans="2:15">
      <c r="B43" s="270" t="s">
        <v>60</v>
      </c>
      <c r="C43" s="110">
        <f>+C16</f>
        <v>6.7000000000000002E-3</v>
      </c>
      <c r="D43" s="98">
        <f>+$C$25*$C$28</f>
        <v>155.23499999999999</v>
      </c>
      <c r="E43" s="172">
        <f>+C43*D43</f>
        <v>1.0400745</v>
      </c>
      <c r="F43" s="91"/>
      <c r="G43" s="110">
        <f>+D16</f>
        <v>6.7999999999999996E-3</v>
      </c>
      <c r="H43" s="99">
        <f>+$C$25*$C$28</f>
        <v>155.23499999999999</v>
      </c>
      <c r="I43" s="120">
        <f>+G43*H43</f>
        <v>1.0555979999999998</v>
      </c>
      <c r="J43" s="91"/>
      <c r="K43" s="190">
        <f t="shared" ref="K43:K44" si="9">+I43-E43</f>
        <v>1.5523499999999801E-2</v>
      </c>
      <c r="L43" s="133">
        <f t="shared" ref="L43:L44" si="10">IF((E43)=0,"",(K43/E43))</f>
        <v>1.4925373134328167E-2</v>
      </c>
    </row>
    <row r="44" spans="2:15" ht="30" customHeight="1">
      <c r="B44" s="271" t="s">
        <v>61</v>
      </c>
      <c r="C44" s="110">
        <f>+C17</f>
        <v>4.7000000000000002E-3</v>
      </c>
      <c r="D44" s="98">
        <f>+$C$25*$C$28</f>
        <v>155.23499999999999</v>
      </c>
      <c r="E44" s="172">
        <f>+C44*D44</f>
        <v>0.72960449999999999</v>
      </c>
      <c r="F44" s="91"/>
      <c r="G44" s="110">
        <f>+D17</f>
        <v>4.5999999999999999E-3</v>
      </c>
      <c r="H44" s="99">
        <f>+$C$25*$C$28</f>
        <v>155.23499999999999</v>
      </c>
      <c r="I44" s="120">
        <f>+G44*H44</f>
        <v>0.71408099999999997</v>
      </c>
      <c r="J44" s="91"/>
      <c r="K44" s="190">
        <f t="shared" si="9"/>
        <v>-1.5523500000000023E-2</v>
      </c>
      <c r="L44" s="133">
        <f t="shared" si="10"/>
        <v>-2.1276595744680882E-2</v>
      </c>
    </row>
    <row r="45" spans="2:15">
      <c r="B45" s="119" t="s">
        <v>62</v>
      </c>
      <c r="C45" s="96"/>
      <c r="D45" s="96"/>
      <c r="E45" s="122">
        <f>SUM(E42:E44)</f>
        <v>9.1296789999999994</v>
      </c>
      <c r="F45" s="91"/>
      <c r="G45" s="100"/>
      <c r="H45" s="101"/>
      <c r="I45" s="122">
        <f>SUM(I42:I44)</f>
        <v>9.0146789999999992</v>
      </c>
      <c r="J45" s="91"/>
      <c r="K45" s="198">
        <f>+I45-E45</f>
        <v>-0.11500000000000021</v>
      </c>
      <c r="L45" s="145">
        <f>IF((E45)=0,"",(K45/E45))</f>
        <v>-1.2596280767374211E-2</v>
      </c>
    </row>
    <row r="46" spans="2:15">
      <c r="B46" s="272" t="s">
        <v>63</v>
      </c>
      <c r="C46" s="112">
        <f>+C18</f>
        <v>4.4000000000000003E-3</v>
      </c>
      <c r="D46" s="98">
        <f t="shared" ref="D46:D47" si="11">+$C$25*$C$28</f>
        <v>155.23499999999999</v>
      </c>
      <c r="E46" s="173">
        <f>+C46*D46</f>
        <v>0.68303400000000003</v>
      </c>
      <c r="F46" s="91"/>
      <c r="G46" s="112">
        <f>+D18</f>
        <v>4.4000000000000003E-3</v>
      </c>
      <c r="H46" s="99">
        <f>+$C$25*$C$28</f>
        <v>155.23499999999999</v>
      </c>
      <c r="I46" s="123">
        <f>+G46*H46</f>
        <v>0.68303400000000003</v>
      </c>
      <c r="J46" s="91"/>
      <c r="K46" s="190">
        <f t="shared" ref="K46:K51" si="12">+I46-E46</f>
        <v>0</v>
      </c>
      <c r="L46" s="133">
        <f t="shared" ref="L46:L51" si="13">IF((E46)=0,"",(K46/E46))</f>
        <v>0</v>
      </c>
    </row>
    <row r="47" spans="2:15">
      <c r="B47" s="272" t="s">
        <v>64</v>
      </c>
      <c r="C47" s="112">
        <f t="shared" ref="C47:C49" si="14">+C19</f>
        <v>1.1999999999999999E-3</v>
      </c>
      <c r="D47" s="98">
        <f t="shared" si="11"/>
        <v>155.23499999999999</v>
      </c>
      <c r="E47" s="173">
        <f t="shared" ref="E47:E51" si="15">+C47*D47</f>
        <v>0.18628199999999998</v>
      </c>
      <c r="F47" s="91"/>
      <c r="G47" s="112">
        <f t="shared" ref="G47:G49" si="16">+D19</f>
        <v>1.1999999999999999E-3</v>
      </c>
      <c r="H47" s="99">
        <f>+$C$25*$C$28</f>
        <v>155.23499999999999</v>
      </c>
      <c r="I47" s="123">
        <f t="shared" ref="I47:I51" si="17">+G47*H47</f>
        <v>0.18628199999999998</v>
      </c>
      <c r="J47" s="91"/>
      <c r="K47" s="190">
        <f t="shared" si="12"/>
        <v>0</v>
      </c>
      <c r="L47" s="133">
        <f t="shared" si="13"/>
        <v>0</v>
      </c>
    </row>
    <row r="48" spans="2:15">
      <c r="B48" s="265" t="s">
        <v>65</v>
      </c>
      <c r="C48" s="112">
        <f t="shared" si="14"/>
        <v>0.25</v>
      </c>
      <c r="D48" s="98">
        <v>1</v>
      </c>
      <c r="E48" s="173">
        <f t="shared" si="15"/>
        <v>0.25</v>
      </c>
      <c r="F48" s="91"/>
      <c r="G48" s="112">
        <f t="shared" si="16"/>
        <v>0.25</v>
      </c>
      <c r="H48" s="99">
        <v>1</v>
      </c>
      <c r="I48" s="123">
        <f t="shared" si="17"/>
        <v>0.25</v>
      </c>
      <c r="J48" s="91"/>
      <c r="K48" s="190">
        <f t="shared" si="12"/>
        <v>0</v>
      </c>
      <c r="L48" s="133">
        <f t="shared" si="13"/>
        <v>0</v>
      </c>
    </row>
    <row r="49" spans="2:12">
      <c r="B49" s="265" t="s">
        <v>18</v>
      </c>
      <c r="C49" s="112">
        <f t="shared" si="14"/>
        <v>7.0000000000000001E-3</v>
      </c>
      <c r="D49" s="93">
        <f>+$C$25</f>
        <v>150</v>
      </c>
      <c r="E49" s="173">
        <f t="shared" si="15"/>
        <v>1.05</v>
      </c>
      <c r="F49" s="91"/>
      <c r="G49" s="112">
        <f t="shared" si="16"/>
        <v>7.0000000000000001E-3</v>
      </c>
      <c r="H49" s="99">
        <f>+$C$25</f>
        <v>150</v>
      </c>
      <c r="I49" s="123">
        <f t="shared" si="17"/>
        <v>1.05</v>
      </c>
      <c r="J49" s="91"/>
      <c r="K49" s="190">
        <f t="shared" si="12"/>
        <v>0</v>
      </c>
      <c r="L49" s="133">
        <f t="shared" si="13"/>
        <v>0</v>
      </c>
    </row>
    <row r="50" spans="2:12">
      <c r="B50" s="265" t="s">
        <v>6</v>
      </c>
      <c r="C50" s="112">
        <f>+C5</f>
        <v>7.8E-2</v>
      </c>
      <c r="D50" s="93">
        <f>IF(+C25&gt;C26,C26,IF(C25*C28&gt;C26,C26,C25*C28))</f>
        <v>155.23499999999999</v>
      </c>
      <c r="E50" s="173">
        <f t="shared" si="15"/>
        <v>12.108329999999999</v>
      </c>
      <c r="F50" s="91"/>
      <c r="G50" s="112">
        <f>+D5</f>
        <v>7.8E-2</v>
      </c>
      <c r="H50" s="99">
        <f>+D50</f>
        <v>155.23499999999999</v>
      </c>
      <c r="I50" s="123">
        <f t="shared" si="17"/>
        <v>12.108329999999999</v>
      </c>
      <c r="J50" s="91"/>
      <c r="K50" s="190">
        <f t="shared" si="12"/>
        <v>0</v>
      </c>
      <c r="L50" s="133">
        <f t="shared" si="13"/>
        <v>0</v>
      </c>
    </row>
    <row r="51" spans="2:12" ht="15.75" thickBot="1">
      <c r="B51" s="265" t="s">
        <v>7</v>
      </c>
      <c r="C51" s="102">
        <f>+C6</f>
        <v>9.0999999999999998E-2</v>
      </c>
      <c r="D51" s="93">
        <f>IF(C25*C28&gt;C26,C25*C28-C26,0)</f>
        <v>0</v>
      </c>
      <c r="E51" s="123">
        <f t="shared" si="15"/>
        <v>0</v>
      </c>
      <c r="F51" s="91"/>
      <c r="G51" s="112">
        <f>+D6</f>
        <v>9.0999999999999998E-2</v>
      </c>
      <c r="H51" s="99">
        <f>+D51</f>
        <v>0</v>
      </c>
      <c r="I51" s="123">
        <f t="shared" si="17"/>
        <v>0</v>
      </c>
      <c r="J51" s="91"/>
      <c r="K51" s="190">
        <f t="shared" si="12"/>
        <v>0</v>
      </c>
      <c r="L51" s="133" t="str">
        <f t="shared" si="13"/>
        <v/>
      </c>
    </row>
    <row r="52" spans="2:12" ht="15.75" thickBot="1">
      <c r="B52" s="273"/>
      <c r="C52" s="103"/>
      <c r="D52" s="104"/>
      <c r="E52" s="124"/>
      <c r="F52" s="105"/>
      <c r="G52" s="103"/>
      <c r="H52" s="106"/>
      <c r="I52" s="124"/>
      <c r="J52" s="105"/>
      <c r="K52" s="227"/>
      <c r="L52" s="274"/>
    </row>
    <row r="53" spans="2:12">
      <c r="B53" s="275" t="s">
        <v>92</v>
      </c>
      <c r="C53" s="134"/>
      <c r="D53" s="135"/>
      <c r="E53" s="125">
        <f>SUM(E45:E51)</f>
        <v>23.407325</v>
      </c>
      <c r="F53" s="136"/>
      <c r="G53" s="137"/>
      <c r="H53" s="137"/>
      <c r="I53" s="237">
        <f>SUM(I45:I51)</f>
        <v>23.292324999999998</v>
      </c>
      <c r="J53" s="107"/>
      <c r="K53" s="225">
        <f>+I53-E53</f>
        <v>-0.11500000000000199</v>
      </c>
      <c r="L53" s="226">
        <f t="shared" ref="L53:L55" si="18">IF((E53)=0,"",(K53/E53))</f>
        <v>-4.9129919800746987E-3</v>
      </c>
    </row>
    <row r="54" spans="2:12">
      <c r="B54" s="276" t="s">
        <v>19</v>
      </c>
      <c r="C54" s="134">
        <v>0.13</v>
      </c>
      <c r="D54" s="138"/>
      <c r="E54" s="126">
        <f>+E53*C54</f>
        <v>3.0429522499999999</v>
      </c>
      <c r="F54" s="90"/>
      <c r="G54" s="134">
        <v>0.13</v>
      </c>
      <c r="H54" s="90"/>
      <c r="I54" s="130">
        <f>+I53*G54</f>
        <v>3.0280022499999997</v>
      </c>
      <c r="J54" s="108"/>
      <c r="K54" s="195">
        <f t="shared" ref="K54:K57" si="19">+I54-E54</f>
        <v>-1.4950000000000241E-2</v>
      </c>
      <c r="L54" s="146">
        <f t="shared" si="18"/>
        <v>-4.9129919800746926E-3</v>
      </c>
    </row>
    <row r="55" spans="2:12">
      <c r="B55" s="277" t="s">
        <v>67</v>
      </c>
      <c r="C55" s="90"/>
      <c r="D55" s="138"/>
      <c r="E55" s="126">
        <f>SUM(E53:E54)</f>
        <v>26.450277249999999</v>
      </c>
      <c r="F55" s="90"/>
      <c r="G55" s="90"/>
      <c r="H55" s="90"/>
      <c r="I55" s="130">
        <f>SUM(I53:I54)</f>
        <v>26.320327249999998</v>
      </c>
      <c r="J55" s="108"/>
      <c r="K55" s="195">
        <f t="shared" si="19"/>
        <v>-0.1299500000000009</v>
      </c>
      <c r="L55" s="146">
        <f t="shared" si="18"/>
        <v>-4.9129919800746475E-3</v>
      </c>
    </row>
    <row r="56" spans="2:12">
      <c r="B56" s="278" t="s">
        <v>68</v>
      </c>
      <c r="C56" s="90"/>
      <c r="D56" s="138"/>
      <c r="E56" s="214">
        <f>-E55*0.1</f>
        <v>-2.6450277250000003</v>
      </c>
      <c r="F56" s="195"/>
      <c r="G56" s="195"/>
      <c r="H56" s="195"/>
      <c r="I56" s="211">
        <f>-I55*0.1</f>
        <v>-2.6320327250000002</v>
      </c>
      <c r="J56" s="108"/>
      <c r="K56" s="199">
        <f t="shared" si="19"/>
        <v>1.299500000000009E-2</v>
      </c>
      <c r="L56" s="146">
        <f>IF((E56)=0,"",(K56/E56))</f>
        <v>-4.9129919800746467E-3</v>
      </c>
    </row>
    <row r="57" spans="2:12" ht="15.75" thickBot="1">
      <c r="B57" s="279" t="s">
        <v>91</v>
      </c>
      <c r="C57" s="139"/>
      <c r="D57" s="140"/>
      <c r="E57" s="128">
        <f>SUM(E55:E56)</f>
        <v>23.805249525000001</v>
      </c>
      <c r="F57" s="141"/>
      <c r="G57" s="141"/>
      <c r="H57" s="141"/>
      <c r="I57" s="132">
        <f>SUM(I55:I56)</f>
        <v>23.688294524999996</v>
      </c>
      <c r="J57" s="109"/>
      <c r="K57" s="196">
        <f t="shared" si="19"/>
        <v>-0.11695500000000436</v>
      </c>
      <c r="L57" s="155">
        <f>IF((E57)=0,"",(K57/E57))</f>
        <v>-4.9129919800747967E-3</v>
      </c>
    </row>
    <row r="58" spans="2:12">
      <c r="B58" s="280"/>
      <c r="C58" s="281"/>
      <c r="D58" s="282"/>
      <c r="E58" s="283"/>
      <c r="F58" s="284"/>
      <c r="G58" s="281"/>
      <c r="H58" s="285"/>
      <c r="I58" s="283"/>
      <c r="J58" s="284"/>
      <c r="K58" s="288"/>
      <c r="L58" s="289"/>
    </row>
    <row r="60" spans="2:12">
      <c r="E60" s="144"/>
      <c r="I60" s="144"/>
    </row>
    <row r="61" spans="2:12">
      <c r="E61" s="144"/>
      <c r="I61" s="144"/>
    </row>
    <row r="62" spans="2:12" ht="108.75" customHeight="1">
      <c r="B62" s="306" t="s">
        <v>26</v>
      </c>
      <c r="C62" s="307"/>
      <c r="D62" s="307"/>
      <c r="E62" s="307"/>
      <c r="F62" s="307"/>
      <c r="G62" s="307"/>
      <c r="H62" s="307"/>
      <c r="I62" s="307"/>
    </row>
  </sheetData>
  <mergeCells count="7">
    <mergeCell ref="B62:I62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I44 C57:I57 C56:D56 C46:I55 C45:D45" unlockedFormula="1"/>
    <ignoredError sqref="E56:I56 E45:I4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3"/>
  <sheetViews>
    <sheetView showGridLines="0" topLeftCell="A60" zoomScale="85" zoomScaleNormal="85" workbookViewId="0">
      <selection activeCell="A77" sqref="A1:N77"/>
    </sheetView>
  </sheetViews>
  <sheetFormatPr defaultRowHeight="15"/>
  <cols>
    <col min="1" max="1" width="3.570312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4.28515625" style="65" customWidth="1"/>
    <col min="14" max="16384" width="9.140625" style="65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0.14000000000000001</v>
      </c>
      <c r="L8" s="58">
        <v>0.14000000000000001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0.41</v>
      </c>
      <c r="L9" s="143">
        <v>0.41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9.9600000000000009</v>
      </c>
      <c r="D10" s="59">
        <v>10.09</v>
      </c>
      <c r="E10" s="72"/>
      <c r="F10" s="72"/>
      <c r="K10" s="144">
        <f>SUM(K7:K9)</f>
        <v>0.56999999999999995</v>
      </c>
      <c r="L10" s="144">
        <f>SUM(L7:L9)</f>
        <v>0.55000000000000004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0.56999999999999995</v>
      </c>
      <c r="D11" s="51">
        <f>+L10</f>
        <v>0.55000000000000004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1.4500000000000001E-2</v>
      </c>
      <c r="D13" s="60">
        <v>1.47E-2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7.4999999999999997E-3</v>
      </c>
      <c r="D16" s="62">
        <v>7.6E-3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5.4999999999999997E-3</v>
      </c>
      <c r="D17" s="62">
        <v>5.4000000000000003E-3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87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250</v>
      </c>
      <c r="D25" s="161" t="s">
        <v>0</v>
      </c>
      <c r="E25" s="87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8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80"/>
      <c r="C27" s="23"/>
      <c r="D27" s="161"/>
      <c r="E27" s="8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87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9.9600000000000009</v>
      </c>
      <c r="D33" s="90">
        <v>1</v>
      </c>
      <c r="E33" s="120">
        <f>+C33*D33</f>
        <v>9.9600000000000009</v>
      </c>
      <c r="F33" s="91"/>
      <c r="G33" s="142">
        <f>+D10</f>
        <v>10.09</v>
      </c>
      <c r="H33" s="92">
        <v>1</v>
      </c>
      <c r="I33" s="189">
        <f>+G33*H33</f>
        <v>10.09</v>
      </c>
      <c r="J33" s="200"/>
      <c r="K33" s="190">
        <f>+I33-E33</f>
        <v>0.12999999999999901</v>
      </c>
      <c r="L33" s="133">
        <f>IF((E33)=0,"",(K33/E33))</f>
        <v>1.3052208835341264E-2</v>
      </c>
    </row>
    <row r="34" spans="2:15">
      <c r="B34" s="265" t="s">
        <v>12</v>
      </c>
      <c r="C34" s="110">
        <f>+C13</f>
        <v>1.4500000000000001E-2</v>
      </c>
      <c r="D34" s="93">
        <f>+$C$25</f>
        <v>250</v>
      </c>
      <c r="E34" s="120">
        <f>+C34*D34</f>
        <v>3.625</v>
      </c>
      <c r="F34" s="91"/>
      <c r="G34" s="110">
        <f>+D13</f>
        <v>1.47E-2</v>
      </c>
      <c r="H34" s="94">
        <f>+$C$25</f>
        <v>250</v>
      </c>
      <c r="I34" s="189">
        <f t="shared" ref="I34:I36" si="2">+G34*H34</f>
        <v>3.6749999999999998</v>
      </c>
      <c r="J34" s="200"/>
      <c r="K34" s="190">
        <f t="shared" ref="K34:K37" si="3">+I34-E34</f>
        <v>4.9999999999999822E-2</v>
      </c>
      <c r="L34" s="133">
        <f t="shared" ref="L34:L41" si="4">IF((E34)=0,"",(K34/E34))</f>
        <v>1.3793103448275813E-2</v>
      </c>
    </row>
    <row r="35" spans="2:15">
      <c r="B35" s="266" t="s">
        <v>53</v>
      </c>
      <c r="C35" s="110">
        <f>+K10</f>
        <v>0.56999999999999995</v>
      </c>
      <c r="D35" s="90">
        <v>1</v>
      </c>
      <c r="E35" s="120">
        <f>+C35*D35</f>
        <v>0.56999999999999995</v>
      </c>
      <c r="F35" s="91"/>
      <c r="G35" s="110">
        <f>+L10</f>
        <v>0.55000000000000004</v>
      </c>
      <c r="H35" s="92">
        <v>1</v>
      </c>
      <c r="I35" s="189">
        <f t="shared" si="2"/>
        <v>0.55000000000000004</v>
      </c>
      <c r="J35" s="200"/>
      <c r="K35" s="190">
        <f t="shared" si="3"/>
        <v>-1.9999999999999907E-2</v>
      </c>
      <c r="L35" s="133">
        <f t="shared" si="4"/>
        <v>-3.5087719298245452E-2</v>
      </c>
    </row>
    <row r="36" spans="2:15">
      <c r="B36" s="267" t="s">
        <v>54</v>
      </c>
      <c r="C36" s="111">
        <v>0</v>
      </c>
      <c r="D36" s="93">
        <f>+$C$25</f>
        <v>250</v>
      </c>
      <c r="E36" s="121">
        <v>0</v>
      </c>
      <c r="F36" s="91"/>
      <c r="G36" s="111">
        <v>0</v>
      </c>
      <c r="H36" s="94">
        <f>+$C$25</f>
        <v>250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14.155000000000001</v>
      </c>
      <c r="F37" s="150"/>
      <c r="G37" s="147"/>
      <c r="H37" s="100"/>
      <c r="I37" s="201">
        <f>SUM(I33:I36)</f>
        <v>14.315000000000001</v>
      </c>
      <c r="J37" s="202"/>
      <c r="K37" s="197">
        <f t="shared" si="3"/>
        <v>0.16000000000000014</v>
      </c>
      <c r="L37" s="153">
        <f t="shared" si="4"/>
        <v>1.1303426351112689E-2</v>
      </c>
    </row>
    <row r="38" spans="2:15">
      <c r="B38" s="268" t="s">
        <v>56</v>
      </c>
      <c r="C38" s="156">
        <f>+C7*H25+C8*H26+C9*H27</f>
        <v>8.3919999999999995E-2</v>
      </c>
      <c r="D38" s="95">
        <f>+C25*(C26-1)</f>
        <v>8.7249999999999837</v>
      </c>
      <c r="E38" s="120">
        <f>+C38*D38</f>
        <v>0.73220199999999858</v>
      </c>
      <c r="F38" s="91"/>
      <c r="G38" s="216">
        <f>+D7*H25+D8*H26+D9*H27</f>
        <v>8.3919999999999995E-2</v>
      </c>
      <c r="H38" s="95">
        <f>+C25*(C26-1)</f>
        <v>8.7249999999999837</v>
      </c>
      <c r="I38" s="189">
        <f>+G38*H38</f>
        <v>0.73220199999999858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250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250</v>
      </c>
      <c r="I39" s="189">
        <f t="shared" ref="I39:I41" si="6">+G39*H39</f>
        <v>-0.32500000000000001</v>
      </c>
      <c r="J39" s="200"/>
      <c r="K39" s="190">
        <f t="shared" ref="K39:K41" si="7">+I39-E39</f>
        <v>-0.32500000000000001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250</v>
      </c>
      <c r="E40" s="120">
        <v>0</v>
      </c>
      <c r="F40" s="91"/>
      <c r="G40" s="110"/>
      <c r="H40" s="94">
        <f t="shared" si="5"/>
        <v>250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15.677202000000001</v>
      </c>
      <c r="F42" s="91"/>
      <c r="G42" s="96"/>
      <c r="H42" s="97"/>
      <c r="I42" s="203">
        <f>SUM(I37:I41)</f>
        <v>15.512202000000002</v>
      </c>
      <c r="J42" s="200"/>
      <c r="K42" s="198">
        <f>+I42-E42</f>
        <v>-0.16499999999999915</v>
      </c>
      <c r="L42" s="145">
        <f>IF((E42)=0,"",(K42/E42))</f>
        <v>-1.0524837276447617E-2</v>
      </c>
      <c r="O42" s="144"/>
    </row>
    <row r="43" spans="2:15">
      <c r="B43" s="270" t="s">
        <v>60</v>
      </c>
      <c r="C43" s="110">
        <f>+C16</f>
        <v>7.4999999999999997E-3</v>
      </c>
      <c r="D43" s="98">
        <f>+$C$25*$C$26</f>
        <v>258.72499999999997</v>
      </c>
      <c r="E43" s="120">
        <f>+C43*D43</f>
        <v>1.9404374999999996</v>
      </c>
      <c r="F43" s="91"/>
      <c r="G43" s="110">
        <f>+D16</f>
        <v>7.6E-3</v>
      </c>
      <c r="H43" s="99">
        <f>+$C$25*$C$26</f>
        <v>258.72499999999997</v>
      </c>
      <c r="I43" s="189">
        <f>+G43*H43</f>
        <v>1.9663099999999998</v>
      </c>
      <c r="J43" s="200"/>
      <c r="K43" s="190">
        <f t="shared" ref="K43:K44" si="8">+I43-E43</f>
        <v>2.5872500000000187E-2</v>
      </c>
      <c r="L43" s="133">
        <f t="shared" ref="L43:L44" si="9">IF((E43)=0,"",(K43/E43))</f>
        <v>1.3333333333333433E-2</v>
      </c>
    </row>
    <row r="44" spans="2:15" ht="30" customHeight="1">
      <c r="B44" s="271" t="s">
        <v>61</v>
      </c>
      <c r="C44" s="110">
        <f>+C17</f>
        <v>5.4999999999999997E-3</v>
      </c>
      <c r="D44" s="98">
        <f>+$C$25*$C$26</f>
        <v>258.72499999999997</v>
      </c>
      <c r="E44" s="120">
        <f>+C44*D44</f>
        <v>1.4229874999999996</v>
      </c>
      <c r="F44" s="91"/>
      <c r="G44" s="110">
        <v>5.4000000000000003E-3</v>
      </c>
      <c r="H44" s="99">
        <f>+$C$25*$C$26</f>
        <v>258.72499999999997</v>
      </c>
      <c r="I44" s="189">
        <f>+G44*H44</f>
        <v>1.3971149999999999</v>
      </c>
      <c r="J44" s="200"/>
      <c r="K44" s="190">
        <f t="shared" si="8"/>
        <v>-2.5872499999999743E-2</v>
      </c>
      <c r="L44" s="133">
        <f t="shared" si="9"/>
        <v>-1.8181818181818007E-2</v>
      </c>
    </row>
    <row r="45" spans="2:15">
      <c r="B45" s="119" t="s">
        <v>62</v>
      </c>
      <c r="C45" s="96"/>
      <c r="D45" s="96"/>
      <c r="E45" s="122">
        <f>SUM(E42:E44)</f>
        <v>19.040627000000001</v>
      </c>
      <c r="F45" s="91"/>
      <c r="G45" s="100"/>
      <c r="H45" s="101"/>
      <c r="I45" s="203">
        <f>SUM(I42:I44)</f>
        <v>18.875627000000001</v>
      </c>
      <c r="J45" s="200"/>
      <c r="K45" s="198">
        <f>+I45-E45</f>
        <v>-0.16499999999999915</v>
      </c>
      <c r="L45" s="145">
        <f>IF((E45)=0,"",(K45/E45))</f>
        <v>-8.6656810198529246E-3</v>
      </c>
    </row>
    <row r="46" spans="2:15">
      <c r="B46" s="272" t="s">
        <v>63</v>
      </c>
      <c r="C46" s="112">
        <f>+C18</f>
        <v>4.4000000000000003E-3</v>
      </c>
      <c r="D46" s="98">
        <f>+$C$25*$C$26</f>
        <v>258.72499999999997</v>
      </c>
      <c r="E46" s="123">
        <f>+C46*D46</f>
        <v>1.13839</v>
      </c>
      <c r="F46" s="91"/>
      <c r="G46" s="112">
        <f>+D18</f>
        <v>4.4000000000000003E-3</v>
      </c>
      <c r="H46" s="99">
        <f>+$C$25*$C$26</f>
        <v>258.72499999999997</v>
      </c>
      <c r="I46" s="204">
        <f>+G46*H46</f>
        <v>1.13839</v>
      </c>
      <c r="J46" s="200"/>
      <c r="K46" s="190">
        <f t="shared" ref="K46:K52" si="10">+I46-E46</f>
        <v>0</v>
      </c>
      <c r="L46" s="133">
        <f t="shared" ref="L46:L52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>+$C$25*$C$26</f>
        <v>258.72499999999997</v>
      </c>
      <c r="E47" s="123">
        <f t="shared" ref="E47:E52" si="13">+C47*D47</f>
        <v>0.31046999999999991</v>
      </c>
      <c r="F47" s="91"/>
      <c r="G47" s="112">
        <f t="shared" ref="G47:G49" si="14">+D19</f>
        <v>1.1999999999999999E-3</v>
      </c>
      <c r="H47" s="99">
        <f>+$C$25*$C$26</f>
        <v>258.72499999999997</v>
      </c>
      <c r="I47" s="204">
        <f t="shared" ref="I47:I52" si="15">+G47*H47</f>
        <v>0.31046999999999991</v>
      </c>
      <c r="J47" s="200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23">
        <f t="shared" si="13"/>
        <v>0.25</v>
      </c>
      <c r="F48" s="91"/>
      <c r="G48" s="112">
        <f t="shared" si="14"/>
        <v>0.25</v>
      </c>
      <c r="H48" s="99">
        <v>1</v>
      </c>
      <c r="I48" s="204">
        <f t="shared" si="15"/>
        <v>0.25</v>
      </c>
      <c r="J48" s="200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250</v>
      </c>
      <c r="E49" s="123">
        <f t="shared" si="13"/>
        <v>1.75</v>
      </c>
      <c r="F49" s="91"/>
      <c r="G49" s="112">
        <f t="shared" si="14"/>
        <v>7.0000000000000001E-3</v>
      </c>
      <c r="H49" s="99">
        <f>+$C$25</f>
        <v>250</v>
      </c>
      <c r="I49" s="204">
        <f t="shared" si="15"/>
        <v>1.75</v>
      </c>
      <c r="J49" s="200"/>
      <c r="K49" s="190">
        <f t="shared" si="10"/>
        <v>0</v>
      </c>
      <c r="L49" s="133">
        <f t="shared" si="11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160</v>
      </c>
      <c r="E50" s="123">
        <f t="shared" si="13"/>
        <v>10.72</v>
      </c>
      <c r="F50" s="91"/>
      <c r="G50" s="102">
        <f>+$C$7</f>
        <v>6.7000000000000004E-2</v>
      </c>
      <c r="H50" s="98">
        <f>+$C$25*H25</f>
        <v>160</v>
      </c>
      <c r="I50" s="204">
        <f t="shared" si="15"/>
        <v>10.72</v>
      </c>
      <c r="J50" s="200"/>
      <c r="K50" s="190">
        <f t="shared" si="10"/>
        <v>0</v>
      </c>
      <c r="L50" s="133">
        <f t="shared" si="11"/>
        <v>0</v>
      </c>
    </row>
    <row r="51" spans="2:12">
      <c r="B51" s="269" t="s">
        <v>9</v>
      </c>
      <c r="C51" s="102">
        <f>+$C$8</f>
        <v>0.104</v>
      </c>
      <c r="D51" s="98">
        <f t="shared" ref="D51:D52" si="16">+$C$25*H26</f>
        <v>45</v>
      </c>
      <c r="E51" s="123">
        <f t="shared" si="13"/>
        <v>4.68</v>
      </c>
      <c r="F51" s="91"/>
      <c r="G51" s="102">
        <f>+$C$8</f>
        <v>0.104</v>
      </c>
      <c r="H51" s="98">
        <f>+$C$25*H26</f>
        <v>45</v>
      </c>
      <c r="I51" s="204">
        <f t="shared" si="15"/>
        <v>4.68</v>
      </c>
      <c r="J51" s="200"/>
      <c r="K51" s="190">
        <f t="shared" si="10"/>
        <v>0</v>
      </c>
      <c r="L51" s="133">
        <f t="shared" si="11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6"/>
        <v>45</v>
      </c>
      <c r="E52" s="123">
        <f t="shared" si="13"/>
        <v>5.58</v>
      </c>
      <c r="F52" s="91"/>
      <c r="G52" s="102">
        <f>+$C$9</f>
        <v>0.124</v>
      </c>
      <c r="H52" s="98">
        <f>+$C$25*H27</f>
        <v>45</v>
      </c>
      <c r="I52" s="204">
        <f t="shared" si="15"/>
        <v>5.58</v>
      </c>
      <c r="J52" s="200"/>
      <c r="K52" s="190">
        <f t="shared" si="10"/>
        <v>0</v>
      </c>
      <c r="L52" s="133">
        <f t="shared" si="11"/>
        <v>0</v>
      </c>
    </row>
    <row r="53" spans="2:12" s="161" customFormat="1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43.469487000000001</v>
      </c>
      <c r="F54" s="136"/>
      <c r="G54" s="137"/>
      <c r="H54" s="137"/>
      <c r="I54" s="207">
        <f>SUM(I45:I52)</f>
        <v>43.304487000000002</v>
      </c>
      <c r="J54" s="208"/>
      <c r="K54" s="194">
        <f>+I54-E54</f>
        <v>-0.16499999999999915</v>
      </c>
      <c r="L54" s="154">
        <f t="shared" ref="L54:L56" si="17">IF((E54)=0,"",(K54/E54))</f>
        <v>-3.7957659817793375E-3</v>
      </c>
    </row>
    <row r="55" spans="2:12">
      <c r="B55" s="276" t="s">
        <v>19</v>
      </c>
      <c r="C55" s="134">
        <v>0.13</v>
      </c>
      <c r="D55" s="138"/>
      <c r="E55" s="126">
        <f>+E54*C55</f>
        <v>5.6510333099999999</v>
      </c>
      <c r="F55" s="90"/>
      <c r="G55" s="134">
        <v>0.13</v>
      </c>
      <c r="H55" s="90"/>
      <c r="I55" s="209">
        <f>+I54*G55</f>
        <v>5.6295833100000001</v>
      </c>
      <c r="J55" s="210"/>
      <c r="K55" s="195">
        <f t="shared" ref="K55:K58" si="18">+I55-E55</f>
        <v>-2.1449999999999747E-2</v>
      </c>
      <c r="L55" s="146">
        <f t="shared" si="17"/>
        <v>-3.7957659817793124E-3</v>
      </c>
    </row>
    <row r="56" spans="2:12">
      <c r="B56" s="277" t="s">
        <v>67</v>
      </c>
      <c r="C56" s="90"/>
      <c r="D56" s="138"/>
      <c r="E56" s="126">
        <f>SUM(E54:E55)</f>
        <v>49.120520310000003</v>
      </c>
      <c r="F56" s="90"/>
      <c r="G56" s="90"/>
      <c r="H56" s="90"/>
      <c r="I56" s="209">
        <f>SUM(I54:I55)</f>
        <v>48.934070310000003</v>
      </c>
      <c r="J56" s="210"/>
      <c r="K56" s="195">
        <f t="shared" si="18"/>
        <v>-0.18645000000000067</v>
      </c>
      <c r="L56" s="146">
        <f t="shared" si="17"/>
        <v>-3.7957659817793705E-3</v>
      </c>
    </row>
    <row r="57" spans="2:12">
      <c r="B57" s="278" t="s">
        <v>68</v>
      </c>
      <c r="C57" s="90"/>
      <c r="D57" s="138"/>
      <c r="E57" s="214">
        <f>-E56*0.1</f>
        <v>-4.9120520310000009</v>
      </c>
      <c r="F57" s="90"/>
      <c r="G57" s="90"/>
      <c r="H57" s="90"/>
      <c r="I57" s="211">
        <f>-I56*0.1</f>
        <v>-4.8934070310000006</v>
      </c>
      <c r="J57" s="210"/>
      <c r="K57" s="199">
        <f t="shared" si="18"/>
        <v>1.8645000000000245E-2</v>
      </c>
      <c r="L57" s="146">
        <f>IF((E57)=0,"",(K57/E57))</f>
        <v>-3.795765981779406E-3</v>
      </c>
    </row>
    <row r="58" spans="2:12" ht="15.75" thickBot="1">
      <c r="B58" s="279" t="s">
        <v>20</v>
      </c>
      <c r="C58" s="139"/>
      <c r="D58" s="140"/>
      <c r="E58" s="128">
        <f>SUM(E56:E57)</f>
        <v>44.208468279000002</v>
      </c>
      <c r="F58" s="141"/>
      <c r="G58" s="141"/>
      <c r="H58" s="141"/>
      <c r="I58" s="212">
        <f>SUM(I56:I57)</f>
        <v>44.040663279</v>
      </c>
      <c r="J58" s="213"/>
      <c r="K58" s="196">
        <f t="shared" si="18"/>
        <v>-0.16780500000000131</v>
      </c>
      <c r="L58" s="155">
        <f>IF((E58)=0,"",(K58/E58))</f>
        <v>-3.7957659817793865E-3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1" spans="2:12">
      <c r="E61" s="144"/>
      <c r="I61" s="144"/>
    </row>
    <row r="62" spans="2:12">
      <c r="I62" s="144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I44 C58:I58 C57:D57 F57:H57 C46:I56 C45:D45 F45:H45" unlockedFormula="1"/>
    <ignoredError sqref="I57 E57 E45 I45" formula="1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B1:AC62"/>
  <sheetViews>
    <sheetView showGridLines="0" zoomScale="85" zoomScaleNormal="85" workbookViewId="0">
      <selection sqref="A1:M67"/>
    </sheetView>
  </sheetViews>
  <sheetFormatPr defaultRowHeight="15"/>
  <cols>
    <col min="1" max="1" width="2.28515625" style="161" customWidth="1"/>
    <col min="2" max="2" width="47.5703125" style="161" customWidth="1"/>
    <col min="3" max="3" width="13.5703125" style="161" customWidth="1"/>
    <col min="4" max="4" width="13.140625" style="161" customWidth="1"/>
    <col min="5" max="5" width="13.5703125" style="161" customWidth="1"/>
    <col min="6" max="6" width="2.140625" style="161" customWidth="1"/>
    <col min="7" max="7" width="13.28515625" style="161" customWidth="1"/>
    <col min="8" max="8" width="13.42578125" style="161" customWidth="1"/>
    <col min="9" max="9" width="11.140625" style="161" customWidth="1"/>
    <col min="10" max="10" width="2" style="161" customWidth="1"/>
    <col min="11" max="12" width="11.140625" style="161" customWidth="1"/>
    <col min="13" max="13" width="3.28515625" style="161" customWidth="1"/>
    <col min="14" max="16384" width="9.140625" style="161"/>
  </cols>
  <sheetData>
    <row r="1" spans="2:29" ht="23.25">
      <c r="B1" s="308" t="s">
        <v>36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161" t="s">
        <v>28</v>
      </c>
      <c r="K7" s="175">
        <v>0</v>
      </c>
      <c r="L7" s="175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161" t="s">
        <v>40</v>
      </c>
      <c r="K8" s="175"/>
      <c r="L8" s="175"/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161" t="s">
        <v>29</v>
      </c>
      <c r="K9" s="176"/>
      <c r="L9" s="176"/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0.95</v>
      </c>
      <c r="D10" s="59">
        <v>0.96</v>
      </c>
      <c r="E10" s="72"/>
      <c r="F10" s="72"/>
      <c r="K10" s="144">
        <f>SUM(K7:K9)</f>
        <v>0</v>
      </c>
      <c r="L10" s="144">
        <f>SUM(L7:L9)</f>
        <v>0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</v>
      </c>
      <c r="D11" s="51">
        <f>+L10</f>
        <v>0</v>
      </c>
      <c r="E11" s="72"/>
      <c r="F11" s="72"/>
      <c r="G11" s="161" t="s">
        <v>41</v>
      </c>
      <c r="K11" s="175"/>
      <c r="L11" s="175"/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1.7399999999999999E-2</v>
      </c>
      <c r="D13" s="60">
        <v>1.7600000000000001E-2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161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6.7000000000000002E-3</v>
      </c>
      <c r="D16" s="62">
        <v>6.7999999999999996E-3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4.7000000000000002E-3</v>
      </c>
      <c r="D17" s="62">
        <v>4.5999999999999999E-3</v>
      </c>
      <c r="E17" s="72"/>
      <c r="F17" s="72"/>
      <c r="G17" s="161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83"/>
      <c r="C24" s="83"/>
      <c r="D24" s="72"/>
      <c r="E24" s="82"/>
      <c r="F24" s="82"/>
      <c r="G24" s="72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177" t="s">
        <v>1</v>
      </c>
      <c r="C25" s="181">
        <v>1500</v>
      </c>
      <c r="D25" s="178" t="s">
        <v>0</v>
      </c>
      <c r="E25" s="82"/>
      <c r="F25" s="82"/>
      <c r="G25" s="74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179" t="s">
        <v>2</v>
      </c>
      <c r="C26" s="182">
        <v>750</v>
      </c>
      <c r="D26" s="178" t="s">
        <v>0</v>
      </c>
      <c r="E26" s="82"/>
      <c r="F26" s="82"/>
      <c r="G26" s="67"/>
      <c r="H26" s="170"/>
      <c r="I26" s="17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179" t="s">
        <v>38</v>
      </c>
      <c r="C27" s="182">
        <v>300</v>
      </c>
      <c r="D27" s="178"/>
      <c r="E27" s="82"/>
      <c r="F27" s="82"/>
      <c r="G27" s="69"/>
      <c r="H27" s="170"/>
      <c r="I27" s="17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79" t="s">
        <v>4</v>
      </c>
      <c r="C28" s="180">
        <v>1.0348999999999999</v>
      </c>
      <c r="D28" s="178"/>
      <c r="E28" s="82"/>
      <c r="F28" s="82"/>
      <c r="G28" s="70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0.95</v>
      </c>
      <c r="D33" s="90">
        <f>+C27</f>
        <v>300</v>
      </c>
      <c r="E33" s="172">
        <f>+C33*D33</f>
        <v>285</v>
      </c>
      <c r="F33" s="91"/>
      <c r="G33" s="142">
        <f>+D10</f>
        <v>0.96</v>
      </c>
      <c r="H33" s="92">
        <f>+C27</f>
        <v>300</v>
      </c>
      <c r="I33" s="120">
        <f>+G33*H33</f>
        <v>288</v>
      </c>
      <c r="J33" s="91"/>
      <c r="K33" s="190">
        <f>+I33-E33</f>
        <v>3</v>
      </c>
      <c r="L33" s="133">
        <f>IF((E33)=0,"",(K33/E33))</f>
        <v>1.0526315789473684E-2</v>
      </c>
    </row>
    <row r="34" spans="2:15">
      <c r="B34" s="265" t="s">
        <v>12</v>
      </c>
      <c r="C34" s="110">
        <f>+C13</f>
        <v>1.7399999999999999E-2</v>
      </c>
      <c r="D34" s="93">
        <f>+$C$25</f>
        <v>1500</v>
      </c>
      <c r="E34" s="172">
        <f>+C34*D34</f>
        <v>26.099999999999998</v>
      </c>
      <c r="F34" s="91"/>
      <c r="G34" s="110">
        <f>+D13</f>
        <v>1.7600000000000001E-2</v>
      </c>
      <c r="H34" s="94">
        <f>+$C$25</f>
        <v>1500</v>
      </c>
      <c r="I34" s="120">
        <f t="shared" ref="I34:I36" si="2">+G34*H34</f>
        <v>26.400000000000002</v>
      </c>
      <c r="J34" s="91"/>
      <c r="K34" s="190">
        <f t="shared" ref="K34:K37" si="3">+I34-E34</f>
        <v>0.30000000000000426</v>
      </c>
      <c r="L34" s="133">
        <f t="shared" ref="L34:L39" si="4">IF((E34)=0,"",(K34/E34))</f>
        <v>1.1494252873563383E-2</v>
      </c>
    </row>
    <row r="35" spans="2:15">
      <c r="B35" s="266" t="s">
        <v>53</v>
      </c>
      <c r="C35" s="160">
        <f>+K10</f>
        <v>0</v>
      </c>
      <c r="D35" s="90"/>
      <c r="E35" s="172">
        <f>+C35*D35</f>
        <v>0</v>
      </c>
      <c r="F35" s="91"/>
      <c r="G35" s="160">
        <f>+L10</f>
        <v>0</v>
      </c>
      <c r="H35" s="92"/>
      <c r="I35" s="120">
        <f t="shared" si="2"/>
        <v>0</v>
      </c>
      <c r="J35" s="91"/>
      <c r="K35" s="190">
        <f t="shared" si="3"/>
        <v>0</v>
      </c>
      <c r="L35" s="133" t="str">
        <f t="shared" si="4"/>
        <v/>
      </c>
    </row>
    <row r="36" spans="2:15">
      <c r="B36" s="267" t="s">
        <v>54</v>
      </c>
      <c r="C36" s="111">
        <v>0</v>
      </c>
      <c r="D36" s="93"/>
      <c r="E36" s="121">
        <v>0</v>
      </c>
      <c r="F36" s="91"/>
      <c r="G36" s="111">
        <v>0</v>
      </c>
      <c r="H36" s="94"/>
      <c r="I36" s="120">
        <f t="shared" si="2"/>
        <v>0</v>
      </c>
      <c r="J36" s="91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311.10000000000002</v>
      </c>
      <c r="F37" s="150"/>
      <c r="G37" s="147"/>
      <c r="H37" s="100"/>
      <c r="I37" s="151">
        <f>SUM(I33:I36)</f>
        <v>314.39999999999998</v>
      </c>
      <c r="J37" s="150"/>
      <c r="K37" s="197">
        <f t="shared" si="3"/>
        <v>3.2999999999999545</v>
      </c>
      <c r="L37" s="153">
        <f t="shared" si="4"/>
        <v>1.0607521697203325E-2</v>
      </c>
    </row>
    <row r="38" spans="2:15">
      <c r="B38" s="268" t="s">
        <v>56</v>
      </c>
      <c r="C38" s="156"/>
      <c r="D38" s="95"/>
      <c r="E38" s="159"/>
      <c r="F38" s="91"/>
      <c r="G38" s="110"/>
      <c r="H38" s="95"/>
      <c r="I38" s="120"/>
      <c r="J38" s="91"/>
      <c r="K38" s="190"/>
      <c r="L38" s="133"/>
    </row>
    <row r="39" spans="2:15">
      <c r="B39" s="268" t="s">
        <v>57</v>
      </c>
      <c r="C39" s="157">
        <v>0</v>
      </c>
      <c r="D39" s="93">
        <f>+$C$25</f>
        <v>1500</v>
      </c>
      <c r="E39" s="120">
        <v>0</v>
      </c>
      <c r="F39" s="91"/>
      <c r="G39" s="192">
        <f>+D14</f>
        <v>-1.2999999999999999E-3</v>
      </c>
      <c r="H39" s="94">
        <f t="shared" ref="H39" si="5">+$C$25</f>
        <v>1500</v>
      </c>
      <c r="I39" s="189">
        <f>+G39*H39</f>
        <v>-1.95</v>
      </c>
      <c r="J39" s="91"/>
      <c r="K39" s="190">
        <f t="shared" ref="K39" si="6">+I39-E39</f>
        <v>-1.95</v>
      </c>
      <c r="L39" s="133" t="str">
        <f t="shared" si="4"/>
        <v/>
      </c>
    </row>
    <row r="40" spans="2:15">
      <c r="B40" s="269" t="s">
        <v>58</v>
      </c>
      <c r="C40" s="157"/>
      <c r="D40" s="93"/>
      <c r="E40" s="120"/>
      <c r="F40" s="91"/>
      <c r="G40" s="193"/>
      <c r="H40" s="94"/>
      <c r="I40" s="120"/>
      <c r="J40" s="91"/>
      <c r="K40" s="190"/>
      <c r="L40" s="133"/>
    </row>
    <row r="41" spans="2:15">
      <c r="B41" s="269" t="s">
        <v>41</v>
      </c>
      <c r="C41" s="158"/>
      <c r="D41" s="95"/>
      <c r="E41" s="120"/>
      <c r="F41" s="91"/>
      <c r="G41" s="110"/>
      <c r="H41" s="95"/>
      <c r="I41" s="120"/>
      <c r="J41" s="91"/>
      <c r="K41" s="190"/>
      <c r="L41" s="133"/>
    </row>
    <row r="42" spans="2:15">
      <c r="B42" s="119" t="s">
        <v>59</v>
      </c>
      <c r="C42" s="96"/>
      <c r="D42" s="96"/>
      <c r="E42" s="122">
        <f>SUM(E37:E41)</f>
        <v>311.10000000000002</v>
      </c>
      <c r="F42" s="91"/>
      <c r="G42" s="96"/>
      <c r="H42" s="97"/>
      <c r="I42" s="122">
        <f>SUM(I37:I41)</f>
        <v>312.45</v>
      </c>
      <c r="J42" s="91"/>
      <c r="K42" s="198">
        <f>+I42-E42</f>
        <v>1.3499999999999659</v>
      </c>
      <c r="L42" s="145">
        <f>IF((E42)=0,"",(K42/E42))</f>
        <v>4.3394406943104008E-3</v>
      </c>
      <c r="O42" s="144"/>
    </row>
    <row r="43" spans="2:15">
      <c r="B43" s="270" t="s">
        <v>60</v>
      </c>
      <c r="C43" s="110">
        <f>+C16</f>
        <v>6.7000000000000002E-3</v>
      </c>
      <c r="D43" s="98">
        <f>+$C$25*$C$28</f>
        <v>1552.35</v>
      </c>
      <c r="E43" s="172">
        <f>+C43*D43</f>
        <v>10.400745000000001</v>
      </c>
      <c r="F43" s="91"/>
      <c r="G43" s="110">
        <f>+D16</f>
        <v>6.7999999999999996E-3</v>
      </c>
      <c r="H43" s="99">
        <f>+$C$25*$C$28</f>
        <v>1552.35</v>
      </c>
      <c r="I43" s="120">
        <f>+G43*H43</f>
        <v>10.555979999999998</v>
      </c>
      <c r="J43" s="91"/>
      <c r="K43" s="190">
        <f t="shared" ref="K43:K44" si="7">+I43-E43</f>
        <v>0.15523499999999757</v>
      </c>
      <c r="L43" s="133">
        <f t="shared" ref="L43:L44" si="8">IF((E43)=0,"",(K43/E43))</f>
        <v>1.4925373134328124E-2</v>
      </c>
    </row>
    <row r="44" spans="2:15" ht="30" customHeight="1">
      <c r="B44" s="271" t="s">
        <v>61</v>
      </c>
      <c r="C44" s="110">
        <f>+C17</f>
        <v>4.7000000000000002E-3</v>
      </c>
      <c r="D44" s="98">
        <f>+$C$25*$C$28</f>
        <v>1552.35</v>
      </c>
      <c r="E44" s="172">
        <f>+C44*D44</f>
        <v>7.2960449999999994</v>
      </c>
      <c r="F44" s="91"/>
      <c r="G44" s="110">
        <f>+D17</f>
        <v>4.5999999999999999E-3</v>
      </c>
      <c r="H44" s="99">
        <f>+$C$25*$C$28</f>
        <v>1552.35</v>
      </c>
      <c r="I44" s="120">
        <f>+G44*H44</f>
        <v>7.1408099999999992</v>
      </c>
      <c r="J44" s="91"/>
      <c r="K44" s="190">
        <f t="shared" si="7"/>
        <v>-0.15523500000000023</v>
      </c>
      <c r="L44" s="133">
        <f t="shared" si="8"/>
        <v>-2.1276595744680885E-2</v>
      </c>
    </row>
    <row r="45" spans="2:15">
      <c r="B45" s="119" t="s">
        <v>62</v>
      </c>
      <c r="C45" s="96"/>
      <c r="D45" s="96"/>
      <c r="E45" s="122">
        <f>SUM(E42:E44)</f>
        <v>328.79679000000004</v>
      </c>
      <c r="F45" s="91"/>
      <c r="G45" s="100"/>
      <c r="H45" s="101"/>
      <c r="I45" s="122">
        <f>SUM(I42:I44)</f>
        <v>330.14678999999995</v>
      </c>
      <c r="J45" s="91"/>
      <c r="K45" s="198">
        <f>+I45-E45</f>
        <v>1.3499999999999091</v>
      </c>
      <c r="L45" s="145">
        <f>IF((E45)=0,"",(K45/E45))</f>
        <v>4.1058795008306163E-3</v>
      </c>
    </row>
    <row r="46" spans="2:15">
      <c r="B46" s="272" t="s">
        <v>63</v>
      </c>
      <c r="C46" s="112">
        <f>+C18</f>
        <v>4.4000000000000003E-3</v>
      </c>
      <c r="D46" s="98">
        <f t="shared" ref="D46:D47" si="9">+$C$25*$C$28</f>
        <v>1552.35</v>
      </c>
      <c r="E46" s="173">
        <f>+C46*D46</f>
        <v>6.8303399999999996</v>
      </c>
      <c r="F46" s="91"/>
      <c r="G46" s="112">
        <f>+D18</f>
        <v>4.4000000000000003E-3</v>
      </c>
      <c r="H46" s="99">
        <f>+$C$25*$C$28</f>
        <v>1552.35</v>
      </c>
      <c r="I46" s="123">
        <f>+G46*H46</f>
        <v>6.8303399999999996</v>
      </c>
      <c r="J46" s="91"/>
      <c r="K46" s="190">
        <f t="shared" ref="K46:K51" si="10">+I46-E46</f>
        <v>0</v>
      </c>
      <c r="L46" s="133">
        <f t="shared" ref="L46:L51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 t="shared" si="9"/>
        <v>1552.35</v>
      </c>
      <c r="E47" s="173">
        <f t="shared" ref="E47:E51" si="13">+C47*D47</f>
        <v>1.8628199999999997</v>
      </c>
      <c r="F47" s="91"/>
      <c r="G47" s="112">
        <f t="shared" ref="G47:G49" si="14">+D19</f>
        <v>1.1999999999999999E-3</v>
      </c>
      <c r="H47" s="99">
        <f>+$C$25*$C$28</f>
        <v>1552.35</v>
      </c>
      <c r="I47" s="123">
        <f t="shared" ref="I47:I51" si="15">+G47*H47</f>
        <v>1.8628199999999997</v>
      </c>
      <c r="J47" s="91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73">
        <f t="shared" si="13"/>
        <v>0.25</v>
      </c>
      <c r="F48" s="91"/>
      <c r="G48" s="112">
        <f t="shared" si="14"/>
        <v>0.25</v>
      </c>
      <c r="H48" s="99">
        <v>1</v>
      </c>
      <c r="I48" s="123">
        <f t="shared" si="15"/>
        <v>0.25</v>
      </c>
      <c r="J48" s="91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1500</v>
      </c>
      <c r="E49" s="173">
        <f t="shared" si="13"/>
        <v>10.5</v>
      </c>
      <c r="F49" s="91"/>
      <c r="G49" s="112">
        <f t="shared" si="14"/>
        <v>7.0000000000000001E-3</v>
      </c>
      <c r="H49" s="99">
        <f>+$C$25</f>
        <v>1500</v>
      </c>
      <c r="I49" s="123">
        <f t="shared" si="15"/>
        <v>10.5</v>
      </c>
      <c r="J49" s="91"/>
      <c r="K49" s="190">
        <f t="shared" si="10"/>
        <v>0</v>
      </c>
      <c r="L49" s="133">
        <f t="shared" si="11"/>
        <v>0</v>
      </c>
    </row>
    <row r="50" spans="2:12">
      <c r="B50" s="265" t="s">
        <v>6</v>
      </c>
      <c r="C50" s="112">
        <f>+C5</f>
        <v>7.8E-2</v>
      </c>
      <c r="D50" s="93">
        <f>IF(+C25&gt;C26,C26,IF(C25*C28&gt;C26,C26,C25*C28))</f>
        <v>750</v>
      </c>
      <c r="E50" s="173">
        <f t="shared" si="13"/>
        <v>58.5</v>
      </c>
      <c r="F50" s="91"/>
      <c r="G50" s="112">
        <f>+D5</f>
        <v>7.8E-2</v>
      </c>
      <c r="H50" s="99">
        <f>+D50</f>
        <v>750</v>
      </c>
      <c r="I50" s="123">
        <f t="shared" si="15"/>
        <v>58.5</v>
      </c>
      <c r="J50" s="91"/>
      <c r="K50" s="190">
        <f t="shared" si="10"/>
        <v>0</v>
      </c>
      <c r="L50" s="133">
        <f t="shared" si="11"/>
        <v>0</v>
      </c>
    </row>
    <row r="51" spans="2:12" ht="15.75" thickBot="1">
      <c r="B51" s="265" t="s">
        <v>7</v>
      </c>
      <c r="C51" s="102">
        <f>+C6</f>
        <v>9.0999999999999998E-2</v>
      </c>
      <c r="D51" s="93">
        <f>IF(C25*C28&gt;C26,C25*C28-C26,0)</f>
        <v>802.34999999999991</v>
      </c>
      <c r="E51" s="123">
        <f t="shared" si="13"/>
        <v>73.013849999999991</v>
      </c>
      <c r="F51" s="91"/>
      <c r="G51" s="112">
        <f>+D6</f>
        <v>9.0999999999999998E-2</v>
      </c>
      <c r="H51" s="99">
        <f>+D51</f>
        <v>802.34999999999991</v>
      </c>
      <c r="I51" s="123">
        <f t="shared" si="15"/>
        <v>73.013849999999991</v>
      </c>
      <c r="J51" s="91"/>
      <c r="K51" s="190">
        <f t="shared" si="10"/>
        <v>0</v>
      </c>
      <c r="L51" s="133">
        <f t="shared" si="11"/>
        <v>0</v>
      </c>
    </row>
    <row r="52" spans="2:12" ht="15.75" thickBot="1">
      <c r="B52" s="273"/>
      <c r="C52" s="103"/>
      <c r="D52" s="104"/>
      <c r="E52" s="124"/>
      <c r="F52" s="105"/>
      <c r="G52" s="103"/>
      <c r="H52" s="106"/>
      <c r="I52" s="124"/>
      <c r="J52" s="105"/>
      <c r="K52" s="227"/>
      <c r="L52" s="274"/>
    </row>
    <row r="53" spans="2:12">
      <c r="B53" s="275" t="s">
        <v>92</v>
      </c>
      <c r="C53" s="134"/>
      <c r="D53" s="135"/>
      <c r="E53" s="125">
        <f>SUM(E45:E51)</f>
        <v>479.75380000000001</v>
      </c>
      <c r="F53" s="136"/>
      <c r="G53" s="137"/>
      <c r="H53" s="137"/>
      <c r="I53" s="237">
        <f>SUM(I45:I51)</f>
        <v>481.10379999999992</v>
      </c>
      <c r="J53" s="107"/>
      <c r="K53" s="225">
        <f>+I53-E53</f>
        <v>1.3499999999999091</v>
      </c>
      <c r="L53" s="226">
        <f t="shared" ref="L53:L55" si="16">IF((E53)=0,"",(K53/E53))</f>
        <v>2.813943318426887E-3</v>
      </c>
    </row>
    <row r="54" spans="2:12">
      <c r="B54" s="276" t="s">
        <v>19</v>
      </c>
      <c r="C54" s="134">
        <v>0.13</v>
      </c>
      <c r="D54" s="138"/>
      <c r="E54" s="126">
        <f>+E53*C54</f>
        <v>62.367994000000003</v>
      </c>
      <c r="F54" s="90"/>
      <c r="G54" s="134">
        <v>0.13</v>
      </c>
      <c r="H54" s="90"/>
      <c r="I54" s="130">
        <f>+I53*G54</f>
        <v>62.543493999999995</v>
      </c>
      <c r="J54" s="108"/>
      <c r="K54" s="195">
        <f t="shared" ref="K54:K57" si="17">+I54-E54</f>
        <v>0.17549999999999244</v>
      </c>
      <c r="L54" s="146">
        <f t="shared" si="16"/>
        <v>2.8139433184269551E-3</v>
      </c>
    </row>
    <row r="55" spans="2:12">
      <c r="B55" s="277" t="s">
        <v>67</v>
      </c>
      <c r="C55" s="90"/>
      <c r="D55" s="138"/>
      <c r="E55" s="126">
        <f>SUM(E53:E54)</f>
        <v>542.12179400000002</v>
      </c>
      <c r="F55" s="90"/>
      <c r="G55" s="90"/>
      <c r="H55" s="90"/>
      <c r="I55" s="130">
        <f>SUM(I53:I54)</f>
        <v>543.64729399999987</v>
      </c>
      <c r="J55" s="108"/>
      <c r="K55" s="195">
        <f t="shared" si="17"/>
        <v>1.5254999999998518</v>
      </c>
      <c r="L55" s="146">
        <f t="shared" si="16"/>
        <v>2.8139433184268029E-3</v>
      </c>
    </row>
    <row r="56" spans="2:12">
      <c r="B56" s="278" t="s">
        <v>68</v>
      </c>
      <c r="C56" s="90"/>
      <c r="D56" s="138"/>
      <c r="E56" s="127">
        <f>-E55*0.1</f>
        <v>-54.212179400000004</v>
      </c>
      <c r="F56" s="90"/>
      <c r="G56" s="90"/>
      <c r="H56" s="90"/>
      <c r="I56" s="131">
        <f>-I55*0.1</f>
        <v>-54.364729399999987</v>
      </c>
      <c r="J56" s="108"/>
      <c r="K56" s="199">
        <f t="shared" si="17"/>
        <v>-0.15254999999998375</v>
      </c>
      <c r="L56" s="146">
        <f>IF((E56)=0,"",(K56/E56))</f>
        <v>2.8139433184267769E-3</v>
      </c>
    </row>
    <row r="57" spans="2:12" ht="15.75" thickBot="1">
      <c r="B57" s="279" t="s">
        <v>91</v>
      </c>
      <c r="C57" s="139"/>
      <c r="D57" s="140"/>
      <c r="E57" s="128">
        <f>SUM(E55:E56)</f>
        <v>487.9096146</v>
      </c>
      <c r="F57" s="141"/>
      <c r="G57" s="141"/>
      <c r="H57" s="141"/>
      <c r="I57" s="132">
        <f>SUM(I55:I56)</f>
        <v>489.28256459999989</v>
      </c>
      <c r="J57" s="109"/>
      <c r="K57" s="196">
        <f t="shared" si="17"/>
        <v>1.3729499999998893</v>
      </c>
      <c r="L57" s="155">
        <f>IF((E57)=0,"",(K57/E57))</f>
        <v>2.8139433184268497E-3</v>
      </c>
    </row>
    <row r="58" spans="2:12">
      <c r="B58" s="280"/>
      <c r="C58" s="281"/>
      <c r="D58" s="282"/>
      <c r="E58" s="283"/>
      <c r="F58" s="284"/>
      <c r="G58" s="281"/>
      <c r="H58" s="285"/>
      <c r="I58" s="283"/>
      <c r="J58" s="284"/>
      <c r="K58" s="288"/>
      <c r="L58" s="289"/>
    </row>
    <row r="60" spans="2:12">
      <c r="E60" s="144"/>
      <c r="I60" s="144"/>
    </row>
    <row r="61" spans="2:12">
      <c r="E61" s="144"/>
      <c r="I61" s="144"/>
    </row>
    <row r="62" spans="2:12" ht="108.75" customHeight="1">
      <c r="B62" s="306" t="s">
        <v>26</v>
      </c>
      <c r="C62" s="307"/>
      <c r="D62" s="307"/>
      <c r="E62" s="307"/>
      <c r="F62" s="307"/>
      <c r="G62" s="307"/>
      <c r="H62" s="307"/>
      <c r="I62" s="307"/>
    </row>
  </sheetData>
  <mergeCells count="7">
    <mergeCell ref="B62:I62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J57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B1:AC61"/>
  <sheetViews>
    <sheetView showGridLines="0" zoomScale="85" zoomScaleNormal="85" workbookViewId="0">
      <selection sqref="A1:M67"/>
    </sheetView>
  </sheetViews>
  <sheetFormatPr defaultRowHeight="15"/>
  <cols>
    <col min="1" max="1" width="3.42578125" style="161" customWidth="1"/>
    <col min="2" max="2" width="47.5703125" style="161" customWidth="1"/>
    <col min="3" max="3" width="13.5703125" style="161" customWidth="1"/>
    <col min="4" max="4" width="13.140625" style="161" customWidth="1"/>
    <col min="5" max="5" width="13.5703125" style="161" customWidth="1"/>
    <col min="6" max="6" width="2.140625" style="161" customWidth="1"/>
    <col min="7" max="7" width="13.28515625" style="161" customWidth="1"/>
    <col min="8" max="8" width="13.42578125" style="161" customWidth="1"/>
    <col min="9" max="9" width="11.140625" style="161" customWidth="1"/>
    <col min="10" max="10" width="2" style="161" customWidth="1"/>
    <col min="11" max="12" width="11.140625" style="161" customWidth="1"/>
    <col min="13" max="13" width="3.28515625" style="161" customWidth="1"/>
    <col min="14" max="16384" width="9.140625" style="161"/>
  </cols>
  <sheetData>
    <row r="1" spans="2:29" ht="23.25">
      <c r="B1" s="308" t="s">
        <v>37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161" t="s">
        <v>28</v>
      </c>
      <c r="K7" s="175">
        <v>0</v>
      </c>
      <c r="L7" s="175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161" t="s">
        <v>40</v>
      </c>
      <c r="K8" s="175"/>
      <c r="L8" s="175"/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161" t="s">
        <v>29</v>
      </c>
      <c r="K9" s="176"/>
      <c r="L9" s="176"/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0.83</v>
      </c>
      <c r="D10" s="59">
        <v>0.84</v>
      </c>
      <c r="E10" s="72"/>
      <c r="F10" s="72"/>
      <c r="K10" s="144">
        <f>SUM(K7:K9)</f>
        <v>0</v>
      </c>
      <c r="L10" s="144">
        <f>SUM(L7:L9)</f>
        <v>0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</v>
      </c>
      <c r="D11" s="51">
        <f>+L10</f>
        <v>0</v>
      </c>
      <c r="E11" s="72"/>
      <c r="F11" s="72"/>
      <c r="G11" s="161" t="s">
        <v>41</v>
      </c>
      <c r="K11" s="175"/>
      <c r="L11" s="175"/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8.6297999999999995</v>
      </c>
      <c r="D13" s="60">
        <v>8.7402999999999995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-0.43469999999999998</v>
      </c>
      <c r="E14" s="72"/>
      <c r="F14" s="72"/>
      <c r="G14" s="161" t="s">
        <v>42</v>
      </c>
      <c r="K14" s="39">
        <v>0</v>
      </c>
      <c r="L14" s="63">
        <v>-0.43469999999999998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2.1644999999999999</v>
      </c>
      <c r="D16" s="62">
        <v>2.2012999999999998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1.5210999999999999</v>
      </c>
      <c r="D17" s="62">
        <v>1.4968999999999999</v>
      </c>
      <c r="E17" s="72"/>
      <c r="F17" s="72"/>
      <c r="G17" s="161" t="s">
        <v>14</v>
      </c>
      <c r="K17" s="40">
        <f>SUM(K14:K16)</f>
        <v>0</v>
      </c>
      <c r="L17" s="40">
        <f>SUM(L14:L16)</f>
        <v>-0.43469999999999998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83"/>
      <c r="C24" s="83"/>
      <c r="D24" s="72"/>
      <c r="E24" s="82"/>
      <c r="F24" s="82"/>
      <c r="G24" s="72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73" t="s">
        <v>38</v>
      </c>
      <c r="C25" s="45">
        <v>6</v>
      </c>
      <c r="D25" s="73"/>
      <c r="E25" s="73"/>
      <c r="F25" s="42"/>
      <c r="G25" s="74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43" t="s">
        <v>1</v>
      </c>
      <c r="C26" s="89">
        <f>+E26*365*24/12*C28</f>
        <v>365</v>
      </c>
      <c r="D26" s="44" t="s">
        <v>0</v>
      </c>
      <c r="E26" s="49">
        <v>1</v>
      </c>
      <c r="F26" s="42" t="s">
        <v>32</v>
      </c>
      <c r="G26" s="67"/>
      <c r="H26" s="170"/>
      <c r="I26" s="17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43" t="s">
        <v>2</v>
      </c>
      <c r="C27" s="45">
        <v>750</v>
      </c>
      <c r="D27" s="44" t="s">
        <v>0</v>
      </c>
      <c r="E27" s="87"/>
      <c r="F27" s="42"/>
      <c r="G27" s="69"/>
      <c r="H27" s="170"/>
      <c r="I27" s="17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43" t="s">
        <v>3</v>
      </c>
      <c r="C28" s="46">
        <v>0.5</v>
      </c>
      <c r="D28" s="87"/>
      <c r="E28" s="87"/>
      <c r="F28" s="42"/>
      <c r="G28" s="69"/>
      <c r="H28" s="170"/>
      <c r="I28" s="171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79" t="s">
        <v>4</v>
      </c>
      <c r="C29" s="180">
        <v>1.0348999999999999</v>
      </c>
      <c r="D29" s="178"/>
      <c r="E29" s="82"/>
      <c r="F29" s="82"/>
      <c r="G29" s="70"/>
      <c r="H29" s="83"/>
      <c r="I29" s="83"/>
      <c r="J29" s="72"/>
      <c r="K29" s="82"/>
      <c r="L29" s="82"/>
      <c r="M29" s="70"/>
      <c r="N29" s="76"/>
      <c r="O29" s="77"/>
      <c r="P29" s="71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</row>
    <row r="31" spans="2:29">
      <c r="B31" s="262"/>
      <c r="C31" s="313" t="s">
        <v>44</v>
      </c>
      <c r="D31" s="314"/>
      <c r="E31" s="315"/>
      <c r="F31" s="263"/>
      <c r="G31" s="313" t="s">
        <v>45</v>
      </c>
      <c r="H31" s="314"/>
      <c r="I31" s="315"/>
      <c r="J31" s="263"/>
      <c r="K31" s="313" t="s">
        <v>46</v>
      </c>
      <c r="L31" s="315"/>
    </row>
    <row r="32" spans="2:29">
      <c r="B32" s="264"/>
      <c r="C32" s="113" t="s">
        <v>47</v>
      </c>
      <c r="D32" s="113" t="s">
        <v>5</v>
      </c>
      <c r="E32" s="114" t="s">
        <v>48</v>
      </c>
      <c r="F32" s="91"/>
      <c r="G32" s="113" t="s">
        <v>47</v>
      </c>
      <c r="H32" s="115" t="s">
        <v>5</v>
      </c>
      <c r="I32" s="114" t="s">
        <v>48</v>
      </c>
      <c r="J32" s="91"/>
      <c r="K32" s="311" t="s">
        <v>49</v>
      </c>
      <c r="L32" s="309" t="s">
        <v>50</v>
      </c>
    </row>
    <row r="33" spans="2:15">
      <c r="B33" s="264"/>
      <c r="C33" s="116" t="s">
        <v>51</v>
      </c>
      <c r="D33" s="116"/>
      <c r="E33" s="117" t="s">
        <v>51</v>
      </c>
      <c r="F33" s="91"/>
      <c r="G33" s="116" t="s">
        <v>51</v>
      </c>
      <c r="H33" s="117"/>
      <c r="I33" s="117" t="s">
        <v>51</v>
      </c>
      <c r="J33" s="91"/>
      <c r="K33" s="312"/>
      <c r="L33" s="310"/>
    </row>
    <row r="34" spans="2:15">
      <c r="B34" s="265" t="s">
        <v>52</v>
      </c>
      <c r="C34" s="142">
        <f>+C10</f>
        <v>0.83</v>
      </c>
      <c r="D34" s="261">
        <f>+C25</f>
        <v>6</v>
      </c>
      <c r="E34" s="172">
        <f>+C34*D34</f>
        <v>4.9799999999999995</v>
      </c>
      <c r="F34" s="91"/>
      <c r="G34" s="142">
        <f>+D10</f>
        <v>0.84</v>
      </c>
      <c r="H34" s="94">
        <f>+C25</f>
        <v>6</v>
      </c>
      <c r="I34" s="172">
        <f>+G34*H34</f>
        <v>5.04</v>
      </c>
      <c r="J34" s="91"/>
      <c r="K34" s="190">
        <f>+I34-E34</f>
        <v>6.0000000000000497E-2</v>
      </c>
      <c r="L34" s="133">
        <f>IF((E34)=0,"",(K34/E34))</f>
        <v>1.2048192771084439E-2</v>
      </c>
    </row>
    <row r="35" spans="2:15">
      <c r="B35" s="265" t="s">
        <v>12</v>
      </c>
      <c r="C35" s="110">
        <f>+C13</f>
        <v>8.6297999999999995</v>
      </c>
      <c r="D35" s="93">
        <f>+E26</f>
        <v>1</v>
      </c>
      <c r="E35" s="172">
        <f>+C35*D35</f>
        <v>8.6297999999999995</v>
      </c>
      <c r="F35" s="91"/>
      <c r="G35" s="110">
        <f>+D13</f>
        <v>8.7402999999999995</v>
      </c>
      <c r="H35" s="94">
        <f>+E26</f>
        <v>1</v>
      </c>
      <c r="I35" s="172">
        <f t="shared" ref="I35:I37" si="2">+G35*H35</f>
        <v>8.7402999999999995</v>
      </c>
      <c r="J35" s="91"/>
      <c r="K35" s="190">
        <f t="shared" ref="K35:K38" si="3">+I35-E35</f>
        <v>0.11050000000000004</v>
      </c>
      <c r="L35" s="133">
        <f t="shared" ref="L35:L40" si="4">IF((E35)=0,"",(K35/E35))</f>
        <v>1.2804468237966124E-2</v>
      </c>
    </row>
    <row r="36" spans="2:15">
      <c r="B36" s="266" t="s">
        <v>53</v>
      </c>
      <c r="C36" s="160">
        <f>+K10</f>
        <v>0</v>
      </c>
      <c r="D36" s="90"/>
      <c r="E36" s="172">
        <f>+C36*D36</f>
        <v>0</v>
      </c>
      <c r="F36" s="91"/>
      <c r="G36" s="160">
        <f>+L10</f>
        <v>0</v>
      </c>
      <c r="H36" s="92"/>
      <c r="I36" s="120">
        <f t="shared" si="2"/>
        <v>0</v>
      </c>
      <c r="J36" s="91"/>
      <c r="K36" s="190">
        <f t="shared" si="3"/>
        <v>0</v>
      </c>
      <c r="L36" s="133" t="str">
        <f t="shared" si="4"/>
        <v/>
      </c>
    </row>
    <row r="37" spans="2:15">
      <c r="B37" s="267" t="s">
        <v>54</v>
      </c>
      <c r="C37" s="111">
        <v>0</v>
      </c>
      <c r="D37" s="93"/>
      <c r="E37" s="121">
        <v>0</v>
      </c>
      <c r="F37" s="91"/>
      <c r="G37" s="111">
        <v>0</v>
      </c>
      <c r="H37" s="94"/>
      <c r="I37" s="120">
        <f t="shared" si="2"/>
        <v>0</v>
      </c>
      <c r="J37" s="91"/>
      <c r="K37" s="190">
        <f t="shared" si="3"/>
        <v>0</v>
      </c>
      <c r="L37" s="133" t="str">
        <f t="shared" si="4"/>
        <v/>
      </c>
    </row>
    <row r="38" spans="2:15" s="66" customFormat="1">
      <c r="B38" s="118" t="s">
        <v>55</v>
      </c>
      <c r="C38" s="147"/>
      <c r="D38" s="148"/>
      <c r="E38" s="149">
        <f>SUM(E34:E37)</f>
        <v>13.6098</v>
      </c>
      <c r="F38" s="150"/>
      <c r="G38" s="147"/>
      <c r="H38" s="100"/>
      <c r="I38" s="151">
        <f>SUM(I34:I37)</f>
        <v>13.7803</v>
      </c>
      <c r="J38" s="150"/>
      <c r="K38" s="197">
        <f t="shared" si="3"/>
        <v>0.17050000000000054</v>
      </c>
      <c r="L38" s="153">
        <f t="shared" si="4"/>
        <v>1.2527737365721799E-2</v>
      </c>
    </row>
    <row r="39" spans="2:15">
      <c r="B39" s="268" t="s">
        <v>56</v>
      </c>
      <c r="C39" s="156"/>
      <c r="D39" s="95"/>
      <c r="E39" s="159"/>
      <c r="F39" s="91"/>
      <c r="G39" s="156"/>
      <c r="H39" s="95"/>
      <c r="I39" s="120"/>
      <c r="J39" s="91"/>
      <c r="K39" s="190"/>
      <c r="L39" s="133"/>
    </row>
    <row r="40" spans="2:15">
      <c r="B40" s="268" t="s">
        <v>57</v>
      </c>
      <c r="C40" s="157">
        <v>0</v>
      </c>
      <c r="D40" s="93"/>
      <c r="E40" s="120">
        <v>0</v>
      </c>
      <c r="F40" s="91"/>
      <c r="G40" s="191">
        <f>+D14</f>
        <v>-0.43469999999999998</v>
      </c>
      <c r="H40" s="94">
        <f>+E26</f>
        <v>1</v>
      </c>
      <c r="I40" s="189">
        <f>+G40*H40</f>
        <v>-0.43469999999999998</v>
      </c>
      <c r="J40" s="91"/>
      <c r="K40" s="190">
        <f t="shared" ref="K40" si="5">+I40-E40</f>
        <v>-0.43469999999999998</v>
      </c>
      <c r="L40" s="133" t="str">
        <f t="shared" si="4"/>
        <v/>
      </c>
    </row>
    <row r="41" spans="2:15">
      <c r="B41" s="269" t="s">
        <v>58</v>
      </c>
      <c r="C41" s="157"/>
      <c r="D41" s="93"/>
      <c r="E41" s="120"/>
      <c r="F41" s="91"/>
      <c r="G41" s="157"/>
      <c r="H41" s="94"/>
      <c r="I41" s="120"/>
      <c r="J41" s="91"/>
      <c r="K41" s="190"/>
      <c r="L41" s="133"/>
    </row>
    <row r="42" spans="2:15">
      <c r="B42" s="269" t="s">
        <v>41</v>
      </c>
      <c r="C42" s="158"/>
      <c r="D42" s="95"/>
      <c r="E42" s="120"/>
      <c r="F42" s="91"/>
      <c r="G42" s="158"/>
      <c r="H42" s="95"/>
      <c r="I42" s="120"/>
      <c r="J42" s="91"/>
      <c r="K42" s="190"/>
      <c r="L42" s="133"/>
    </row>
    <row r="43" spans="2:15">
      <c r="B43" s="119" t="s">
        <v>59</v>
      </c>
      <c r="C43" s="96"/>
      <c r="D43" s="96"/>
      <c r="E43" s="122">
        <f>SUM(E38:E42)</f>
        <v>13.6098</v>
      </c>
      <c r="F43" s="91"/>
      <c r="G43" s="96"/>
      <c r="H43" s="97"/>
      <c r="I43" s="122">
        <f>SUM(I38:I42)</f>
        <v>13.345600000000001</v>
      </c>
      <c r="J43" s="91"/>
      <c r="K43" s="198">
        <f>+I43-E43</f>
        <v>-0.26419999999999888</v>
      </c>
      <c r="L43" s="145">
        <f>IF((E43)=0,"",(K43/E43))</f>
        <v>-1.9412482181957038E-2</v>
      </c>
      <c r="O43" s="144"/>
    </row>
    <row r="44" spans="2:15">
      <c r="B44" s="270" t="s">
        <v>60</v>
      </c>
      <c r="C44" s="110">
        <f>+C16</f>
        <v>2.1644999999999999</v>
      </c>
      <c r="D44" s="98">
        <f>+$E$26</f>
        <v>1</v>
      </c>
      <c r="E44" s="172">
        <f>+C44*D44</f>
        <v>2.1644999999999999</v>
      </c>
      <c r="F44" s="91"/>
      <c r="G44" s="110">
        <f>+D16</f>
        <v>2.2012999999999998</v>
      </c>
      <c r="H44" s="98">
        <f>+$E$26</f>
        <v>1</v>
      </c>
      <c r="I44" s="120">
        <f>+G44*H44</f>
        <v>2.2012999999999998</v>
      </c>
      <c r="J44" s="91"/>
      <c r="K44" s="190">
        <f t="shared" ref="K44:K45" si="6">+I44-E44</f>
        <v>3.6799999999999944E-2</v>
      </c>
      <c r="L44" s="133">
        <f t="shared" ref="L44:L45" si="7">IF((E44)=0,"",(K44/E44))</f>
        <v>1.7001617001616978E-2</v>
      </c>
    </row>
    <row r="45" spans="2:15" ht="30" customHeight="1">
      <c r="B45" s="271" t="s">
        <v>61</v>
      </c>
      <c r="C45" s="110">
        <f>+C17</f>
        <v>1.5210999999999999</v>
      </c>
      <c r="D45" s="98">
        <f>+$E$26</f>
        <v>1</v>
      </c>
      <c r="E45" s="172">
        <f>+C45*D45</f>
        <v>1.5210999999999999</v>
      </c>
      <c r="F45" s="91"/>
      <c r="G45" s="110">
        <f>+D17</f>
        <v>1.4968999999999999</v>
      </c>
      <c r="H45" s="98">
        <f>+$E$26</f>
        <v>1</v>
      </c>
      <c r="I45" s="120">
        <f>+G45*H45</f>
        <v>1.4968999999999999</v>
      </c>
      <c r="J45" s="91"/>
      <c r="K45" s="190">
        <f t="shared" si="6"/>
        <v>-2.4199999999999999E-2</v>
      </c>
      <c r="L45" s="133">
        <f t="shared" si="7"/>
        <v>-1.5909539149299851E-2</v>
      </c>
    </row>
    <row r="46" spans="2:15">
      <c r="B46" s="119" t="s">
        <v>62</v>
      </c>
      <c r="C46" s="96"/>
      <c r="D46" s="96"/>
      <c r="E46" s="122">
        <f>SUM(E43:E45)</f>
        <v>17.295400000000001</v>
      </c>
      <c r="F46" s="91"/>
      <c r="G46" s="100"/>
      <c r="H46" s="101"/>
      <c r="I46" s="122">
        <f>SUM(I43:I45)</f>
        <v>17.043800000000001</v>
      </c>
      <c r="J46" s="91"/>
      <c r="K46" s="198">
        <f>+I46-E46</f>
        <v>-0.25159999999999982</v>
      </c>
      <c r="L46" s="145">
        <f>IF((E46)=0,"",(K46/E46))</f>
        <v>-1.4547220648264846E-2</v>
      </c>
    </row>
    <row r="47" spans="2:15">
      <c r="B47" s="272" t="s">
        <v>63</v>
      </c>
      <c r="C47" s="112">
        <f>+C18</f>
        <v>4.4000000000000003E-3</v>
      </c>
      <c r="D47" s="98">
        <f>+$C$29*$C$26</f>
        <v>377.73849999999999</v>
      </c>
      <c r="E47" s="173">
        <f>+C47*D47</f>
        <v>1.6620494000000001</v>
      </c>
      <c r="F47" s="91"/>
      <c r="G47" s="112">
        <f>+D18</f>
        <v>4.4000000000000003E-3</v>
      </c>
      <c r="H47" s="99">
        <f>+D47</f>
        <v>377.73849999999999</v>
      </c>
      <c r="I47" s="123">
        <f>+G47*H47</f>
        <v>1.6620494000000001</v>
      </c>
      <c r="J47" s="91"/>
      <c r="K47" s="190">
        <f t="shared" ref="K47:K52" si="8">+I47-E47</f>
        <v>0</v>
      </c>
      <c r="L47" s="133">
        <f t="shared" ref="L47:L52" si="9">IF((E47)=0,"",(K47/E47))</f>
        <v>0</v>
      </c>
    </row>
    <row r="48" spans="2:15">
      <c r="B48" s="272" t="s">
        <v>64</v>
      </c>
      <c r="C48" s="112">
        <f t="shared" ref="C48:C50" si="10">+C19</f>
        <v>1.1999999999999999E-3</v>
      </c>
      <c r="D48" s="98">
        <f>+$C$29*$C$26</f>
        <v>377.73849999999999</v>
      </c>
      <c r="E48" s="173">
        <f t="shared" ref="E48:E52" si="11">+C48*D48</f>
        <v>0.45328619999999997</v>
      </c>
      <c r="F48" s="91"/>
      <c r="G48" s="112">
        <f t="shared" ref="G48:G50" si="12">+D19</f>
        <v>1.1999999999999999E-3</v>
      </c>
      <c r="H48" s="99">
        <f t="shared" ref="H48:H52" si="13">+D48</f>
        <v>377.73849999999999</v>
      </c>
      <c r="I48" s="123">
        <f t="shared" ref="I48:I52" si="14">+G48*H48</f>
        <v>0.45328619999999997</v>
      </c>
      <c r="J48" s="91"/>
      <c r="K48" s="190">
        <f t="shared" si="8"/>
        <v>0</v>
      </c>
      <c r="L48" s="133">
        <f t="shared" si="9"/>
        <v>0</v>
      </c>
    </row>
    <row r="49" spans="2:12">
      <c r="B49" s="265" t="s">
        <v>65</v>
      </c>
      <c r="C49" s="112">
        <f t="shared" si="10"/>
        <v>0.25</v>
      </c>
      <c r="D49" s="98">
        <v>1</v>
      </c>
      <c r="E49" s="173">
        <f t="shared" si="11"/>
        <v>0.25</v>
      </c>
      <c r="F49" s="91"/>
      <c r="G49" s="112">
        <f t="shared" si="12"/>
        <v>0.25</v>
      </c>
      <c r="H49" s="99">
        <f t="shared" si="13"/>
        <v>1</v>
      </c>
      <c r="I49" s="123">
        <f t="shared" si="14"/>
        <v>0.25</v>
      </c>
      <c r="J49" s="91"/>
      <c r="K49" s="190">
        <f t="shared" si="8"/>
        <v>0</v>
      </c>
      <c r="L49" s="133">
        <f t="shared" si="9"/>
        <v>0</v>
      </c>
    </row>
    <row r="50" spans="2:12">
      <c r="B50" s="265" t="s">
        <v>18</v>
      </c>
      <c r="C50" s="112">
        <f t="shared" si="10"/>
        <v>7.0000000000000001E-3</v>
      </c>
      <c r="D50" s="93">
        <f>+$C$26</f>
        <v>365</v>
      </c>
      <c r="E50" s="173">
        <f t="shared" si="11"/>
        <v>2.5550000000000002</v>
      </c>
      <c r="F50" s="91"/>
      <c r="G50" s="112">
        <f t="shared" si="12"/>
        <v>7.0000000000000001E-3</v>
      </c>
      <c r="H50" s="99">
        <f t="shared" si="13"/>
        <v>365</v>
      </c>
      <c r="I50" s="123">
        <f t="shared" si="14"/>
        <v>2.5550000000000002</v>
      </c>
      <c r="J50" s="91"/>
      <c r="K50" s="190">
        <f t="shared" si="8"/>
        <v>0</v>
      </c>
      <c r="L50" s="133">
        <f t="shared" si="9"/>
        <v>0</v>
      </c>
    </row>
    <row r="51" spans="2:12">
      <c r="B51" s="265" t="s">
        <v>6</v>
      </c>
      <c r="C51" s="112">
        <f>+C5</f>
        <v>7.8E-2</v>
      </c>
      <c r="D51" s="93">
        <f>+C26*C29</f>
        <v>377.73849999999999</v>
      </c>
      <c r="E51" s="173">
        <f t="shared" si="11"/>
        <v>29.463602999999999</v>
      </c>
      <c r="F51" s="91"/>
      <c r="G51" s="112">
        <f>+D5</f>
        <v>7.8E-2</v>
      </c>
      <c r="H51" s="99">
        <f t="shared" si="13"/>
        <v>377.73849999999999</v>
      </c>
      <c r="I51" s="123">
        <f t="shared" si="14"/>
        <v>29.463602999999999</v>
      </c>
      <c r="J51" s="91"/>
      <c r="K51" s="190">
        <f t="shared" si="8"/>
        <v>0</v>
      </c>
      <c r="L51" s="133">
        <f t="shared" si="9"/>
        <v>0</v>
      </c>
    </row>
    <row r="52" spans="2:12">
      <c r="B52" s="265" t="s">
        <v>7</v>
      </c>
      <c r="C52" s="102">
        <f>+C6</f>
        <v>9.0999999999999998E-2</v>
      </c>
      <c r="D52" s="93">
        <f>IF(C25*C29&gt;C26,C25*C29-C26,0)</f>
        <v>0</v>
      </c>
      <c r="E52" s="123">
        <f t="shared" si="11"/>
        <v>0</v>
      </c>
      <c r="F52" s="91"/>
      <c r="G52" s="112">
        <f>+D6</f>
        <v>9.0999999999999998E-2</v>
      </c>
      <c r="H52" s="99">
        <f t="shared" si="13"/>
        <v>0</v>
      </c>
      <c r="I52" s="123">
        <f t="shared" si="14"/>
        <v>0</v>
      </c>
      <c r="J52" s="91"/>
      <c r="K52" s="190">
        <f t="shared" si="8"/>
        <v>0</v>
      </c>
      <c r="L52" s="133" t="str">
        <f t="shared" si="9"/>
        <v/>
      </c>
    </row>
    <row r="53" spans="2:12" ht="15.75" thickBot="1">
      <c r="B53" s="297"/>
      <c r="C53" s="184"/>
      <c r="D53" s="185"/>
      <c r="E53" s="186"/>
      <c r="F53" s="187"/>
      <c r="G53" s="184"/>
      <c r="H53" s="188"/>
      <c r="I53" s="186"/>
      <c r="J53" s="187"/>
      <c r="K53" s="236"/>
      <c r="L53" s="298"/>
    </row>
    <row r="54" spans="2:12">
      <c r="B54" s="275" t="s">
        <v>92</v>
      </c>
      <c r="C54" s="134"/>
      <c r="D54" s="135"/>
      <c r="E54" s="125">
        <f>SUM(E46:E52)</f>
        <v>51.679338600000001</v>
      </c>
      <c r="F54" s="136"/>
      <c r="G54" s="137"/>
      <c r="H54" s="137"/>
      <c r="I54" s="129">
        <f>SUM(I46:I52)</f>
        <v>51.427738599999998</v>
      </c>
      <c r="J54" s="107"/>
      <c r="K54" s="194">
        <f>+I54-E54</f>
        <v>-0.25160000000000338</v>
      </c>
      <c r="L54" s="154">
        <f t="shared" ref="L54:L56" si="15">IF((E54)=0,"",(K54/E54))</f>
        <v>-4.8684833594213875E-3</v>
      </c>
    </row>
    <row r="55" spans="2:12">
      <c r="B55" s="276" t="s">
        <v>19</v>
      </c>
      <c r="C55" s="134">
        <v>0.13</v>
      </c>
      <c r="D55" s="138"/>
      <c r="E55" s="126">
        <f>+E54*C55</f>
        <v>6.7183140180000001</v>
      </c>
      <c r="F55" s="90"/>
      <c r="G55" s="134">
        <v>0.13</v>
      </c>
      <c r="H55" s="90"/>
      <c r="I55" s="130">
        <f>+I54*G55</f>
        <v>6.6856060179999997</v>
      </c>
      <c r="J55" s="108"/>
      <c r="K55" s="195">
        <f t="shared" ref="K55:K56" si="16">+I55-E55</f>
        <v>-3.2708000000000403E-2</v>
      </c>
      <c r="L55" s="146">
        <f t="shared" si="15"/>
        <v>-4.8684833594213823E-3</v>
      </c>
    </row>
    <row r="56" spans="2:12" ht="15.75" thickBot="1">
      <c r="B56" s="279" t="s">
        <v>67</v>
      </c>
      <c r="C56" s="139"/>
      <c r="D56" s="140"/>
      <c r="E56" s="128">
        <f>SUM(E54:E55)</f>
        <v>58.397652618000002</v>
      </c>
      <c r="F56" s="141"/>
      <c r="G56" s="141"/>
      <c r="H56" s="141"/>
      <c r="I56" s="132">
        <f>SUM(I54:I55)</f>
        <v>58.113344617999999</v>
      </c>
      <c r="J56" s="109"/>
      <c r="K56" s="196">
        <f t="shared" si="16"/>
        <v>-0.28430800000000289</v>
      </c>
      <c r="L56" s="155">
        <f t="shared" si="15"/>
        <v>-4.868483359421371E-3</v>
      </c>
    </row>
    <row r="57" spans="2:12">
      <c r="B57" s="280"/>
      <c r="C57" s="299"/>
      <c r="D57" s="300"/>
      <c r="E57" s="301"/>
      <c r="F57" s="302"/>
      <c r="G57" s="299"/>
      <c r="H57" s="302"/>
      <c r="I57" s="303"/>
      <c r="J57" s="300"/>
      <c r="K57" s="304"/>
      <c r="L57" s="305"/>
    </row>
    <row r="59" spans="2:12">
      <c r="E59" s="144"/>
      <c r="I59" s="144"/>
    </row>
    <row r="60" spans="2:12">
      <c r="E60" s="144"/>
      <c r="I60" s="144"/>
    </row>
    <row r="61" spans="2:12" ht="108.75" customHeight="1">
      <c r="B61" s="306" t="s">
        <v>26</v>
      </c>
      <c r="C61" s="307"/>
      <c r="D61" s="307"/>
      <c r="E61" s="307"/>
      <c r="F61" s="307"/>
      <c r="G61" s="307"/>
      <c r="H61" s="307"/>
      <c r="I61" s="307"/>
    </row>
  </sheetData>
  <mergeCells count="7">
    <mergeCell ref="B61:I61"/>
    <mergeCell ref="B1:K1"/>
    <mergeCell ref="C31:E31"/>
    <mergeCell ref="G31:I31"/>
    <mergeCell ref="K31:L31"/>
    <mergeCell ref="K32:K33"/>
    <mergeCell ref="L32:L33"/>
  </mergeCells>
  <pageMargins left="0.7" right="0.7" top="0.75" bottom="0.75" header="0.3" footer="0.3"/>
  <pageSetup scale="55" orientation="portrait" r:id="rId1"/>
  <ignoredErrors>
    <ignoredError sqref="C34:K45 C26 C47:K56 C46:D46 J46:K46" unlockedFormula="1"/>
    <ignoredError sqref="E46:I46" formula="1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B1:AC61"/>
  <sheetViews>
    <sheetView showGridLines="0" zoomScale="85" zoomScaleNormal="85" workbookViewId="0">
      <selection sqref="A1:M67"/>
    </sheetView>
  </sheetViews>
  <sheetFormatPr defaultRowHeight="15"/>
  <cols>
    <col min="1" max="1" width="2.85546875" style="161" customWidth="1"/>
    <col min="2" max="2" width="47.5703125" style="161" customWidth="1"/>
    <col min="3" max="3" width="13.5703125" style="161" customWidth="1"/>
    <col min="4" max="4" width="13.140625" style="161" customWidth="1"/>
    <col min="5" max="5" width="14.28515625" style="161" bestFit="1" customWidth="1"/>
    <col min="6" max="6" width="2.140625" style="161" customWidth="1"/>
    <col min="7" max="7" width="13.28515625" style="161" customWidth="1"/>
    <col min="8" max="8" width="13.42578125" style="161" customWidth="1"/>
    <col min="9" max="9" width="14.28515625" style="161" bestFit="1" customWidth="1"/>
    <col min="10" max="10" width="2" style="161" customWidth="1"/>
    <col min="11" max="11" width="12.42578125" style="161" bestFit="1" customWidth="1"/>
    <col min="12" max="12" width="11.140625" style="161" customWidth="1"/>
    <col min="13" max="13" width="2.42578125" style="161" customWidth="1"/>
    <col min="14" max="16384" width="9.140625" style="161"/>
  </cols>
  <sheetData>
    <row r="1" spans="2:29" ht="23.25">
      <c r="B1" s="308" t="s">
        <v>37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161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161" t="s">
        <v>28</v>
      </c>
      <c r="K7" s="175">
        <v>0</v>
      </c>
      <c r="L7" s="175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161" t="s">
        <v>40</v>
      </c>
      <c r="K8" s="175"/>
      <c r="L8" s="175"/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161" t="s">
        <v>29</v>
      </c>
      <c r="K9" s="176"/>
      <c r="L9" s="176"/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0.83</v>
      </c>
      <c r="D10" s="59">
        <v>0.84</v>
      </c>
      <c r="E10" s="72"/>
      <c r="F10" s="72"/>
      <c r="K10" s="144">
        <f>SUM(K7:K9)</f>
        <v>0</v>
      </c>
      <c r="L10" s="144">
        <f>SUM(L7:L9)</f>
        <v>0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</v>
      </c>
      <c r="D11" s="51">
        <f>+L10</f>
        <v>0</v>
      </c>
      <c r="E11" s="72"/>
      <c r="F11" s="72"/>
      <c r="G11" s="161" t="s">
        <v>41</v>
      </c>
      <c r="K11" s="175"/>
      <c r="L11" s="175"/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</v>
      </c>
      <c r="D12" s="54">
        <f>+L11</f>
        <v>0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8.6297999999999995</v>
      </c>
      <c r="D13" s="60">
        <v>8.7402999999999995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-0.43469999999999998</v>
      </c>
      <c r="E14" s="72"/>
      <c r="F14" s="72"/>
      <c r="G14" s="161" t="s">
        <v>42</v>
      </c>
      <c r="K14" s="39">
        <v>0</v>
      </c>
      <c r="L14" s="63">
        <v>-0.43469999999999998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161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2.1644999999999999</v>
      </c>
      <c r="D16" s="62">
        <v>2.2012999999999998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1.5210999999999999</v>
      </c>
      <c r="D17" s="62">
        <v>1.4968999999999999</v>
      </c>
      <c r="E17" s="72"/>
      <c r="F17" s="72"/>
      <c r="G17" s="161" t="s">
        <v>14</v>
      </c>
      <c r="K17" s="40">
        <f>SUM(K14:K16)</f>
        <v>0</v>
      </c>
      <c r="L17" s="40">
        <f>SUM(L14:L16)</f>
        <v>-0.43469999999999998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>
      <c r="B24" s="83"/>
      <c r="C24" s="83"/>
      <c r="D24" s="72"/>
      <c r="E24" s="82"/>
      <c r="F24" s="82"/>
      <c r="G24" s="72"/>
      <c r="H24" s="168"/>
      <c r="I24" s="169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>
      <c r="B25" s="73" t="s">
        <v>38</v>
      </c>
      <c r="C25" s="49">
        <v>21000</v>
      </c>
      <c r="D25" s="73"/>
      <c r="E25" s="73"/>
      <c r="F25" s="42"/>
      <c r="G25" s="74"/>
      <c r="H25" s="170"/>
      <c r="I25" s="17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>
      <c r="B26" s="43" t="s">
        <v>1</v>
      </c>
      <c r="C26" s="89">
        <f>+E26*365*24/12*C28</f>
        <v>1387000</v>
      </c>
      <c r="D26" s="44" t="s">
        <v>0</v>
      </c>
      <c r="E26" s="49">
        <v>3800</v>
      </c>
      <c r="F26" s="42" t="s">
        <v>32</v>
      </c>
      <c r="G26" s="67"/>
      <c r="H26" s="170"/>
      <c r="I26" s="17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>
      <c r="B27" s="43" t="s">
        <v>2</v>
      </c>
      <c r="C27" s="45">
        <v>750</v>
      </c>
      <c r="D27" s="44" t="s">
        <v>0</v>
      </c>
      <c r="E27" s="87"/>
      <c r="F27" s="42"/>
      <c r="G27" s="69"/>
      <c r="H27" s="170"/>
      <c r="I27" s="17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43" t="s">
        <v>3</v>
      </c>
      <c r="C28" s="46">
        <v>0.5</v>
      </c>
      <c r="D28" s="87"/>
      <c r="E28" s="87"/>
      <c r="F28" s="42"/>
      <c r="G28" s="69"/>
      <c r="H28" s="170"/>
      <c r="I28" s="171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79" t="s">
        <v>4</v>
      </c>
      <c r="C29" s="180">
        <v>1.0348999999999999</v>
      </c>
      <c r="D29" s="178"/>
      <c r="E29" s="82"/>
      <c r="F29" s="82"/>
      <c r="G29" s="70"/>
      <c r="H29" s="83"/>
      <c r="I29" s="83"/>
      <c r="J29" s="72"/>
      <c r="K29" s="82"/>
      <c r="L29" s="82"/>
      <c r="M29" s="70"/>
      <c r="N29" s="76"/>
      <c r="O29" s="77"/>
      <c r="P29" s="71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</row>
    <row r="31" spans="2:29">
      <c r="B31" s="262"/>
      <c r="C31" s="313" t="s">
        <v>44</v>
      </c>
      <c r="D31" s="314"/>
      <c r="E31" s="315"/>
      <c r="F31" s="263"/>
      <c r="G31" s="313" t="s">
        <v>45</v>
      </c>
      <c r="H31" s="314"/>
      <c r="I31" s="315"/>
      <c r="J31" s="263"/>
      <c r="K31" s="313" t="s">
        <v>46</v>
      </c>
      <c r="L31" s="315"/>
    </row>
    <row r="32" spans="2:29">
      <c r="B32" s="264"/>
      <c r="C32" s="113" t="s">
        <v>47</v>
      </c>
      <c r="D32" s="113" t="s">
        <v>5</v>
      </c>
      <c r="E32" s="114" t="s">
        <v>48</v>
      </c>
      <c r="F32" s="91"/>
      <c r="G32" s="113" t="s">
        <v>47</v>
      </c>
      <c r="H32" s="115" t="s">
        <v>5</v>
      </c>
      <c r="I32" s="114" t="s">
        <v>48</v>
      </c>
      <c r="J32" s="91"/>
      <c r="K32" s="311" t="s">
        <v>49</v>
      </c>
      <c r="L32" s="309" t="s">
        <v>50</v>
      </c>
    </row>
    <row r="33" spans="2:15">
      <c r="B33" s="264"/>
      <c r="C33" s="116" t="s">
        <v>51</v>
      </c>
      <c r="D33" s="116"/>
      <c r="E33" s="117" t="s">
        <v>51</v>
      </c>
      <c r="F33" s="91"/>
      <c r="G33" s="116" t="s">
        <v>51</v>
      </c>
      <c r="H33" s="117"/>
      <c r="I33" s="117" t="s">
        <v>51</v>
      </c>
      <c r="J33" s="91"/>
      <c r="K33" s="312"/>
      <c r="L33" s="310"/>
    </row>
    <row r="34" spans="2:15">
      <c r="B34" s="265" t="s">
        <v>52</v>
      </c>
      <c r="C34" s="142">
        <f>+C10</f>
        <v>0.83</v>
      </c>
      <c r="D34" s="261">
        <f>+C25</f>
        <v>21000</v>
      </c>
      <c r="E34" s="172">
        <f>+C34*D34</f>
        <v>17430</v>
      </c>
      <c r="F34" s="91"/>
      <c r="G34" s="142">
        <f>+D10</f>
        <v>0.84</v>
      </c>
      <c r="H34" s="94">
        <f>+C25</f>
        <v>21000</v>
      </c>
      <c r="I34" s="172">
        <f>+G34*H34</f>
        <v>17640</v>
      </c>
      <c r="J34" s="91"/>
      <c r="K34" s="190">
        <f>+I34-E34</f>
        <v>210</v>
      </c>
      <c r="L34" s="133">
        <f>IF((E34)=0,"",(K34/E34))</f>
        <v>1.2048192771084338E-2</v>
      </c>
    </row>
    <row r="35" spans="2:15">
      <c r="B35" s="265" t="s">
        <v>12</v>
      </c>
      <c r="C35" s="110">
        <f>+C13</f>
        <v>8.6297999999999995</v>
      </c>
      <c r="D35" s="93">
        <f>+E26</f>
        <v>3800</v>
      </c>
      <c r="E35" s="172">
        <f>+C35*D35</f>
        <v>32793.24</v>
      </c>
      <c r="F35" s="91"/>
      <c r="G35" s="110">
        <f>+D13</f>
        <v>8.7402999999999995</v>
      </c>
      <c r="H35" s="94">
        <f>+E26</f>
        <v>3800</v>
      </c>
      <c r="I35" s="172">
        <f t="shared" ref="I35:I37" si="2">+G35*H35</f>
        <v>33213.14</v>
      </c>
      <c r="J35" s="91"/>
      <c r="K35" s="190">
        <f t="shared" ref="K35:K38" si="3">+I35-E35</f>
        <v>419.90000000000146</v>
      </c>
      <c r="L35" s="133">
        <f t="shared" ref="L35:L40" si="4">IF((E35)=0,"",(K35/E35))</f>
        <v>1.2804468237966162E-2</v>
      </c>
    </row>
    <row r="36" spans="2:15">
      <c r="B36" s="266" t="s">
        <v>53</v>
      </c>
      <c r="C36" s="160">
        <f>+K10</f>
        <v>0</v>
      </c>
      <c r="D36" s="90"/>
      <c r="E36" s="172">
        <f>+C36*D36</f>
        <v>0</v>
      </c>
      <c r="F36" s="91"/>
      <c r="G36" s="160">
        <f>+L10</f>
        <v>0</v>
      </c>
      <c r="H36" s="92"/>
      <c r="I36" s="120">
        <f t="shared" si="2"/>
        <v>0</v>
      </c>
      <c r="J36" s="91"/>
      <c r="K36" s="190">
        <f t="shared" si="3"/>
        <v>0</v>
      </c>
      <c r="L36" s="133" t="str">
        <f t="shared" si="4"/>
        <v/>
      </c>
    </row>
    <row r="37" spans="2:15">
      <c r="B37" s="267" t="s">
        <v>54</v>
      </c>
      <c r="C37" s="111">
        <v>0</v>
      </c>
      <c r="D37" s="93"/>
      <c r="E37" s="121">
        <v>0</v>
      </c>
      <c r="F37" s="91"/>
      <c r="G37" s="111">
        <v>0</v>
      </c>
      <c r="H37" s="94"/>
      <c r="I37" s="120">
        <f t="shared" si="2"/>
        <v>0</v>
      </c>
      <c r="J37" s="91"/>
      <c r="K37" s="190">
        <f t="shared" si="3"/>
        <v>0</v>
      </c>
      <c r="L37" s="133" t="str">
        <f t="shared" si="4"/>
        <v/>
      </c>
    </row>
    <row r="38" spans="2:15" s="66" customFormat="1">
      <c r="B38" s="118" t="s">
        <v>55</v>
      </c>
      <c r="C38" s="147"/>
      <c r="D38" s="148"/>
      <c r="E38" s="149">
        <f>SUM(E34:E37)</f>
        <v>50223.24</v>
      </c>
      <c r="F38" s="150"/>
      <c r="G38" s="147"/>
      <c r="H38" s="100"/>
      <c r="I38" s="151">
        <f>SUM(I34:I37)</f>
        <v>50853.14</v>
      </c>
      <c r="J38" s="150"/>
      <c r="K38" s="197">
        <f t="shared" si="3"/>
        <v>629.90000000000146</v>
      </c>
      <c r="L38" s="153">
        <f t="shared" si="4"/>
        <v>1.2542002467383654E-2</v>
      </c>
    </row>
    <row r="39" spans="2:15">
      <c r="B39" s="268" t="s">
        <v>56</v>
      </c>
      <c r="C39" s="156"/>
      <c r="D39" s="95"/>
      <c r="E39" s="159"/>
      <c r="F39" s="91"/>
      <c r="G39" s="156"/>
      <c r="H39" s="95"/>
      <c r="I39" s="120"/>
      <c r="J39" s="91"/>
      <c r="K39" s="190"/>
      <c r="L39" s="133"/>
    </row>
    <row r="40" spans="2:15">
      <c r="B40" s="268" t="s">
        <v>57</v>
      </c>
      <c r="C40" s="157">
        <v>0</v>
      </c>
      <c r="D40" s="93"/>
      <c r="E40" s="120">
        <v>0</v>
      </c>
      <c r="F40" s="91"/>
      <c r="G40" s="191">
        <f>+D14</f>
        <v>-0.43469999999999998</v>
      </c>
      <c r="H40" s="94">
        <f>+E26</f>
        <v>3800</v>
      </c>
      <c r="I40" s="189">
        <f>+G40*H40</f>
        <v>-1651.86</v>
      </c>
      <c r="J40" s="91"/>
      <c r="K40" s="190">
        <f t="shared" ref="K40" si="5">+I40-E40</f>
        <v>-1651.86</v>
      </c>
      <c r="L40" s="133" t="str">
        <f t="shared" si="4"/>
        <v/>
      </c>
    </row>
    <row r="41" spans="2:15">
      <c r="B41" s="269" t="s">
        <v>58</v>
      </c>
      <c r="C41" s="157"/>
      <c r="D41" s="93"/>
      <c r="E41" s="120"/>
      <c r="F41" s="91"/>
      <c r="G41" s="157"/>
      <c r="H41" s="94"/>
      <c r="I41" s="120"/>
      <c r="J41" s="91"/>
      <c r="K41" s="190"/>
      <c r="L41" s="133"/>
    </row>
    <row r="42" spans="2:15">
      <c r="B42" s="269" t="s">
        <v>41</v>
      </c>
      <c r="C42" s="158"/>
      <c r="D42" s="95"/>
      <c r="E42" s="120"/>
      <c r="F42" s="91"/>
      <c r="G42" s="158"/>
      <c r="H42" s="95"/>
      <c r="I42" s="120"/>
      <c r="J42" s="91"/>
      <c r="K42" s="190"/>
      <c r="L42" s="133"/>
    </row>
    <row r="43" spans="2:15">
      <c r="B43" s="119" t="s">
        <v>59</v>
      </c>
      <c r="C43" s="96"/>
      <c r="D43" s="96"/>
      <c r="E43" s="122">
        <f>SUM(E38:E42)</f>
        <v>50223.24</v>
      </c>
      <c r="F43" s="91"/>
      <c r="G43" s="96"/>
      <c r="H43" s="97"/>
      <c r="I43" s="122">
        <f>SUM(I38:I42)</f>
        <v>49201.279999999999</v>
      </c>
      <c r="J43" s="91"/>
      <c r="K43" s="198">
        <f>+I43-E43</f>
        <v>-1021.9599999999991</v>
      </c>
      <c r="L43" s="145">
        <f>IF((E43)=0,"",(K43/E43))</f>
        <v>-2.0348348692756563E-2</v>
      </c>
      <c r="O43" s="144"/>
    </row>
    <row r="44" spans="2:15">
      <c r="B44" s="270" t="s">
        <v>60</v>
      </c>
      <c r="C44" s="110">
        <f>+C16</f>
        <v>2.1644999999999999</v>
      </c>
      <c r="D44" s="98">
        <f>+$E$26</f>
        <v>3800</v>
      </c>
      <c r="E44" s="172">
        <f>+C44*D44</f>
        <v>8225.1</v>
      </c>
      <c r="F44" s="91"/>
      <c r="G44" s="110">
        <f>+D16</f>
        <v>2.2012999999999998</v>
      </c>
      <c r="H44" s="98">
        <f>+$E$26</f>
        <v>3800</v>
      </c>
      <c r="I44" s="120">
        <f>+G44*H44</f>
        <v>8364.9399999999987</v>
      </c>
      <c r="J44" s="91"/>
      <c r="K44" s="190">
        <f t="shared" ref="K44:K45" si="6">+I44-E44</f>
        <v>139.83999999999833</v>
      </c>
      <c r="L44" s="133">
        <f t="shared" ref="L44:L45" si="7">IF((E44)=0,"",(K44/E44))</f>
        <v>1.7001617001616797E-2</v>
      </c>
    </row>
    <row r="45" spans="2:15" ht="30" customHeight="1">
      <c r="B45" s="271" t="s">
        <v>61</v>
      </c>
      <c r="C45" s="110">
        <f>+C17</f>
        <v>1.5210999999999999</v>
      </c>
      <c r="D45" s="98">
        <f>+$E$26</f>
        <v>3800</v>
      </c>
      <c r="E45" s="172">
        <f>+C45*D45</f>
        <v>5780.1799999999994</v>
      </c>
      <c r="F45" s="91"/>
      <c r="G45" s="110">
        <f>+D17</f>
        <v>1.4968999999999999</v>
      </c>
      <c r="H45" s="98">
        <f>+$E$26</f>
        <v>3800</v>
      </c>
      <c r="I45" s="120">
        <f>+G45*H45</f>
        <v>5688.2199999999993</v>
      </c>
      <c r="J45" s="91"/>
      <c r="K45" s="190">
        <f t="shared" si="6"/>
        <v>-91.960000000000036</v>
      </c>
      <c r="L45" s="133">
        <f t="shared" si="7"/>
        <v>-1.5909539149299858E-2</v>
      </c>
    </row>
    <row r="46" spans="2:15">
      <c r="B46" s="119" t="s">
        <v>62</v>
      </c>
      <c r="C46" s="96"/>
      <c r="D46" s="96"/>
      <c r="E46" s="122">
        <f>SUM(E43:E45)</f>
        <v>64228.52</v>
      </c>
      <c r="F46" s="91"/>
      <c r="G46" s="100"/>
      <c r="H46" s="101"/>
      <c r="I46" s="122">
        <f>SUM(I43:I45)</f>
        <v>63254.44</v>
      </c>
      <c r="J46" s="91"/>
      <c r="K46" s="198">
        <f>+I46-E46</f>
        <v>-974.07999999999447</v>
      </c>
      <c r="L46" s="145">
        <f>IF((E46)=0,"",(K46/E46))</f>
        <v>-1.516584844240525E-2</v>
      </c>
    </row>
    <row r="47" spans="2:15">
      <c r="B47" s="272" t="s">
        <v>63</v>
      </c>
      <c r="C47" s="112">
        <f>+C18</f>
        <v>4.4000000000000003E-3</v>
      </c>
      <c r="D47" s="98">
        <f>+$C$29*$C$26</f>
        <v>1435406.2999999998</v>
      </c>
      <c r="E47" s="173">
        <f>+C47*D47</f>
        <v>6315.7877199999994</v>
      </c>
      <c r="F47" s="91"/>
      <c r="G47" s="112">
        <f>+D18</f>
        <v>4.4000000000000003E-3</v>
      </c>
      <c r="H47" s="99">
        <f>+D47</f>
        <v>1435406.2999999998</v>
      </c>
      <c r="I47" s="123">
        <f>+G47*H47</f>
        <v>6315.7877199999994</v>
      </c>
      <c r="J47" s="91"/>
      <c r="K47" s="190">
        <f t="shared" ref="K47:K52" si="8">+I47-E47</f>
        <v>0</v>
      </c>
      <c r="L47" s="133">
        <f t="shared" ref="L47:L52" si="9">IF((E47)=0,"",(K47/E47))</f>
        <v>0</v>
      </c>
    </row>
    <row r="48" spans="2:15">
      <c r="B48" s="272" t="s">
        <v>64</v>
      </c>
      <c r="C48" s="112">
        <f t="shared" ref="C48:C50" si="10">+C19</f>
        <v>1.1999999999999999E-3</v>
      </c>
      <c r="D48" s="98">
        <f>+$C$29*$C$26</f>
        <v>1435406.2999999998</v>
      </c>
      <c r="E48" s="173">
        <f t="shared" ref="E48:E52" si="11">+C48*D48</f>
        <v>1722.4875599999996</v>
      </c>
      <c r="F48" s="91"/>
      <c r="G48" s="112">
        <f t="shared" ref="G48:G50" si="12">+D19</f>
        <v>1.1999999999999999E-3</v>
      </c>
      <c r="H48" s="99">
        <f t="shared" ref="H48:H52" si="13">+D48</f>
        <v>1435406.2999999998</v>
      </c>
      <c r="I48" s="123">
        <f t="shared" ref="I48:I52" si="14">+G48*H48</f>
        <v>1722.4875599999996</v>
      </c>
      <c r="J48" s="91"/>
      <c r="K48" s="190">
        <f t="shared" si="8"/>
        <v>0</v>
      </c>
      <c r="L48" s="133">
        <f t="shared" si="9"/>
        <v>0</v>
      </c>
    </row>
    <row r="49" spans="2:12">
      <c r="B49" s="265" t="s">
        <v>65</v>
      </c>
      <c r="C49" s="112">
        <f t="shared" si="10"/>
        <v>0.25</v>
      </c>
      <c r="D49" s="98">
        <v>1</v>
      </c>
      <c r="E49" s="173">
        <f t="shared" si="11"/>
        <v>0.25</v>
      </c>
      <c r="F49" s="91"/>
      <c r="G49" s="112">
        <f t="shared" si="12"/>
        <v>0.25</v>
      </c>
      <c r="H49" s="99">
        <f t="shared" si="13"/>
        <v>1</v>
      </c>
      <c r="I49" s="123">
        <f t="shared" si="14"/>
        <v>0.25</v>
      </c>
      <c r="J49" s="91"/>
      <c r="K49" s="190">
        <f t="shared" si="8"/>
        <v>0</v>
      </c>
      <c r="L49" s="133">
        <f t="shared" si="9"/>
        <v>0</v>
      </c>
    </row>
    <row r="50" spans="2:12">
      <c r="B50" s="265" t="s">
        <v>18</v>
      </c>
      <c r="C50" s="112">
        <f t="shared" si="10"/>
        <v>7.0000000000000001E-3</v>
      </c>
      <c r="D50" s="93">
        <f>+$C$26</f>
        <v>1387000</v>
      </c>
      <c r="E50" s="173">
        <f t="shared" si="11"/>
        <v>9709</v>
      </c>
      <c r="F50" s="91"/>
      <c r="G50" s="112">
        <f t="shared" si="12"/>
        <v>7.0000000000000001E-3</v>
      </c>
      <c r="H50" s="99">
        <f t="shared" si="13"/>
        <v>1387000</v>
      </c>
      <c r="I50" s="123">
        <f t="shared" si="14"/>
        <v>9709</v>
      </c>
      <c r="J50" s="91"/>
      <c r="K50" s="190">
        <f t="shared" si="8"/>
        <v>0</v>
      </c>
      <c r="L50" s="133">
        <f t="shared" si="9"/>
        <v>0</v>
      </c>
    </row>
    <row r="51" spans="2:12">
      <c r="B51" s="265" t="s">
        <v>6</v>
      </c>
      <c r="C51" s="112">
        <f>+C5</f>
        <v>7.8E-2</v>
      </c>
      <c r="D51" s="93">
        <f>+C26*C29</f>
        <v>1435406.2999999998</v>
      </c>
      <c r="E51" s="173">
        <f t="shared" si="11"/>
        <v>111961.69139999998</v>
      </c>
      <c r="F51" s="91"/>
      <c r="G51" s="112">
        <f>+D5</f>
        <v>7.8E-2</v>
      </c>
      <c r="H51" s="99">
        <f t="shared" si="13"/>
        <v>1435406.2999999998</v>
      </c>
      <c r="I51" s="123">
        <f t="shared" si="14"/>
        <v>111961.69139999998</v>
      </c>
      <c r="J51" s="91"/>
      <c r="K51" s="190">
        <f t="shared" si="8"/>
        <v>0</v>
      </c>
      <c r="L51" s="133">
        <f t="shared" si="9"/>
        <v>0</v>
      </c>
    </row>
    <row r="52" spans="2:12">
      <c r="B52" s="265" t="s">
        <v>7</v>
      </c>
      <c r="C52" s="102">
        <f>+C6</f>
        <v>9.0999999999999998E-2</v>
      </c>
      <c r="D52" s="93">
        <f>IF(C25*C29&gt;C26,C25*C29-C26,0)</f>
        <v>0</v>
      </c>
      <c r="E52" s="123">
        <f t="shared" si="11"/>
        <v>0</v>
      </c>
      <c r="F52" s="91"/>
      <c r="G52" s="112">
        <f>+D6</f>
        <v>9.0999999999999998E-2</v>
      </c>
      <c r="H52" s="99">
        <f t="shared" si="13"/>
        <v>0</v>
      </c>
      <c r="I52" s="123">
        <f t="shared" si="14"/>
        <v>0</v>
      </c>
      <c r="J52" s="91"/>
      <c r="K52" s="190">
        <f t="shared" si="8"/>
        <v>0</v>
      </c>
      <c r="L52" s="133" t="str">
        <f t="shared" si="9"/>
        <v/>
      </c>
    </row>
    <row r="53" spans="2:12" ht="15.75" thickBot="1">
      <c r="B53" s="297"/>
      <c r="C53" s="184"/>
      <c r="D53" s="185"/>
      <c r="E53" s="186"/>
      <c r="F53" s="187"/>
      <c r="G53" s="184"/>
      <c r="H53" s="188"/>
      <c r="I53" s="186"/>
      <c r="J53" s="187"/>
      <c r="K53" s="236"/>
      <c r="L53" s="298"/>
    </row>
    <row r="54" spans="2:12">
      <c r="B54" s="275" t="s">
        <v>92</v>
      </c>
      <c r="C54" s="134"/>
      <c r="D54" s="135"/>
      <c r="E54" s="125">
        <f>SUM(E46:E52)</f>
        <v>193937.73667999997</v>
      </c>
      <c r="F54" s="136"/>
      <c r="G54" s="137"/>
      <c r="H54" s="137"/>
      <c r="I54" s="129">
        <f>SUM(I46:I52)</f>
        <v>192963.65667999996</v>
      </c>
      <c r="J54" s="107"/>
      <c r="K54" s="194">
        <f>+I54-E54</f>
        <v>-974.0800000000163</v>
      </c>
      <c r="L54" s="154">
        <f t="shared" ref="L54:L56" si="15">IF((E54)=0,"",(K54/E54))</f>
        <v>-5.022642919708103E-3</v>
      </c>
    </row>
    <row r="55" spans="2:12">
      <c r="B55" s="276" t="s">
        <v>19</v>
      </c>
      <c r="C55" s="134">
        <v>0.13</v>
      </c>
      <c r="D55" s="138"/>
      <c r="E55" s="126">
        <f>+E54*C55</f>
        <v>25211.905768399996</v>
      </c>
      <c r="F55" s="90"/>
      <c r="G55" s="134">
        <v>0.13</v>
      </c>
      <c r="H55" s="90"/>
      <c r="I55" s="130">
        <f>+I54*G55</f>
        <v>25085.275368399994</v>
      </c>
      <c r="J55" s="108"/>
      <c r="K55" s="195">
        <f t="shared" ref="K55:K56" si="16">+I55-E55</f>
        <v>-126.63040000000183</v>
      </c>
      <c r="L55" s="146">
        <f t="shared" si="15"/>
        <v>-5.0226429197080917E-3</v>
      </c>
    </row>
    <row r="56" spans="2:12" ht="15.75" thickBot="1">
      <c r="B56" s="279" t="s">
        <v>67</v>
      </c>
      <c r="C56" s="139"/>
      <c r="D56" s="140"/>
      <c r="E56" s="128">
        <f>SUM(E54:E55)</f>
        <v>219149.64244839997</v>
      </c>
      <c r="F56" s="141"/>
      <c r="G56" s="141"/>
      <c r="H56" s="141"/>
      <c r="I56" s="132">
        <f>SUM(I54:I55)</f>
        <v>218048.93204839996</v>
      </c>
      <c r="J56" s="109"/>
      <c r="K56" s="196">
        <f t="shared" si="16"/>
        <v>-1100.7104000000108</v>
      </c>
      <c r="L56" s="155">
        <f t="shared" si="15"/>
        <v>-5.0226429197080683E-3</v>
      </c>
    </row>
    <row r="57" spans="2:12">
      <c r="B57" s="280"/>
      <c r="C57" s="299"/>
      <c r="D57" s="300"/>
      <c r="E57" s="301"/>
      <c r="F57" s="302"/>
      <c r="G57" s="299"/>
      <c r="H57" s="302"/>
      <c r="I57" s="303"/>
      <c r="J57" s="300"/>
      <c r="K57" s="304"/>
      <c r="L57" s="305"/>
    </row>
    <row r="59" spans="2:12">
      <c r="E59" s="144"/>
      <c r="I59" s="144"/>
    </row>
    <row r="60" spans="2:12">
      <c r="E60" s="144"/>
      <c r="I60" s="144"/>
    </row>
    <row r="61" spans="2:12" ht="108.75" customHeight="1">
      <c r="B61" s="306" t="s">
        <v>26</v>
      </c>
      <c r="C61" s="307"/>
      <c r="D61" s="307"/>
      <c r="E61" s="307"/>
      <c r="F61" s="307"/>
      <c r="G61" s="307"/>
      <c r="H61" s="307"/>
      <c r="I61" s="307"/>
    </row>
  </sheetData>
  <mergeCells count="7">
    <mergeCell ref="B61:I61"/>
    <mergeCell ref="B1:K1"/>
    <mergeCell ref="C31:E31"/>
    <mergeCell ref="G31:I31"/>
    <mergeCell ref="K31:L31"/>
    <mergeCell ref="K32:K33"/>
    <mergeCell ref="L32:L33"/>
  </mergeCells>
  <pageMargins left="0.7" right="0.7" top="0.75" bottom="0.75" header="0.3" footer="0.3"/>
  <pageSetup scale="55" orientation="portrait" r:id="rId1"/>
  <ignoredErrors>
    <ignoredError sqref="F34:H45 E34:E45 C53:E55 C34:D52 F47:H52 E47:E52" unlockedFormula="1"/>
    <ignoredError sqref="E46 F46:H46" formula="1" unlockedFormula="1"/>
    <ignoredError sqref="I46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7030A0"/>
  </sheetPr>
  <dimension ref="B2:O41"/>
  <sheetViews>
    <sheetView workbookViewId="0">
      <selection sqref="A1:R42"/>
    </sheetView>
  </sheetViews>
  <sheetFormatPr defaultRowHeight="15"/>
  <cols>
    <col min="15" max="15" width="9.140625" style="66"/>
  </cols>
  <sheetData>
    <row r="2" spans="2:15" ht="18.75">
      <c r="B2" s="316" t="s">
        <v>69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66" t="s">
        <v>86</v>
      </c>
    </row>
    <row r="3" spans="2:15">
      <c r="B3" s="162" t="s">
        <v>70</v>
      </c>
      <c r="C3" s="162" t="s">
        <v>71</v>
      </c>
      <c r="D3" s="162" t="s">
        <v>72</v>
      </c>
      <c r="E3" s="162" t="s">
        <v>73</v>
      </c>
      <c r="F3" s="162" t="s">
        <v>74</v>
      </c>
      <c r="G3" s="162" t="s">
        <v>75</v>
      </c>
      <c r="H3" s="162" t="s">
        <v>76</v>
      </c>
      <c r="I3" s="162" t="s">
        <v>77</v>
      </c>
      <c r="J3" s="162" t="s">
        <v>78</v>
      </c>
      <c r="K3" s="162" t="s">
        <v>79</v>
      </c>
      <c r="L3" s="162" t="s">
        <v>80</v>
      </c>
      <c r="M3" s="162" t="s">
        <v>81</v>
      </c>
      <c r="N3" s="162" t="s">
        <v>82</v>
      </c>
    </row>
    <row r="4" spans="2:15">
      <c r="B4" s="161">
        <v>2013</v>
      </c>
      <c r="C4" s="165">
        <v>3.1600000000000003E-2</v>
      </c>
      <c r="D4" s="165">
        <v>2.9300000000000003E-2</v>
      </c>
      <c r="E4" s="165">
        <v>2.9300000000000003E-2</v>
      </c>
      <c r="F4" s="165">
        <v>2.8300000000000002E-2</v>
      </c>
      <c r="G4" s="165">
        <v>2.5399999999999999E-2</v>
      </c>
      <c r="H4" s="165">
        <v>2.3799999999999998E-2</v>
      </c>
      <c r="I4" s="165"/>
      <c r="J4" s="165"/>
      <c r="K4" s="165"/>
      <c r="L4" s="165"/>
      <c r="M4" s="165"/>
      <c r="N4" s="165"/>
    </row>
    <row r="5" spans="2:15">
      <c r="B5" s="161">
        <v>2012</v>
      </c>
      <c r="C5" s="165">
        <v>2.5600000000000001E-2</v>
      </c>
      <c r="D5" s="165">
        <v>2.23E-2</v>
      </c>
      <c r="E5" s="165">
        <v>1.55E-2</v>
      </c>
      <c r="F5" s="165">
        <v>1.72E-2</v>
      </c>
      <c r="G5" s="165">
        <v>2.0099999999999996E-2</v>
      </c>
      <c r="H5" s="165">
        <v>2.1899999999999999E-2</v>
      </c>
      <c r="I5" s="165">
        <v>3.3700000000000001E-2</v>
      </c>
      <c r="J5" s="165">
        <v>2.9300000000000003E-2</v>
      </c>
      <c r="K5" s="165">
        <v>2.6099999999999998E-2</v>
      </c>
      <c r="L5" s="165">
        <v>2.2400000000000003E-2</v>
      </c>
      <c r="M5" s="165">
        <v>2.6600000000000002E-2</v>
      </c>
      <c r="N5" s="165">
        <v>2.5499999999999998E-2</v>
      </c>
      <c r="O5" s="166">
        <f>AVERAGE(C4,D4,E4,F4,G4,H4,I5,J5,K5,L5,M5,N5)</f>
        <v>2.7608333333333335E-2</v>
      </c>
    </row>
    <row r="6" spans="2:15">
      <c r="B6" s="161">
        <v>2011</v>
      </c>
      <c r="C6" s="165">
        <v>3.3000000000000002E-2</v>
      </c>
      <c r="D6" s="165">
        <v>3.3700000000000001E-2</v>
      </c>
      <c r="E6" s="165">
        <v>3.1600000000000003E-2</v>
      </c>
      <c r="F6" s="165">
        <v>2.9700000000000001E-2</v>
      </c>
      <c r="G6" s="165">
        <v>2.5899999999999999E-2</v>
      </c>
      <c r="H6" s="165">
        <v>3.4599999999999999E-2</v>
      </c>
      <c r="I6" s="165">
        <v>3.7100000000000001E-2</v>
      </c>
      <c r="J6" s="165">
        <v>3.4500000000000003E-2</v>
      </c>
      <c r="K6" s="165">
        <v>3.1899999999999998E-2</v>
      </c>
      <c r="L6" s="165">
        <v>2.9399999999999999E-2</v>
      </c>
      <c r="M6" s="165">
        <v>2.8799999999999999E-2</v>
      </c>
      <c r="N6" s="165">
        <v>2.58E-2</v>
      </c>
    </row>
    <row r="7" spans="2:15">
      <c r="B7" s="161">
        <v>2010</v>
      </c>
      <c r="C7" s="165">
        <v>3.8300000000000001E-2</v>
      </c>
      <c r="D7" s="165">
        <v>3.6400000000000002E-2</v>
      </c>
      <c r="E7" s="165">
        <v>2.8799999999999999E-2</v>
      </c>
      <c r="F7" s="165">
        <v>3.1699999999999999E-2</v>
      </c>
      <c r="G7" s="165">
        <v>4.0399999999999998E-2</v>
      </c>
      <c r="H7" s="165">
        <v>4.1599999999999998E-2</v>
      </c>
      <c r="I7" s="165">
        <v>5.4299999999999994E-2</v>
      </c>
      <c r="J7" s="165">
        <v>4.6799999999999994E-2</v>
      </c>
      <c r="K7" s="165">
        <v>3.4300000000000004E-2</v>
      </c>
      <c r="L7" s="165">
        <v>3.0200000000000001E-2</v>
      </c>
      <c r="M7" s="165">
        <v>3.2500000000000001E-2</v>
      </c>
      <c r="N7" s="165">
        <v>3.4799999999999998E-2</v>
      </c>
    </row>
    <row r="8" spans="2:15">
      <c r="B8" s="161">
        <v>2009</v>
      </c>
      <c r="C8" s="165">
        <v>5.4800000000000001E-2</v>
      </c>
      <c r="D8" s="165">
        <v>4.8600000000000004E-2</v>
      </c>
      <c r="E8" s="165">
        <v>3.0600000000000002E-2</v>
      </c>
      <c r="F8" s="165">
        <v>1.9599999999999999E-2</v>
      </c>
      <c r="G8" s="165">
        <v>2.9100000000000001E-2</v>
      </c>
      <c r="H8" s="165">
        <v>2.4799999999999999E-2</v>
      </c>
      <c r="I8" s="165">
        <v>2.0099999999999996E-2</v>
      </c>
      <c r="J8" s="165">
        <v>2.8399999999999998E-2</v>
      </c>
      <c r="K8" s="165">
        <v>2.2099999999999998E-2</v>
      </c>
      <c r="L8" s="165">
        <v>3.0299999999999997E-2</v>
      </c>
      <c r="M8" s="165">
        <v>2.76E-2</v>
      </c>
      <c r="N8" s="165">
        <v>3.6000000000000004E-2</v>
      </c>
    </row>
    <row r="9" spans="2:15">
      <c r="B9" s="161">
        <v>2008</v>
      </c>
      <c r="C9" s="165">
        <v>4.2500000000000003E-2</v>
      </c>
      <c r="D9" s="165">
        <v>5.4400000000000004E-2</v>
      </c>
      <c r="E9" s="165">
        <v>5.8200000000000002E-2</v>
      </c>
      <c r="F9" s="165">
        <v>5.1399999999999994E-2</v>
      </c>
      <c r="G9" s="165">
        <v>3.6499999999999998E-2</v>
      </c>
      <c r="H9" s="165">
        <v>6.2300000000000001E-2</v>
      </c>
      <c r="I9" s="165">
        <v>6.2300000000000001E-2</v>
      </c>
      <c r="J9" s="165">
        <v>0.05</v>
      </c>
      <c r="K9" s="165">
        <v>5.2300000000000006E-2</v>
      </c>
      <c r="L9" s="165">
        <v>4.7100000000000003E-2</v>
      </c>
      <c r="M9" s="165">
        <v>5.3600000000000002E-2</v>
      </c>
      <c r="N9" s="165">
        <v>4.8300000000000003E-2</v>
      </c>
    </row>
    <row r="12" spans="2:15" ht="18.75">
      <c r="B12" s="316" t="s">
        <v>83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</row>
    <row r="13" spans="2:15">
      <c r="B13" s="162" t="s">
        <v>70</v>
      </c>
      <c r="C13" s="162" t="s">
        <v>71</v>
      </c>
      <c r="D13" s="162" t="s">
        <v>72</v>
      </c>
      <c r="E13" s="162" t="s">
        <v>73</v>
      </c>
      <c r="F13" s="162" t="s">
        <v>74</v>
      </c>
      <c r="G13" s="162" t="s">
        <v>75</v>
      </c>
      <c r="H13" s="162" t="s">
        <v>76</v>
      </c>
      <c r="I13" s="162" t="s">
        <v>77</v>
      </c>
      <c r="J13" s="162" t="s">
        <v>78</v>
      </c>
      <c r="K13" s="162" t="s">
        <v>79</v>
      </c>
      <c r="L13" s="162" t="s">
        <v>80</v>
      </c>
      <c r="M13" s="162" t="s">
        <v>81</v>
      </c>
      <c r="N13" s="162" t="s">
        <v>82</v>
      </c>
    </row>
    <row r="14" spans="2:15">
      <c r="B14" s="161">
        <v>2013</v>
      </c>
      <c r="C14" s="165">
        <v>4.999E-2</v>
      </c>
      <c r="D14" s="165">
        <v>4.8140000000000002E-2</v>
      </c>
      <c r="E14" s="165">
        <v>4.9259999999999998E-2</v>
      </c>
      <c r="F14" s="165">
        <v>5.8590000000000003E-2</v>
      </c>
      <c r="G14" s="165">
        <v>6.7589999999999997E-2</v>
      </c>
      <c r="H14" s="165">
        <v>7.0430000000000006E-2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</row>
    <row r="15" spans="2:15">
      <c r="B15" s="161">
        <v>2012</v>
      </c>
      <c r="C15" s="165">
        <v>4.2459999999999998E-2</v>
      </c>
      <c r="D15" s="165">
        <v>5.0619999999999998E-2</v>
      </c>
      <c r="E15" s="165">
        <v>6.2340000000000007E-2</v>
      </c>
      <c r="F15" s="165">
        <v>6.0719999999999996E-2</v>
      </c>
      <c r="G15" s="165">
        <v>5.6500000000000002E-2</v>
      </c>
      <c r="H15" s="165">
        <v>5.2549999999999999E-2</v>
      </c>
      <c r="I15" s="165">
        <v>3.3590000000000002E-2</v>
      </c>
      <c r="J15" s="165">
        <v>4.1779999999999998E-2</v>
      </c>
      <c r="K15" s="165">
        <v>4.7619999999999996E-2</v>
      </c>
      <c r="L15" s="165">
        <v>5.3810000000000004E-2</v>
      </c>
      <c r="M15" s="165">
        <v>5.4259999999999996E-2</v>
      </c>
      <c r="N15" s="165">
        <v>4.0640000000000003E-2</v>
      </c>
      <c r="O15" s="166">
        <f>AVERAGE(C14,D14,E14,F14,G14,H14,I15,J15,K15,L15,M15,N15)</f>
        <v>5.1308333333333324E-2</v>
      </c>
    </row>
    <row r="16" spans="2:15">
      <c r="B16" s="161">
        <v>2011</v>
      </c>
      <c r="C16" s="165">
        <v>3.7010000000000001E-2</v>
      </c>
      <c r="D16" s="165">
        <v>3.5180000000000003E-2</v>
      </c>
      <c r="E16" s="165">
        <v>3.6830000000000002E-2</v>
      </c>
      <c r="F16" s="165">
        <v>4.3889999999999998E-2</v>
      </c>
      <c r="G16" s="165">
        <v>5.0049999999999997E-2</v>
      </c>
      <c r="H16" s="165">
        <v>4.0479999999999995E-2</v>
      </c>
      <c r="I16" s="165">
        <v>3.1300000000000001E-2</v>
      </c>
      <c r="J16" s="165">
        <v>3.6569999999999998E-2</v>
      </c>
      <c r="K16" s="165">
        <v>3.8490000000000003E-2</v>
      </c>
      <c r="L16" s="165">
        <v>4.5399999999999996E-2</v>
      </c>
      <c r="M16" s="165">
        <v>4.3459999999999999E-2</v>
      </c>
      <c r="N16" s="165">
        <v>4.7149999999999997E-2</v>
      </c>
    </row>
    <row r="17" spans="2:14">
      <c r="B17" s="161">
        <v>2010</v>
      </c>
      <c r="C17" s="165">
        <v>2.7E-2</v>
      </c>
      <c r="D17" s="165">
        <v>2.5909999999999999E-2</v>
      </c>
      <c r="E17" s="165">
        <v>3.9070000000000001E-2</v>
      </c>
      <c r="F17" s="165">
        <v>3.56E-2</v>
      </c>
      <c r="G17" s="165">
        <v>2.4340000000000001E-2</v>
      </c>
      <c r="H17" s="165">
        <v>2.4660000000000001E-2</v>
      </c>
      <c r="I17" s="165">
        <v>7.4999999999999997E-3</v>
      </c>
      <c r="J17" s="165">
        <v>1.225E-2</v>
      </c>
      <c r="K17" s="165">
        <v>2.8420000000000001E-2</v>
      </c>
      <c r="L17" s="165">
        <v>4.0340000000000001E-2</v>
      </c>
      <c r="M17" s="165">
        <v>3.4140000000000004E-2</v>
      </c>
      <c r="N17" s="165">
        <v>3.227E-2</v>
      </c>
    </row>
    <row r="18" spans="2:14">
      <c r="B18" s="161">
        <v>2009</v>
      </c>
      <c r="C18" s="165">
        <v>1.2099999999999999E-3</v>
      </c>
      <c r="D18" s="165">
        <v>1.2829999999999999E-2</v>
      </c>
      <c r="E18" s="165">
        <v>2.7789999999999999E-2</v>
      </c>
      <c r="F18" s="165">
        <v>3.7960000000000001E-2</v>
      </c>
      <c r="G18" s="165">
        <v>3.1420000000000003E-2</v>
      </c>
      <c r="H18" s="165">
        <v>3.7740000000000003E-2</v>
      </c>
      <c r="I18" s="165">
        <v>4.172E-2</v>
      </c>
      <c r="J18" s="165">
        <v>3.7499999999999999E-2</v>
      </c>
      <c r="K18" s="165">
        <v>3.9799999999999995E-2</v>
      </c>
      <c r="L18" s="165">
        <v>3.449E-2</v>
      </c>
      <c r="M18" s="165">
        <v>4.079E-2</v>
      </c>
      <c r="N18" s="165">
        <v>3.1050000000000001E-2</v>
      </c>
    </row>
    <row r="19" spans="2:14">
      <c r="B19" s="161">
        <v>2008</v>
      </c>
      <c r="C19" s="165">
        <v>8.6899999999999998E-3</v>
      </c>
      <c r="D19" s="165">
        <v>3.4399999999999999E-3</v>
      </c>
      <c r="E19" s="165">
        <v>1.0200000000000001E-3</v>
      </c>
      <c r="F19" s="165">
        <v>5.7300000000000007E-3</v>
      </c>
      <c r="G19" s="165">
        <v>1.542E-2</v>
      </c>
      <c r="H19" s="165">
        <v>-1E-4</v>
      </c>
      <c r="I19" s="165">
        <v>3.2599999999999999E-3</v>
      </c>
      <c r="J19" s="165">
        <v>7.26E-3</v>
      </c>
      <c r="K19" s="165">
        <v>2.99E-3</v>
      </c>
      <c r="L19" s="165">
        <v>8.0399999999999985E-3</v>
      </c>
      <c r="M19" s="165">
        <v>4.9800000000000001E-3</v>
      </c>
      <c r="N19" s="165">
        <v>1.308E-2</v>
      </c>
    </row>
    <row r="25" spans="2:14" hidden="1">
      <c r="B25" s="161">
        <v>2013</v>
      </c>
      <c r="C25" s="161">
        <v>3.16</v>
      </c>
      <c r="D25" s="161">
        <v>2.93</v>
      </c>
      <c r="E25" s="161">
        <v>2.93</v>
      </c>
      <c r="F25" s="161">
        <v>2.83</v>
      </c>
      <c r="G25" s="161">
        <v>2.54</v>
      </c>
      <c r="H25" s="161">
        <v>2.38</v>
      </c>
      <c r="I25" s="161" t="s">
        <v>84</v>
      </c>
      <c r="J25" s="161" t="s">
        <v>84</v>
      </c>
      <c r="K25" s="161" t="s">
        <v>84</v>
      </c>
      <c r="L25" s="161" t="s">
        <v>84</v>
      </c>
      <c r="M25" s="161" t="s">
        <v>84</v>
      </c>
      <c r="N25" s="161" t="s">
        <v>84</v>
      </c>
    </row>
    <row r="26" spans="2:14" hidden="1">
      <c r="B26" s="161">
        <v>2012</v>
      </c>
      <c r="C26" s="161">
        <v>2.56</v>
      </c>
      <c r="D26" s="161">
        <v>2.23</v>
      </c>
      <c r="E26" s="161">
        <v>1.55</v>
      </c>
      <c r="F26" s="161">
        <v>1.72</v>
      </c>
      <c r="G26" s="161">
        <v>2.0099999999999998</v>
      </c>
      <c r="H26" s="161">
        <v>2.19</v>
      </c>
      <c r="I26" s="161">
        <v>3.37</v>
      </c>
      <c r="J26" s="161">
        <v>2.93</v>
      </c>
      <c r="K26" s="161">
        <v>2.61</v>
      </c>
      <c r="L26" s="161">
        <v>2.2400000000000002</v>
      </c>
      <c r="M26" s="161">
        <v>2.66</v>
      </c>
      <c r="N26" s="161">
        <v>2.5499999999999998</v>
      </c>
    </row>
    <row r="27" spans="2:14" hidden="1">
      <c r="B27" s="161">
        <v>2011</v>
      </c>
      <c r="C27" s="161">
        <v>3.3</v>
      </c>
      <c r="D27" s="161">
        <v>3.37</v>
      </c>
      <c r="E27" s="161">
        <v>3.16</v>
      </c>
      <c r="F27" s="161">
        <v>2.97</v>
      </c>
      <c r="G27" s="161">
        <v>2.59</v>
      </c>
      <c r="H27" s="161">
        <v>3.46</v>
      </c>
      <c r="I27" s="161">
        <v>3.71</v>
      </c>
      <c r="J27" s="161">
        <v>3.45</v>
      </c>
      <c r="K27" s="161">
        <v>3.19</v>
      </c>
      <c r="L27" s="161">
        <v>2.94</v>
      </c>
      <c r="M27" s="161">
        <v>2.88</v>
      </c>
      <c r="N27" s="161">
        <v>2.58</v>
      </c>
    </row>
    <row r="28" spans="2:14" hidden="1">
      <c r="B28" s="161">
        <v>2010</v>
      </c>
      <c r="C28" s="161">
        <v>3.83</v>
      </c>
      <c r="D28" s="161">
        <v>3.64</v>
      </c>
      <c r="E28" s="161">
        <v>2.88</v>
      </c>
      <c r="F28" s="161">
        <v>3.17</v>
      </c>
      <c r="G28" s="161">
        <v>4.04</v>
      </c>
      <c r="H28" s="161">
        <v>4.16</v>
      </c>
      <c r="I28" s="161">
        <v>5.43</v>
      </c>
      <c r="J28" s="161">
        <v>4.68</v>
      </c>
      <c r="K28" s="161">
        <v>3.43</v>
      </c>
      <c r="L28" s="161">
        <v>3.02</v>
      </c>
      <c r="M28" s="161">
        <v>3.25</v>
      </c>
      <c r="N28" s="161">
        <v>3.48</v>
      </c>
    </row>
    <row r="29" spans="2:14" hidden="1">
      <c r="B29" s="161">
        <v>2009</v>
      </c>
      <c r="C29" s="161">
        <v>5.48</v>
      </c>
      <c r="D29" s="161">
        <v>4.8600000000000003</v>
      </c>
      <c r="E29" s="161">
        <v>3.06</v>
      </c>
      <c r="F29" s="161">
        <v>1.96</v>
      </c>
      <c r="G29" s="161">
        <v>2.91</v>
      </c>
      <c r="H29" s="161">
        <v>2.48</v>
      </c>
      <c r="I29" s="161">
        <v>2.0099999999999998</v>
      </c>
      <c r="J29" s="161">
        <v>2.84</v>
      </c>
      <c r="K29" s="161">
        <v>2.21</v>
      </c>
      <c r="L29" s="161">
        <v>3.03</v>
      </c>
      <c r="M29" s="161">
        <v>2.76</v>
      </c>
      <c r="N29" s="161">
        <v>3.6</v>
      </c>
    </row>
    <row r="30" spans="2:14" hidden="1">
      <c r="B30" s="161">
        <v>2008</v>
      </c>
      <c r="C30" s="161">
        <v>4.25</v>
      </c>
      <c r="D30" s="161">
        <v>5.44</v>
      </c>
      <c r="E30" s="161">
        <v>5.82</v>
      </c>
      <c r="F30" s="161">
        <v>5.14</v>
      </c>
      <c r="G30" s="161">
        <v>3.65</v>
      </c>
      <c r="H30" s="161">
        <v>6.23</v>
      </c>
      <c r="I30" s="161">
        <v>6.23</v>
      </c>
      <c r="J30" s="161">
        <v>5</v>
      </c>
      <c r="K30" s="161">
        <v>5.23</v>
      </c>
      <c r="L30" s="161">
        <v>4.71</v>
      </c>
      <c r="M30" s="161">
        <v>5.36</v>
      </c>
      <c r="N30" s="161">
        <v>4.83</v>
      </c>
    </row>
    <row r="31" spans="2:14" hidden="1"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</row>
    <row r="32" spans="2:14" hidden="1"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</row>
    <row r="33" spans="2:14" hidden="1">
      <c r="B33" s="162" t="s">
        <v>70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</row>
    <row r="34" spans="2:14" hidden="1">
      <c r="B34" s="161">
        <v>2013</v>
      </c>
      <c r="C34" s="163">
        <v>49.99</v>
      </c>
      <c r="D34" s="163">
        <v>48.14</v>
      </c>
      <c r="E34" s="163">
        <v>49.26</v>
      </c>
      <c r="F34" s="163">
        <v>58.59</v>
      </c>
      <c r="G34" s="163">
        <v>67.59</v>
      </c>
      <c r="H34" s="163">
        <v>70.430000000000007</v>
      </c>
      <c r="I34" s="163"/>
      <c r="J34" s="161"/>
      <c r="K34" s="161"/>
      <c r="L34" s="161"/>
      <c r="M34" s="161"/>
      <c r="N34" s="161"/>
    </row>
    <row r="35" spans="2:14" hidden="1">
      <c r="B35" s="161">
        <v>2012</v>
      </c>
      <c r="C35" s="163">
        <v>42.46</v>
      </c>
      <c r="D35" s="163">
        <v>50.62</v>
      </c>
      <c r="E35" s="163">
        <v>62.34</v>
      </c>
      <c r="F35" s="163">
        <v>60.72</v>
      </c>
      <c r="G35" s="163">
        <v>56.5</v>
      </c>
      <c r="H35" s="163">
        <v>52.55</v>
      </c>
      <c r="I35" s="163">
        <v>33.590000000000003</v>
      </c>
      <c r="J35" s="163">
        <v>41.78</v>
      </c>
      <c r="K35" s="163">
        <v>47.62</v>
      </c>
      <c r="L35" s="163">
        <v>53.81</v>
      </c>
      <c r="M35" s="163">
        <v>54.26</v>
      </c>
      <c r="N35" s="163">
        <v>40.64</v>
      </c>
    </row>
    <row r="36" spans="2:14" hidden="1">
      <c r="B36" s="161">
        <v>2011</v>
      </c>
      <c r="C36" s="164">
        <v>37.01</v>
      </c>
      <c r="D36" s="164">
        <v>35.18</v>
      </c>
      <c r="E36" s="164">
        <v>36.83</v>
      </c>
      <c r="F36" s="164">
        <v>43.89</v>
      </c>
      <c r="G36" s="164">
        <v>50.05</v>
      </c>
      <c r="H36" s="164">
        <v>40.479999999999997</v>
      </c>
      <c r="I36" s="164">
        <v>-31.3</v>
      </c>
      <c r="J36" s="164">
        <v>-36.57</v>
      </c>
      <c r="K36" s="164">
        <v>-38.49</v>
      </c>
      <c r="L36" s="164">
        <v>-45.4</v>
      </c>
      <c r="M36" s="164">
        <v>-43.46</v>
      </c>
      <c r="N36" s="164">
        <v>-47.15</v>
      </c>
    </row>
    <row r="37" spans="2:14" hidden="1">
      <c r="B37" s="161">
        <v>2010</v>
      </c>
      <c r="C37" s="164">
        <v>-27</v>
      </c>
      <c r="D37" s="164">
        <v>-25.91</v>
      </c>
      <c r="E37" s="164">
        <v>-39.07</v>
      </c>
      <c r="F37" s="164">
        <v>-35.6</v>
      </c>
      <c r="G37" s="164">
        <v>-24.34</v>
      </c>
      <c r="H37" s="164">
        <v>-24.66</v>
      </c>
      <c r="I37" s="164">
        <v>-7.5</v>
      </c>
      <c r="J37" s="164">
        <v>-12.25</v>
      </c>
      <c r="K37" s="164">
        <v>-28.42</v>
      </c>
      <c r="L37" s="164">
        <v>-40.340000000000003</v>
      </c>
      <c r="M37" s="164">
        <v>-34.14</v>
      </c>
      <c r="N37" s="164">
        <v>-32.270000000000003</v>
      </c>
    </row>
    <row r="38" spans="2:14" hidden="1">
      <c r="B38" s="161">
        <v>2009</v>
      </c>
      <c r="C38" s="164">
        <v>-1.21</v>
      </c>
      <c r="D38" s="164">
        <v>-12.83</v>
      </c>
      <c r="E38" s="164">
        <v>-27.79</v>
      </c>
      <c r="F38" s="164">
        <v>-37.96</v>
      </c>
      <c r="G38" s="164">
        <v>-31.42</v>
      </c>
      <c r="H38" s="164">
        <v>-37.74</v>
      </c>
      <c r="I38" s="164">
        <v>-41.72</v>
      </c>
      <c r="J38" s="164">
        <v>-37.5</v>
      </c>
      <c r="K38" s="164">
        <v>-39.799999999999997</v>
      </c>
      <c r="L38" s="164">
        <v>-34.49</v>
      </c>
      <c r="M38" s="164">
        <v>-40.79</v>
      </c>
      <c r="N38" s="164">
        <v>-31.05</v>
      </c>
    </row>
    <row r="39" spans="2:14" hidden="1">
      <c r="B39" s="161">
        <v>2008</v>
      </c>
      <c r="C39" s="164">
        <v>-8.69</v>
      </c>
      <c r="D39" s="164">
        <v>-3.44</v>
      </c>
      <c r="E39" s="164">
        <v>-1.02</v>
      </c>
      <c r="F39" s="164">
        <v>-5.73</v>
      </c>
      <c r="G39" s="164">
        <v>-15.42</v>
      </c>
      <c r="H39" s="164">
        <v>0.1</v>
      </c>
      <c r="I39" s="164">
        <v>-3.26</v>
      </c>
      <c r="J39" s="164">
        <v>-7.26</v>
      </c>
      <c r="K39" s="164">
        <v>-2.99</v>
      </c>
      <c r="L39" s="164">
        <v>-8.0399999999999991</v>
      </c>
      <c r="M39" s="164">
        <v>-4.9800000000000004</v>
      </c>
      <c r="N39" s="164">
        <v>-13.08</v>
      </c>
    </row>
    <row r="40" spans="2:14" hidden="1"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</row>
    <row r="41" spans="2:14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</row>
  </sheetData>
  <mergeCells count="2">
    <mergeCell ref="B2:N2"/>
    <mergeCell ref="B12:N12"/>
  </mergeCells>
  <pageMargins left="0.7" right="0.7" top="0.75" bottom="0.75" header="0.3" footer="0.3"/>
  <pageSetup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7030A0"/>
  </sheetPr>
  <dimension ref="A2:N7"/>
  <sheetViews>
    <sheetView workbookViewId="0">
      <selection activeCell="G11" sqref="G11"/>
    </sheetView>
  </sheetViews>
  <sheetFormatPr defaultRowHeight="15"/>
  <cols>
    <col min="1" max="1" width="16.140625" style="171" customWidth="1"/>
    <col min="2" max="2" width="7.7109375" style="171" customWidth="1"/>
    <col min="3" max="3" width="8" style="171" customWidth="1"/>
    <col min="4" max="5" width="8.5703125" style="171" customWidth="1"/>
    <col min="6" max="10" width="8" style="171" bestFit="1" customWidth="1"/>
    <col min="11" max="11" width="8.28515625" style="171" customWidth="1"/>
    <col min="12" max="12" width="8.140625" style="171" customWidth="1"/>
    <col min="13" max="13" width="7.85546875" style="171" customWidth="1"/>
    <col min="14" max="14" width="10.85546875" style="180" customWidth="1"/>
    <col min="15" max="16384" width="9.140625" style="171"/>
  </cols>
  <sheetData>
    <row r="2" spans="1:14" ht="54" customHeight="1" thickBot="1">
      <c r="A2" s="171" t="s">
        <v>99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171"/>
    </row>
    <row r="3" spans="1:14" s="260" customFormat="1" ht="45">
      <c r="A3" s="251" t="s">
        <v>70</v>
      </c>
      <c r="B3" s="317">
        <v>2012</v>
      </c>
      <c r="C3" s="317"/>
      <c r="D3" s="317"/>
      <c r="E3" s="317"/>
      <c r="F3" s="317"/>
      <c r="G3" s="317"/>
      <c r="H3" s="317">
        <v>2013</v>
      </c>
      <c r="I3" s="317"/>
      <c r="J3" s="317"/>
      <c r="K3" s="317"/>
      <c r="L3" s="317"/>
      <c r="M3" s="317"/>
      <c r="N3" s="259" t="s">
        <v>100</v>
      </c>
    </row>
    <row r="4" spans="1:14">
      <c r="A4" s="252"/>
      <c r="B4" s="249" t="s">
        <v>77</v>
      </c>
      <c r="C4" s="249" t="s">
        <v>78</v>
      </c>
      <c r="D4" s="249" t="s">
        <v>79</v>
      </c>
      <c r="E4" s="249" t="s">
        <v>80</v>
      </c>
      <c r="F4" s="249" t="s">
        <v>81</v>
      </c>
      <c r="G4" s="249" t="s">
        <v>82</v>
      </c>
      <c r="H4" s="249" t="s">
        <v>71</v>
      </c>
      <c r="I4" s="249" t="s">
        <v>72</v>
      </c>
      <c r="J4" s="249" t="s">
        <v>73</v>
      </c>
      <c r="K4" s="249" t="s">
        <v>74</v>
      </c>
      <c r="L4" s="249" t="s">
        <v>75</v>
      </c>
      <c r="M4" s="249" t="s">
        <v>76</v>
      </c>
      <c r="N4" s="253"/>
    </row>
    <row r="5" spans="1:14" ht="36.75" customHeight="1">
      <c r="A5" s="254" t="s">
        <v>69</v>
      </c>
      <c r="B5" s="250">
        <v>3.3700000000000001E-2</v>
      </c>
      <c r="C5" s="250">
        <v>2.9300000000000003E-2</v>
      </c>
      <c r="D5" s="250">
        <v>2.6099999999999998E-2</v>
      </c>
      <c r="E5" s="250">
        <v>2.2400000000000003E-2</v>
      </c>
      <c r="F5" s="250">
        <v>2.6600000000000002E-2</v>
      </c>
      <c r="G5" s="250">
        <v>2.5499999999999998E-2</v>
      </c>
      <c r="H5" s="250">
        <v>3.1600000000000003E-2</v>
      </c>
      <c r="I5" s="250">
        <v>2.9300000000000003E-2</v>
      </c>
      <c r="J5" s="250">
        <v>2.9300000000000003E-2</v>
      </c>
      <c r="K5" s="250">
        <v>2.8300000000000002E-2</v>
      </c>
      <c r="L5" s="250">
        <v>2.5399999999999999E-2</v>
      </c>
      <c r="M5" s="250">
        <v>2.3799999999999998E-2</v>
      </c>
      <c r="N5" s="255">
        <f>AVERAGE(B5:M5)</f>
        <v>2.7608333333333328E-2</v>
      </c>
    </row>
    <row r="6" spans="1:14" ht="45">
      <c r="A6" s="254" t="s">
        <v>83</v>
      </c>
      <c r="B6" s="250">
        <v>3.3590000000000002E-2</v>
      </c>
      <c r="C6" s="250">
        <v>4.1779999999999998E-2</v>
      </c>
      <c r="D6" s="250">
        <v>4.7619999999999996E-2</v>
      </c>
      <c r="E6" s="250">
        <v>5.3810000000000004E-2</v>
      </c>
      <c r="F6" s="250">
        <v>5.4259999999999996E-2</v>
      </c>
      <c r="G6" s="250">
        <v>4.0640000000000003E-2</v>
      </c>
      <c r="H6" s="250">
        <v>4.999E-2</v>
      </c>
      <c r="I6" s="250">
        <v>4.8140000000000002E-2</v>
      </c>
      <c r="J6" s="250">
        <v>4.9259999999999998E-2</v>
      </c>
      <c r="K6" s="250">
        <v>5.8590000000000003E-2</v>
      </c>
      <c r="L6" s="250">
        <v>6.7589999999999997E-2</v>
      </c>
      <c r="M6" s="250">
        <v>7.0430000000000006E-2</v>
      </c>
      <c r="N6" s="255">
        <f>AVERAGE(B6:M6)</f>
        <v>5.1308333333333338E-2</v>
      </c>
    </row>
    <row r="7" spans="1:14" ht="15.75" thickBot="1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7" t="s">
        <v>98</v>
      </c>
      <c r="L7" s="257"/>
      <c r="M7" s="257"/>
      <c r="N7" s="258">
        <f>+N5+N6</f>
        <v>7.8916666666666663E-2</v>
      </c>
    </row>
  </sheetData>
  <mergeCells count="2">
    <mergeCell ref="B3:G3"/>
    <mergeCell ref="H3:M3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C63"/>
  <sheetViews>
    <sheetView showGridLines="0" zoomScale="85" zoomScaleNormal="85" workbookViewId="0">
      <selection sqref="A1:O64"/>
    </sheetView>
  </sheetViews>
  <sheetFormatPr defaultRowHeight="15"/>
  <cols>
    <col min="1" max="1" width="2.570312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4.7109375" style="65" customWidth="1"/>
    <col min="14" max="16384" width="9.140625" style="65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0.14000000000000001</v>
      </c>
      <c r="L8" s="58">
        <v>0.14000000000000001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0.41</v>
      </c>
      <c r="L9" s="143">
        <v>0.41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9.9600000000000009</v>
      </c>
      <c r="D10" s="59">
        <v>10.09</v>
      </c>
      <c r="E10" s="72"/>
      <c r="F10" s="72"/>
      <c r="K10" s="144">
        <f>SUM(K7:K9)</f>
        <v>0.56999999999999995</v>
      </c>
      <c r="L10" s="144">
        <f>SUM(L7:L9)</f>
        <v>0.55000000000000004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0.56999999999999995</v>
      </c>
      <c r="D11" s="51">
        <f>+L10</f>
        <v>0.55000000000000004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1.4500000000000001E-2</v>
      </c>
      <c r="D13" s="60">
        <v>1.47E-2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7.4999999999999997E-3</v>
      </c>
      <c r="D16" s="62">
        <v>7.6E-3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5.4999999999999997E-3</v>
      </c>
      <c r="D17" s="62">
        <v>5.4000000000000003E-3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87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500</v>
      </c>
      <c r="D25" s="161" t="s">
        <v>0</v>
      </c>
      <c r="E25" s="87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8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80"/>
      <c r="C27" s="23"/>
      <c r="D27" s="161"/>
      <c r="E27" s="8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87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9.9600000000000009</v>
      </c>
      <c r="D33" s="90">
        <v>1</v>
      </c>
      <c r="E33" s="120">
        <f>+C33*D33</f>
        <v>9.9600000000000009</v>
      </c>
      <c r="F33" s="91"/>
      <c r="G33" s="142">
        <f>+D10</f>
        <v>10.09</v>
      </c>
      <c r="H33" s="92">
        <v>1</v>
      </c>
      <c r="I33" s="189">
        <f>+G33*H33</f>
        <v>10.09</v>
      </c>
      <c r="J33" s="200"/>
      <c r="K33" s="190">
        <f>+I33-E33</f>
        <v>0.12999999999999901</v>
      </c>
      <c r="L33" s="133">
        <f>IF((E33)=0,"",(K33/E33))</f>
        <v>1.3052208835341264E-2</v>
      </c>
    </row>
    <row r="34" spans="2:15">
      <c r="B34" s="265" t="s">
        <v>12</v>
      </c>
      <c r="C34" s="110">
        <f>+C13</f>
        <v>1.4500000000000001E-2</v>
      </c>
      <c r="D34" s="93">
        <f>+$C$25</f>
        <v>500</v>
      </c>
      <c r="E34" s="120">
        <f>+C34*D34</f>
        <v>7.25</v>
      </c>
      <c r="F34" s="91"/>
      <c r="G34" s="110">
        <f>+D13</f>
        <v>1.47E-2</v>
      </c>
      <c r="H34" s="94">
        <f>+$C$25</f>
        <v>500</v>
      </c>
      <c r="I34" s="189">
        <f t="shared" ref="I34:I36" si="2">+G34*H34</f>
        <v>7.35</v>
      </c>
      <c r="J34" s="200"/>
      <c r="K34" s="190">
        <f t="shared" ref="K34:K37" si="3">+I34-E34</f>
        <v>9.9999999999999645E-2</v>
      </c>
      <c r="L34" s="133">
        <f t="shared" ref="L34:L41" si="4">IF((E34)=0,"",(K34/E34))</f>
        <v>1.3793103448275813E-2</v>
      </c>
    </row>
    <row r="35" spans="2:15">
      <c r="B35" s="266" t="s">
        <v>53</v>
      </c>
      <c r="C35" s="110">
        <f>+K10</f>
        <v>0.56999999999999995</v>
      </c>
      <c r="D35" s="90">
        <v>1</v>
      </c>
      <c r="E35" s="120">
        <f>+C35*D35</f>
        <v>0.56999999999999995</v>
      </c>
      <c r="F35" s="91"/>
      <c r="G35" s="110">
        <f>+L10</f>
        <v>0.55000000000000004</v>
      </c>
      <c r="H35" s="92">
        <v>1</v>
      </c>
      <c r="I35" s="189">
        <f t="shared" si="2"/>
        <v>0.55000000000000004</v>
      </c>
      <c r="J35" s="200"/>
      <c r="K35" s="190">
        <f t="shared" si="3"/>
        <v>-1.9999999999999907E-2</v>
      </c>
      <c r="L35" s="133">
        <f t="shared" si="4"/>
        <v>-3.5087719298245452E-2</v>
      </c>
    </row>
    <row r="36" spans="2:15">
      <c r="B36" s="267" t="s">
        <v>54</v>
      </c>
      <c r="C36" s="111">
        <v>0</v>
      </c>
      <c r="D36" s="93">
        <f>+$C$25</f>
        <v>500</v>
      </c>
      <c r="E36" s="121">
        <v>0</v>
      </c>
      <c r="F36" s="91"/>
      <c r="G36" s="111">
        <v>0</v>
      </c>
      <c r="H36" s="94">
        <f>+$C$25</f>
        <v>500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17.78</v>
      </c>
      <c r="F37" s="150"/>
      <c r="G37" s="147"/>
      <c r="H37" s="100"/>
      <c r="I37" s="201">
        <f>SUM(I33:I36)</f>
        <v>17.989999999999998</v>
      </c>
      <c r="J37" s="202"/>
      <c r="K37" s="197">
        <f t="shared" si="3"/>
        <v>0.2099999999999973</v>
      </c>
      <c r="L37" s="153">
        <f t="shared" si="4"/>
        <v>1.1811023622047091E-2</v>
      </c>
    </row>
    <row r="38" spans="2:15">
      <c r="B38" s="268" t="s">
        <v>56</v>
      </c>
      <c r="C38" s="156">
        <f>+C7*H25+C8*H26+C9*H27</f>
        <v>8.3919999999999995E-2</v>
      </c>
      <c r="D38" s="95">
        <f>+C25*(C26-1)</f>
        <v>17.449999999999967</v>
      </c>
      <c r="E38" s="120">
        <f>+C38*D38</f>
        <v>1.4644039999999972</v>
      </c>
      <c r="F38" s="91"/>
      <c r="G38" s="216">
        <f>+D7*H25+D8*H26+D9*H27</f>
        <v>8.3919999999999995E-2</v>
      </c>
      <c r="H38" s="95">
        <f>+C25*(C26-1)</f>
        <v>17.449999999999967</v>
      </c>
      <c r="I38" s="189">
        <f>+G38*H38</f>
        <v>1.4644039999999972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500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500</v>
      </c>
      <c r="I39" s="189">
        <f t="shared" ref="I39:I41" si="6">+G39*H39</f>
        <v>-0.65</v>
      </c>
      <c r="J39" s="200"/>
      <c r="K39" s="190">
        <f t="shared" ref="K39:K41" si="7">+I39-E39</f>
        <v>-0.65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500</v>
      </c>
      <c r="E40" s="120">
        <v>0</v>
      </c>
      <c r="F40" s="91"/>
      <c r="G40" s="110"/>
      <c r="H40" s="94">
        <f t="shared" si="5"/>
        <v>500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20.034403999999999</v>
      </c>
      <c r="F42" s="91"/>
      <c r="G42" s="96"/>
      <c r="H42" s="97"/>
      <c r="I42" s="203">
        <f>SUM(I37:I41)</f>
        <v>19.594403999999997</v>
      </c>
      <c r="J42" s="200"/>
      <c r="K42" s="198">
        <f>+I42-E42</f>
        <v>-0.44000000000000128</v>
      </c>
      <c r="L42" s="145">
        <f>IF((E42)=0,"",(K42/E42))</f>
        <v>-2.196222058814434E-2</v>
      </c>
      <c r="O42" s="144"/>
    </row>
    <row r="43" spans="2:15">
      <c r="B43" s="270" t="s">
        <v>60</v>
      </c>
      <c r="C43" s="110">
        <f>+C16</f>
        <v>7.4999999999999997E-3</v>
      </c>
      <c r="D43" s="98">
        <f>+$C$25*$C$26</f>
        <v>517.44999999999993</v>
      </c>
      <c r="E43" s="120">
        <f>+C43*D43</f>
        <v>3.8808749999999992</v>
      </c>
      <c r="F43" s="91"/>
      <c r="G43" s="110">
        <f>+D16</f>
        <v>7.6E-3</v>
      </c>
      <c r="H43" s="99">
        <f>+$C$25*$C$26</f>
        <v>517.44999999999993</v>
      </c>
      <c r="I43" s="189">
        <f>+G43*H43</f>
        <v>3.9326199999999996</v>
      </c>
      <c r="J43" s="200"/>
      <c r="K43" s="190">
        <f t="shared" ref="K43:K44" si="8">+I43-E43</f>
        <v>5.1745000000000374E-2</v>
      </c>
      <c r="L43" s="133">
        <f t="shared" ref="L43:L44" si="9">IF((E43)=0,"",(K43/E43))</f>
        <v>1.3333333333333433E-2</v>
      </c>
    </row>
    <row r="44" spans="2:15" ht="30" customHeight="1">
      <c r="B44" s="271" t="s">
        <v>61</v>
      </c>
      <c r="C44" s="110">
        <f>+C17</f>
        <v>5.4999999999999997E-3</v>
      </c>
      <c r="D44" s="98">
        <f>+$C$25*$C$26</f>
        <v>517.44999999999993</v>
      </c>
      <c r="E44" s="120">
        <f>+C44*D44</f>
        <v>2.8459749999999993</v>
      </c>
      <c r="F44" s="91"/>
      <c r="G44" s="110">
        <v>5.4000000000000003E-3</v>
      </c>
      <c r="H44" s="99">
        <f>+$C$25*$C$26</f>
        <v>517.44999999999993</v>
      </c>
      <c r="I44" s="189">
        <f>+G44*H44</f>
        <v>2.7942299999999998</v>
      </c>
      <c r="J44" s="200"/>
      <c r="K44" s="190">
        <f t="shared" si="8"/>
        <v>-5.1744999999999486E-2</v>
      </c>
      <c r="L44" s="133">
        <f t="shared" si="9"/>
        <v>-1.8181818181818007E-2</v>
      </c>
    </row>
    <row r="45" spans="2:15">
      <c r="B45" s="119" t="s">
        <v>62</v>
      </c>
      <c r="C45" s="96"/>
      <c r="D45" s="96"/>
      <c r="E45" s="122">
        <f>SUM(E42:E44)</f>
        <v>26.761253999999997</v>
      </c>
      <c r="F45" s="91"/>
      <c r="G45" s="100"/>
      <c r="H45" s="101"/>
      <c r="I45" s="203">
        <f>SUM(I42:I44)</f>
        <v>26.321253999999996</v>
      </c>
      <c r="J45" s="200"/>
      <c r="K45" s="198">
        <f>+I45-E45</f>
        <v>-0.44000000000000128</v>
      </c>
      <c r="L45" s="145">
        <f>IF((E45)=0,"",(K45/E45))</f>
        <v>-1.6441680946640294E-2</v>
      </c>
    </row>
    <row r="46" spans="2:15">
      <c r="B46" s="272" t="s">
        <v>63</v>
      </c>
      <c r="C46" s="112">
        <f>+C18</f>
        <v>4.4000000000000003E-3</v>
      </c>
      <c r="D46" s="98">
        <f>+$C$25*$C$26</f>
        <v>517.44999999999993</v>
      </c>
      <c r="E46" s="123">
        <f>+C46*D46</f>
        <v>2.27678</v>
      </c>
      <c r="F46" s="91"/>
      <c r="G46" s="112">
        <f>+D18</f>
        <v>4.4000000000000003E-3</v>
      </c>
      <c r="H46" s="99">
        <f>+$C$25*$C$26</f>
        <v>517.44999999999993</v>
      </c>
      <c r="I46" s="204">
        <f>+G46*H46</f>
        <v>2.27678</v>
      </c>
      <c r="J46" s="200"/>
      <c r="K46" s="190">
        <f t="shared" ref="K46:K52" si="10">+I46-E46</f>
        <v>0</v>
      </c>
      <c r="L46" s="133">
        <f t="shared" ref="L46:L52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>+$C$25*$C$26</f>
        <v>517.44999999999993</v>
      </c>
      <c r="E47" s="123">
        <f t="shared" ref="E47:E52" si="13">+C47*D47</f>
        <v>0.62093999999999983</v>
      </c>
      <c r="F47" s="91"/>
      <c r="G47" s="112">
        <f t="shared" ref="G47:G49" si="14">+D19</f>
        <v>1.1999999999999999E-3</v>
      </c>
      <c r="H47" s="99">
        <f>+$C$25*$C$26</f>
        <v>517.44999999999993</v>
      </c>
      <c r="I47" s="204">
        <f t="shared" ref="I47:I52" si="15">+G47*H47</f>
        <v>0.62093999999999983</v>
      </c>
      <c r="J47" s="200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23">
        <f t="shared" si="13"/>
        <v>0.25</v>
      </c>
      <c r="F48" s="91"/>
      <c r="G48" s="112">
        <f t="shared" si="14"/>
        <v>0.25</v>
      </c>
      <c r="H48" s="99">
        <v>1</v>
      </c>
      <c r="I48" s="204">
        <f t="shared" si="15"/>
        <v>0.25</v>
      </c>
      <c r="J48" s="200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500</v>
      </c>
      <c r="E49" s="123">
        <f t="shared" si="13"/>
        <v>3.5</v>
      </c>
      <c r="F49" s="91"/>
      <c r="G49" s="112">
        <f t="shared" si="14"/>
        <v>7.0000000000000001E-3</v>
      </c>
      <c r="H49" s="99">
        <f>+$C$25</f>
        <v>500</v>
      </c>
      <c r="I49" s="204">
        <f t="shared" si="15"/>
        <v>3.5</v>
      </c>
      <c r="J49" s="200"/>
      <c r="K49" s="190">
        <f t="shared" si="10"/>
        <v>0</v>
      </c>
      <c r="L49" s="133">
        <f t="shared" si="11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320</v>
      </c>
      <c r="E50" s="123">
        <f t="shared" si="13"/>
        <v>21.44</v>
      </c>
      <c r="F50" s="91"/>
      <c r="G50" s="102">
        <f>+$C$7</f>
        <v>6.7000000000000004E-2</v>
      </c>
      <c r="H50" s="98">
        <f>+$C$25*H25</f>
        <v>320</v>
      </c>
      <c r="I50" s="204">
        <f t="shared" si="15"/>
        <v>21.44</v>
      </c>
      <c r="J50" s="200"/>
      <c r="K50" s="190">
        <f t="shared" si="10"/>
        <v>0</v>
      </c>
      <c r="L50" s="133">
        <f t="shared" si="11"/>
        <v>0</v>
      </c>
    </row>
    <row r="51" spans="2:12">
      <c r="B51" s="269" t="s">
        <v>9</v>
      </c>
      <c r="C51" s="102">
        <f>+$C$8</f>
        <v>0.104</v>
      </c>
      <c r="D51" s="98">
        <f t="shared" ref="D51:D52" si="16">+$C$25*H26</f>
        <v>90</v>
      </c>
      <c r="E51" s="123">
        <f t="shared" si="13"/>
        <v>9.36</v>
      </c>
      <c r="F51" s="91"/>
      <c r="G51" s="102">
        <f>+$C$8</f>
        <v>0.104</v>
      </c>
      <c r="H51" s="98">
        <f>+$C$25*H26</f>
        <v>90</v>
      </c>
      <c r="I51" s="204">
        <f t="shared" si="15"/>
        <v>9.36</v>
      </c>
      <c r="J51" s="200"/>
      <c r="K51" s="190">
        <f t="shared" si="10"/>
        <v>0</v>
      </c>
      <c r="L51" s="133">
        <f t="shared" si="11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6"/>
        <v>90</v>
      </c>
      <c r="E52" s="123">
        <f t="shared" si="13"/>
        <v>11.16</v>
      </c>
      <c r="F52" s="91"/>
      <c r="G52" s="102">
        <f>+$C$9</f>
        <v>0.124</v>
      </c>
      <c r="H52" s="98">
        <f>+$C$25*H27</f>
        <v>90</v>
      </c>
      <c r="I52" s="204">
        <f t="shared" si="15"/>
        <v>11.16</v>
      </c>
      <c r="J52" s="200"/>
      <c r="K52" s="190">
        <f t="shared" si="10"/>
        <v>0</v>
      </c>
      <c r="L52" s="133">
        <f t="shared" si="11"/>
        <v>0</v>
      </c>
    </row>
    <row r="53" spans="2:12" s="161" customFormat="1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75.368973999999994</v>
      </c>
      <c r="F54" s="136"/>
      <c r="G54" s="137"/>
      <c r="H54" s="137"/>
      <c r="I54" s="207">
        <f>SUM(I45:I52)</f>
        <v>74.928973999999997</v>
      </c>
      <c r="J54" s="208"/>
      <c r="K54" s="194">
        <f>+I54-E54</f>
        <v>-0.43999999999999773</v>
      </c>
      <c r="L54" s="154">
        <f t="shared" ref="L54:L56" si="17">IF((E54)=0,"",(K54/E54))</f>
        <v>-5.8379459961866772E-3</v>
      </c>
    </row>
    <row r="55" spans="2:12">
      <c r="B55" s="276" t="s">
        <v>19</v>
      </c>
      <c r="C55" s="134">
        <v>0.13</v>
      </c>
      <c r="D55" s="138"/>
      <c r="E55" s="126">
        <f>+E54*C55</f>
        <v>9.7979666200000004</v>
      </c>
      <c r="F55" s="90"/>
      <c r="G55" s="134">
        <v>0.13</v>
      </c>
      <c r="H55" s="90"/>
      <c r="I55" s="209">
        <f>+I54*G55</f>
        <v>9.7407666200000005</v>
      </c>
      <c r="J55" s="210"/>
      <c r="K55" s="195">
        <f t="shared" ref="K55:K58" si="18">+I55-E55</f>
        <v>-5.7199999999999918E-2</v>
      </c>
      <c r="L55" s="146">
        <f t="shared" si="17"/>
        <v>-5.837945996186698E-3</v>
      </c>
    </row>
    <row r="56" spans="2:12">
      <c r="B56" s="277" t="s">
        <v>67</v>
      </c>
      <c r="C56" s="90"/>
      <c r="D56" s="138"/>
      <c r="E56" s="126">
        <f>SUM(E54:E55)</f>
        <v>85.166940619999991</v>
      </c>
      <c r="F56" s="90"/>
      <c r="G56" s="90"/>
      <c r="H56" s="90"/>
      <c r="I56" s="209">
        <f>SUM(I54:I55)</f>
        <v>84.669740619999999</v>
      </c>
      <c r="J56" s="210"/>
      <c r="K56" s="195">
        <f t="shared" si="18"/>
        <v>-0.49719999999999231</v>
      </c>
      <c r="L56" s="146">
        <f t="shared" si="17"/>
        <v>-5.8379459961866173E-3</v>
      </c>
    </row>
    <row r="57" spans="2:12">
      <c r="B57" s="278" t="s">
        <v>68</v>
      </c>
      <c r="C57" s="90"/>
      <c r="D57" s="138"/>
      <c r="E57" s="214">
        <f>-E56*0.1</f>
        <v>-8.5166940619999991</v>
      </c>
      <c r="F57" s="90"/>
      <c r="G57" s="90"/>
      <c r="H57" s="90"/>
      <c r="I57" s="211">
        <f>-I56*0.1</f>
        <v>-8.4669740620000002</v>
      </c>
      <c r="J57" s="210"/>
      <c r="K57" s="199">
        <f t="shared" si="18"/>
        <v>4.9719999999998876E-2</v>
      </c>
      <c r="L57" s="146">
        <f>IF((E57)=0,"",(K57/E57))</f>
        <v>-5.8379459961865757E-3</v>
      </c>
    </row>
    <row r="58" spans="2:12" ht="15.75" thickBot="1">
      <c r="B58" s="279" t="s">
        <v>20</v>
      </c>
      <c r="C58" s="139"/>
      <c r="D58" s="140"/>
      <c r="E58" s="128">
        <f>SUM(E56:E57)</f>
        <v>76.650246557999992</v>
      </c>
      <c r="F58" s="141"/>
      <c r="G58" s="141"/>
      <c r="H58" s="141"/>
      <c r="I58" s="212">
        <f>SUM(I56:I57)</f>
        <v>76.202766557999993</v>
      </c>
      <c r="J58" s="213"/>
      <c r="K58" s="196">
        <f t="shared" si="18"/>
        <v>-0.44747999999999877</v>
      </c>
      <c r="L58" s="155">
        <f>IF((E58)=0,"",(K58/E58))</f>
        <v>-5.8379459961866911E-3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1" spans="2:12">
      <c r="E61" s="144"/>
      <c r="I61" s="144"/>
    </row>
    <row r="62" spans="2:12">
      <c r="E62" s="144"/>
      <c r="I62" s="144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0" orientation="portrait" r:id="rId1"/>
  <ignoredErrors>
    <ignoredError sqref="C33:K44 C58:K58 C57:D57 J57:K57 F57:H57 C46:K56 C45:D45 F45:H45 J45:K45" unlockedFormula="1"/>
    <ignoredError sqref="I57 E57 E45 I45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3"/>
  <sheetViews>
    <sheetView showGridLines="0" zoomScale="85" zoomScaleNormal="85" workbookViewId="0">
      <selection sqref="A1:L64"/>
    </sheetView>
  </sheetViews>
  <sheetFormatPr defaultRowHeight="15"/>
  <cols>
    <col min="1" max="1" width="3.710937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3.7109375" style="65" customWidth="1"/>
    <col min="14" max="16384" width="9.140625" style="65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0.14000000000000001</v>
      </c>
      <c r="L8" s="58">
        <v>0.14000000000000001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0.41</v>
      </c>
      <c r="L9" s="143">
        <v>0.41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9.9600000000000009</v>
      </c>
      <c r="D10" s="59">
        <v>10.09</v>
      </c>
      <c r="E10" s="72"/>
      <c r="F10" s="72"/>
      <c r="K10" s="144">
        <f>SUM(K7:K9)</f>
        <v>0.56999999999999995</v>
      </c>
      <c r="L10" s="144">
        <f>SUM(L7:L9)</f>
        <v>0.55000000000000004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0.56999999999999995</v>
      </c>
      <c r="D11" s="51">
        <f>+L10</f>
        <v>0.55000000000000004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1.4500000000000001E-2</v>
      </c>
      <c r="D13" s="60">
        <v>1.47E-2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7.4999999999999997E-3</v>
      </c>
      <c r="D16" s="62">
        <v>7.6E-3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5.4999999999999997E-3</v>
      </c>
      <c r="D17" s="62">
        <v>5.4000000000000003E-3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87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800</v>
      </c>
      <c r="D25" s="161" t="s">
        <v>0</v>
      </c>
      <c r="E25" s="87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8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80"/>
      <c r="C27" s="23"/>
      <c r="D27" s="161"/>
      <c r="E27" s="8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87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9.9600000000000009</v>
      </c>
      <c r="D33" s="90">
        <v>1</v>
      </c>
      <c r="E33" s="120">
        <f>+C33*D33</f>
        <v>9.9600000000000009</v>
      </c>
      <c r="F33" s="91"/>
      <c r="G33" s="142">
        <f>+D10</f>
        <v>10.09</v>
      </c>
      <c r="H33" s="92">
        <v>1</v>
      </c>
      <c r="I33" s="189">
        <f>+G33*H33</f>
        <v>10.09</v>
      </c>
      <c r="J33" s="200"/>
      <c r="K33" s="190">
        <f>+I33-E33</f>
        <v>0.12999999999999901</v>
      </c>
      <c r="L33" s="133">
        <f>IF((E33)=0,"",(K33/E33))</f>
        <v>1.3052208835341264E-2</v>
      </c>
    </row>
    <row r="34" spans="2:15">
      <c r="B34" s="265" t="s">
        <v>12</v>
      </c>
      <c r="C34" s="110">
        <f>+C13</f>
        <v>1.4500000000000001E-2</v>
      </c>
      <c r="D34" s="93">
        <f>+$C$25</f>
        <v>800</v>
      </c>
      <c r="E34" s="120">
        <f>+C34*D34</f>
        <v>11.600000000000001</v>
      </c>
      <c r="F34" s="91"/>
      <c r="G34" s="110">
        <f>+D13</f>
        <v>1.47E-2</v>
      </c>
      <c r="H34" s="94">
        <f>+$C$25</f>
        <v>800</v>
      </c>
      <c r="I34" s="189">
        <f t="shared" ref="I34:I36" si="2">+G34*H34</f>
        <v>11.76</v>
      </c>
      <c r="J34" s="200"/>
      <c r="K34" s="190">
        <f t="shared" ref="K34:K37" si="3">+I34-E34</f>
        <v>0.15999999999999837</v>
      </c>
      <c r="L34" s="133">
        <f t="shared" ref="L34:L41" si="4">IF((E34)=0,"",(K34/E34))</f>
        <v>1.379310344827572E-2</v>
      </c>
    </row>
    <row r="35" spans="2:15">
      <c r="B35" s="266" t="s">
        <v>53</v>
      </c>
      <c r="C35" s="110">
        <f>+K10</f>
        <v>0.56999999999999995</v>
      </c>
      <c r="D35" s="90">
        <v>1</v>
      </c>
      <c r="E35" s="120">
        <f>+C35*D35</f>
        <v>0.56999999999999995</v>
      </c>
      <c r="F35" s="91"/>
      <c r="G35" s="110">
        <f>+L10</f>
        <v>0.55000000000000004</v>
      </c>
      <c r="H35" s="92">
        <v>1</v>
      </c>
      <c r="I35" s="189">
        <f t="shared" si="2"/>
        <v>0.55000000000000004</v>
      </c>
      <c r="J35" s="200"/>
      <c r="K35" s="190">
        <f t="shared" si="3"/>
        <v>-1.9999999999999907E-2</v>
      </c>
      <c r="L35" s="133">
        <f t="shared" si="4"/>
        <v>-3.5087719298245452E-2</v>
      </c>
    </row>
    <row r="36" spans="2:15">
      <c r="B36" s="267" t="s">
        <v>54</v>
      </c>
      <c r="C36" s="111">
        <v>0</v>
      </c>
      <c r="D36" s="93">
        <f>+$C$25</f>
        <v>800</v>
      </c>
      <c r="E36" s="121">
        <v>0</v>
      </c>
      <c r="F36" s="91"/>
      <c r="G36" s="111">
        <v>0</v>
      </c>
      <c r="H36" s="94">
        <f>+$C$25</f>
        <v>800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22.130000000000003</v>
      </c>
      <c r="F37" s="150"/>
      <c r="G37" s="147"/>
      <c r="H37" s="100"/>
      <c r="I37" s="201">
        <f>SUM(I33:I36)</f>
        <v>22.400000000000002</v>
      </c>
      <c r="J37" s="202"/>
      <c r="K37" s="197">
        <f t="shared" si="3"/>
        <v>0.26999999999999957</v>
      </c>
      <c r="L37" s="153">
        <f t="shared" si="4"/>
        <v>1.220063262539537E-2</v>
      </c>
    </row>
    <row r="38" spans="2:15">
      <c r="B38" s="268" t="s">
        <v>56</v>
      </c>
      <c r="C38" s="156">
        <f>+C7*H25+C8*H26+C9*H27</f>
        <v>8.3919999999999995E-2</v>
      </c>
      <c r="D38" s="95">
        <f>+C25*(C26-1)</f>
        <v>27.919999999999945</v>
      </c>
      <c r="E38" s="120">
        <f>+C38*D38</f>
        <v>2.3430463999999951</v>
      </c>
      <c r="F38" s="91"/>
      <c r="G38" s="216">
        <f>+D7*H25+D8*H26+D9*H27</f>
        <v>8.3919999999999995E-2</v>
      </c>
      <c r="H38" s="95">
        <f>+C25*(C26-1)</f>
        <v>27.919999999999945</v>
      </c>
      <c r="I38" s="189">
        <f>+G38*H38</f>
        <v>2.3430463999999951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800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800</v>
      </c>
      <c r="I39" s="189">
        <f t="shared" ref="I39:I41" si="6">+G39*H39</f>
        <v>-1.04</v>
      </c>
      <c r="J39" s="200"/>
      <c r="K39" s="190">
        <f t="shared" ref="K39:K41" si="7">+I39-E39</f>
        <v>-1.04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800</v>
      </c>
      <c r="E40" s="120">
        <v>0</v>
      </c>
      <c r="F40" s="91"/>
      <c r="G40" s="110"/>
      <c r="H40" s="94">
        <f t="shared" si="5"/>
        <v>800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25.263046399999997</v>
      </c>
      <c r="F42" s="91"/>
      <c r="G42" s="96"/>
      <c r="H42" s="97"/>
      <c r="I42" s="203">
        <f>SUM(I37:I41)</f>
        <v>24.493046399999997</v>
      </c>
      <c r="J42" s="200"/>
      <c r="K42" s="198">
        <f>+I42-E42</f>
        <v>-0.76999999999999957</v>
      </c>
      <c r="L42" s="145">
        <f>IF((E42)=0,"",(K42/E42))</f>
        <v>-3.0479301181982537E-2</v>
      </c>
      <c r="O42" s="144"/>
    </row>
    <row r="43" spans="2:15">
      <c r="B43" s="270" t="s">
        <v>60</v>
      </c>
      <c r="C43" s="110">
        <f>+C16</f>
        <v>7.4999999999999997E-3</v>
      </c>
      <c r="D43" s="98">
        <f>+$C$25*$C$26</f>
        <v>827.92</v>
      </c>
      <c r="E43" s="120">
        <f>+C43*D43</f>
        <v>6.2093999999999996</v>
      </c>
      <c r="F43" s="91"/>
      <c r="G43" s="110">
        <f>+D16</f>
        <v>7.6E-3</v>
      </c>
      <c r="H43" s="99">
        <f>+$C$25*$C$26</f>
        <v>827.92</v>
      </c>
      <c r="I43" s="189">
        <f>+G43*H43</f>
        <v>6.292192</v>
      </c>
      <c r="J43" s="200"/>
      <c r="K43" s="190">
        <f t="shared" ref="K43:K44" si="8">+I43-E43</f>
        <v>8.2792000000000421E-2</v>
      </c>
      <c r="L43" s="133">
        <f t="shared" ref="L43:L44" si="9">IF((E43)=0,"",(K43/E43))</f>
        <v>1.3333333333333402E-2</v>
      </c>
    </row>
    <row r="44" spans="2:15" ht="30" customHeight="1">
      <c r="B44" s="271" t="s">
        <v>61</v>
      </c>
      <c r="C44" s="110">
        <f>+C17</f>
        <v>5.4999999999999997E-3</v>
      </c>
      <c r="D44" s="98">
        <f>+$C$25*$C$26</f>
        <v>827.92</v>
      </c>
      <c r="E44" s="120">
        <f>+C44*D44</f>
        <v>4.5535599999999992</v>
      </c>
      <c r="F44" s="91"/>
      <c r="G44" s="110">
        <v>5.4000000000000003E-3</v>
      </c>
      <c r="H44" s="99">
        <f>+$C$25*$C$26</f>
        <v>827.92</v>
      </c>
      <c r="I44" s="189">
        <f>+G44*H44</f>
        <v>4.4707679999999996</v>
      </c>
      <c r="J44" s="200"/>
      <c r="K44" s="190">
        <f t="shared" si="8"/>
        <v>-8.2791999999999533E-2</v>
      </c>
      <c r="L44" s="133">
        <f t="shared" si="9"/>
        <v>-1.8181818181818084E-2</v>
      </c>
    </row>
    <row r="45" spans="2:15">
      <c r="B45" s="119" t="s">
        <v>62</v>
      </c>
      <c r="C45" s="96"/>
      <c r="D45" s="96"/>
      <c r="E45" s="122">
        <f>SUM(E42:E44)</f>
        <v>36.026006399999993</v>
      </c>
      <c r="F45" s="91"/>
      <c r="G45" s="100"/>
      <c r="H45" s="101"/>
      <c r="I45" s="203">
        <f>SUM(I42:I44)</f>
        <v>35.256006399999997</v>
      </c>
      <c r="J45" s="200"/>
      <c r="K45" s="198">
        <f>+I45-E45</f>
        <v>-0.76999999999999602</v>
      </c>
      <c r="L45" s="145">
        <f>IF((E45)=0,"",(K45/E45))</f>
        <v>-2.1373448709541009E-2</v>
      </c>
    </row>
    <row r="46" spans="2:15">
      <c r="B46" s="272" t="s">
        <v>63</v>
      </c>
      <c r="C46" s="112">
        <f>+C18</f>
        <v>4.4000000000000003E-3</v>
      </c>
      <c r="D46" s="98">
        <f>+$C$25*$C$26</f>
        <v>827.92</v>
      </c>
      <c r="E46" s="123">
        <f>+C46*D46</f>
        <v>3.6428479999999999</v>
      </c>
      <c r="F46" s="91"/>
      <c r="G46" s="112">
        <f>+D18</f>
        <v>4.4000000000000003E-3</v>
      </c>
      <c r="H46" s="99">
        <f>+$C$25*$C$26</f>
        <v>827.92</v>
      </c>
      <c r="I46" s="204">
        <f>+G46*H46</f>
        <v>3.6428479999999999</v>
      </c>
      <c r="J46" s="200"/>
      <c r="K46" s="190">
        <f t="shared" ref="K46:K52" si="10">+I46-E46</f>
        <v>0</v>
      </c>
      <c r="L46" s="133">
        <f t="shared" ref="L46:L52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>+$C$25*$C$26</f>
        <v>827.92</v>
      </c>
      <c r="E47" s="123">
        <f t="shared" ref="E47:E52" si="13">+C47*D47</f>
        <v>0.99350399999999983</v>
      </c>
      <c r="F47" s="91"/>
      <c r="G47" s="112">
        <f t="shared" ref="G47:G49" si="14">+D19</f>
        <v>1.1999999999999999E-3</v>
      </c>
      <c r="H47" s="99">
        <f>+$C$25*$C$26</f>
        <v>827.92</v>
      </c>
      <c r="I47" s="204">
        <f t="shared" ref="I47:I52" si="15">+G47*H47</f>
        <v>0.99350399999999983</v>
      </c>
      <c r="J47" s="200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23">
        <f t="shared" si="13"/>
        <v>0.25</v>
      </c>
      <c r="F48" s="91"/>
      <c r="G48" s="112">
        <f t="shared" si="14"/>
        <v>0.25</v>
      </c>
      <c r="H48" s="99">
        <v>1</v>
      </c>
      <c r="I48" s="204">
        <f t="shared" si="15"/>
        <v>0.25</v>
      </c>
      <c r="J48" s="200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800</v>
      </c>
      <c r="E49" s="123">
        <f t="shared" si="13"/>
        <v>5.6000000000000005</v>
      </c>
      <c r="F49" s="91"/>
      <c r="G49" s="112">
        <f t="shared" si="14"/>
        <v>7.0000000000000001E-3</v>
      </c>
      <c r="H49" s="99">
        <f>+$C$25</f>
        <v>800</v>
      </c>
      <c r="I49" s="204">
        <f t="shared" si="15"/>
        <v>5.6000000000000005</v>
      </c>
      <c r="J49" s="200"/>
      <c r="K49" s="190">
        <f t="shared" si="10"/>
        <v>0</v>
      </c>
      <c r="L49" s="133">
        <f t="shared" si="11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512</v>
      </c>
      <c r="E50" s="123">
        <f t="shared" si="13"/>
        <v>34.304000000000002</v>
      </c>
      <c r="F50" s="91"/>
      <c r="G50" s="102">
        <f>+$C$7</f>
        <v>6.7000000000000004E-2</v>
      </c>
      <c r="H50" s="98">
        <f>+$C$25*H25</f>
        <v>512</v>
      </c>
      <c r="I50" s="204">
        <f t="shared" si="15"/>
        <v>34.304000000000002</v>
      </c>
      <c r="J50" s="200"/>
      <c r="K50" s="190">
        <f t="shared" si="10"/>
        <v>0</v>
      </c>
      <c r="L50" s="133">
        <f t="shared" si="11"/>
        <v>0</v>
      </c>
    </row>
    <row r="51" spans="2:12">
      <c r="B51" s="269" t="s">
        <v>9</v>
      </c>
      <c r="C51" s="102">
        <f>+$C$8</f>
        <v>0.104</v>
      </c>
      <c r="D51" s="98">
        <f t="shared" ref="D51:D52" si="16">+$C$25*H26</f>
        <v>144</v>
      </c>
      <c r="E51" s="123">
        <f t="shared" si="13"/>
        <v>14.975999999999999</v>
      </c>
      <c r="F51" s="91"/>
      <c r="G51" s="102">
        <f>+$C$8</f>
        <v>0.104</v>
      </c>
      <c r="H51" s="98">
        <f>+$C$25*H26</f>
        <v>144</v>
      </c>
      <c r="I51" s="204">
        <f t="shared" si="15"/>
        <v>14.975999999999999</v>
      </c>
      <c r="J51" s="200"/>
      <c r="K51" s="190">
        <f t="shared" si="10"/>
        <v>0</v>
      </c>
      <c r="L51" s="133">
        <f t="shared" si="11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6"/>
        <v>144</v>
      </c>
      <c r="E52" s="123">
        <f t="shared" si="13"/>
        <v>17.856000000000002</v>
      </c>
      <c r="F52" s="91"/>
      <c r="G52" s="102">
        <f>+$C$9</f>
        <v>0.124</v>
      </c>
      <c r="H52" s="98">
        <f>+$C$25*H27</f>
        <v>144</v>
      </c>
      <c r="I52" s="204">
        <f t="shared" si="15"/>
        <v>17.856000000000002</v>
      </c>
      <c r="J52" s="200"/>
      <c r="K52" s="190">
        <f t="shared" si="10"/>
        <v>0</v>
      </c>
      <c r="L52" s="133">
        <f t="shared" si="11"/>
        <v>0</v>
      </c>
    </row>
    <row r="53" spans="2:12" s="161" customFormat="1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113.64835840000001</v>
      </c>
      <c r="F54" s="136"/>
      <c r="G54" s="137"/>
      <c r="H54" s="137"/>
      <c r="I54" s="207">
        <f>SUM(I45:I52)</f>
        <v>112.8783584</v>
      </c>
      <c r="J54" s="208"/>
      <c r="K54" s="194">
        <f>+I54-E54</f>
        <v>-0.77000000000001023</v>
      </c>
      <c r="L54" s="154">
        <f t="shared" ref="L54:L56" si="17">IF((E54)=0,"",(K54/E54))</f>
        <v>-6.7752848421258867E-3</v>
      </c>
    </row>
    <row r="55" spans="2:12">
      <c r="B55" s="276" t="s">
        <v>19</v>
      </c>
      <c r="C55" s="134">
        <v>0.13</v>
      </c>
      <c r="D55" s="138"/>
      <c r="E55" s="126">
        <f>+E54*C55</f>
        <v>14.774286592000001</v>
      </c>
      <c r="F55" s="90"/>
      <c r="G55" s="134">
        <v>0.13</v>
      </c>
      <c r="H55" s="90"/>
      <c r="I55" s="209">
        <f>+I54*G55</f>
        <v>14.674186592</v>
      </c>
      <c r="J55" s="210"/>
      <c r="K55" s="195">
        <f t="shared" ref="K55:K58" si="18">+I55-E55</f>
        <v>-0.10010000000000119</v>
      </c>
      <c r="L55" s="146">
        <f t="shared" si="17"/>
        <v>-6.7752848421258772E-3</v>
      </c>
    </row>
    <row r="56" spans="2:12">
      <c r="B56" s="277" t="s">
        <v>67</v>
      </c>
      <c r="C56" s="90"/>
      <c r="D56" s="138"/>
      <c r="E56" s="126">
        <f>SUM(E54:E55)</f>
        <v>128.42264499200002</v>
      </c>
      <c r="F56" s="90"/>
      <c r="G56" s="90"/>
      <c r="H56" s="90"/>
      <c r="I56" s="209">
        <f>SUM(I54:I55)</f>
        <v>127.55254499199999</v>
      </c>
      <c r="J56" s="210"/>
      <c r="K56" s="195">
        <f t="shared" si="18"/>
        <v>-0.87010000000002208</v>
      </c>
      <c r="L56" s="146">
        <f t="shared" si="17"/>
        <v>-6.7752848421259683E-3</v>
      </c>
    </row>
    <row r="57" spans="2:12">
      <c r="B57" s="278" t="s">
        <v>68</v>
      </c>
      <c r="C57" s="90"/>
      <c r="D57" s="138"/>
      <c r="E57" s="214">
        <f>-E56*0.1</f>
        <v>-12.842264499200002</v>
      </c>
      <c r="F57" s="90"/>
      <c r="G57" s="90"/>
      <c r="H57" s="90"/>
      <c r="I57" s="211">
        <f>-I56*0.1</f>
        <v>-12.755254499199999</v>
      </c>
      <c r="J57" s="210"/>
      <c r="K57" s="199">
        <f t="shared" si="18"/>
        <v>8.7010000000002918E-2</v>
      </c>
      <c r="L57" s="146">
        <f>IF((E57)=0,"",(K57/E57))</f>
        <v>-6.7752848421260229E-3</v>
      </c>
    </row>
    <row r="58" spans="2:12">
      <c r="B58" s="295" t="s">
        <v>20</v>
      </c>
      <c r="C58" s="139"/>
      <c r="D58" s="140"/>
      <c r="E58" s="128">
        <f>SUM(E56:E57)</f>
        <v>115.58038049280002</v>
      </c>
      <c r="F58" s="141"/>
      <c r="G58" s="141"/>
      <c r="H58" s="141"/>
      <c r="I58" s="212">
        <f>SUM(I56:I57)</f>
        <v>114.79729049279999</v>
      </c>
      <c r="J58" s="213"/>
      <c r="K58" s="196">
        <f t="shared" si="18"/>
        <v>-0.78309000000002982</v>
      </c>
      <c r="L58" s="155">
        <f>IF((E58)=0,"",(K58/E58))</f>
        <v>-6.7752848421260541E-3</v>
      </c>
    </row>
    <row r="59" spans="2:12" s="161" customFormat="1" ht="15.75" thickBot="1">
      <c r="B59" s="183"/>
      <c r="C59" s="184"/>
      <c r="D59" s="185"/>
      <c r="E59" s="186"/>
      <c r="F59" s="187"/>
      <c r="G59" s="184"/>
      <c r="H59" s="188"/>
      <c r="I59" s="291"/>
      <c r="J59" s="292"/>
      <c r="K59" s="293"/>
      <c r="L59" s="294"/>
    </row>
    <row r="61" spans="2:12">
      <c r="E61" s="144"/>
      <c r="I61" s="144"/>
    </row>
    <row r="62" spans="2:12">
      <c r="E62" s="144"/>
      <c r="I62" s="144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K41 C46:K56 C45:D45 F45:H45 C58:K58 C57:D57 F57:H57 J57:K57 J45:K45 C43:K44 C42:H42 J42:K42" unlockedFormula="1"/>
    <ignoredError sqref="E45 E57 I57 I45 I42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C63"/>
  <sheetViews>
    <sheetView showGridLines="0" topLeftCell="A37" zoomScale="85" zoomScaleNormal="85" workbookViewId="0">
      <selection sqref="A1:O67"/>
    </sheetView>
  </sheetViews>
  <sheetFormatPr defaultRowHeight="15"/>
  <cols>
    <col min="1" max="1" width="2.570312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3.28515625" style="65" customWidth="1"/>
    <col min="14" max="16384" width="9.140625" style="65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0.14000000000000001</v>
      </c>
      <c r="L8" s="58">
        <v>0.14000000000000001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0.41</v>
      </c>
      <c r="L9" s="143">
        <v>0.41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9.9600000000000009</v>
      </c>
      <c r="D10" s="59">
        <v>10.09</v>
      </c>
      <c r="E10" s="72"/>
      <c r="F10" s="72"/>
      <c r="K10" s="144">
        <f>SUM(K7:K9)</f>
        <v>0.56999999999999995</v>
      </c>
      <c r="L10" s="144">
        <f>SUM(L7:L9)</f>
        <v>0.55000000000000004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0.56999999999999995</v>
      </c>
      <c r="D11" s="51">
        <f>+L10</f>
        <v>0.55000000000000004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1.4500000000000001E-2</v>
      </c>
      <c r="D13" s="60">
        <v>1.47E-2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7.4999999999999997E-3</v>
      </c>
      <c r="D16" s="62">
        <v>7.6E-3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5.4999999999999997E-3</v>
      </c>
      <c r="D17" s="62">
        <v>5.4000000000000003E-3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87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1000</v>
      </c>
      <c r="D25" s="161" t="s">
        <v>0</v>
      </c>
      <c r="E25" s="87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8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80"/>
      <c r="C27" s="23"/>
      <c r="D27" s="161"/>
      <c r="E27" s="8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87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9.9600000000000009</v>
      </c>
      <c r="D33" s="90">
        <v>1</v>
      </c>
      <c r="E33" s="120">
        <f>+C33*D33</f>
        <v>9.9600000000000009</v>
      </c>
      <c r="F33" s="91"/>
      <c r="G33" s="142">
        <f>+D10</f>
        <v>10.09</v>
      </c>
      <c r="H33" s="92">
        <v>1</v>
      </c>
      <c r="I33" s="189">
        <f>+G33*H33</f>
        <v>10.09</v>
      </c>
      <c r="J33" s="200"/>
      <c r="K33" s="190">
        <f>+I33-E33</f>
        <v>0.12999999999999901</v>
      </c>
      <c r="L33" s="133">
        <f>IF((E33)=0,"",(K33/E33))</f>
        <v>1.3052208835341264E-2</v>
      </c>
    </row>
    <row r="34" spans="2:15">
      <c r="B34" s="265" t="s">
        <v>12</v>
      </c>
      <c r="C34" s="110">
        <f>+C13</f>
        <v>1.4500000000000001E-2</v>
      </c>
      <c r="D34" s="93">
        <f>+$C$25</f>
        <v>1000</v>
      </c>
      <c r="E34" s="120">
        <f>+C34*D34</f>
        <v>14.5</v>
      </c>
      <c r="F34" s="91"/>
      <c r="G34" s="110">
        <f>+D13</f>
        <v>1.47E-2</v>
      </c>
      <c r="H34" s="94">
        <f>+$C$25</f>
        <v>1000</v>
      </c>
      <c r="I34" s="189">
        <f t="shared" ref="I34:I36" si="2">+G34*H34</f>
        <v>14.7</v>
      </c>
      <c r="J34" s="200"/>
      <c r="K34" s="190">
        <f t="shared" ref="K34:K37" si="3">+I34-E34</f>
        <v>0.19999999999999929</v>
      </c>
      <c r="L34" s="133">
        <f t="shared" ref="L34:L41" si="4">IF((E34)=0,"",(K34/E34))</f>
        <v>1.3793103448275813E-2</v>
      </c>
    </row>
    <row r="35" spans="2:15">
      <c r="B35" s="266" t="s">
        <v>53</v>
      </c>
      <c r="C35" s="110">
        <f>+K10</f>
        <v>0.56999999999999995</v>
      </c>
      <c r="D35" s="90">
        <v>1</v>
      </c>
      <c r="E35" s="120">
        <f>+C35*D35</f>
        <v>0.56999999999999995</v>
      </c>
      <c r="F35" s="91"/>
      <c r="G35" s="110">
        <f>+L10</f>
        <v>0.55000000000000004</v>
      </c>
      <c r="H35" s="92">
        <v>1</v>
      </c>
      <c r="I35" s="189">
        <f t="shared" si="2"/>
        <v>0.55000000000000004</v>
      </c>
      <c r="J35" s="200"/>
      <c r="K35" s="190">
        <f t="shared" si="3"/>
        <v>-1.9999999999999907E-2</v>
      </c>
      <c r="L35" s="133">
        <f t="shared" si="4"/>
        <v>-3.5087719298245452E-2</v>
      </c>
    </row>
    <row r="36" spans="2:15">
      <c r="B36" s="267" t="s">
        <v>54</v>
      </c>
      <c r="C36" s="111">
        <v>0</v>
      </c>
      <c r="D36" s="93">
        <f>+$C$25</f>
        <v>1000</v>
      </c>
      <c r="E36" s="121">
        <v>0</v>
      </c>
      <c r="F36" s="91"/>
      <c r="G36" s="111">
        <v>0</v>
      </c>
      <c r="H36" s="94">
        <f>+$C$25</f>
        <v>1000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25.03</v>
      </c>
      <c r="F37" s="150"/>
      <c r="G37" s="147"/>
      <c r="H37" s="100"/>
      <c r="I37" s="201">
        <f>SUM(I33:I36)</f>
        <v>25.34</v>
      </c>
      <c r="J37" s="202"/>
      <c r="K37" s="197">
        <f t="shared" si="3"/>
        <v>0.30999999999999872</v>
      </c>
      <c r="L37" s="153">
        <f t="shared" si="4"/>
        <v>1.2385137834598429E-2</v>
      </c>
    </row>
    <row r="38" spans="2:15">
      <c r="B38" s="268" t="s">
        <v>56</v>
      </c>
      <c r="C38" s="156">
        <f>+C7*H25+C8*H26+C9*H27</f>
        <v>8.3919999999999995E-2</v>
      </c>
      <c r="D38" s="95">
        <f>+C25*(C26-1)</f>
        <v>34.899999999999935</v>
      </c>
      <c r="E38" s="120">
        <f>+C38*D38</f>
        <v>2.9288079999999943</v>
      </c>
      <c r="F38" s="91"/>
      <c r="G38" s="216">
        <f>+D7*H25+D8*H26+D9*H27</f>
        <v>8.3919999999999995E-2</v>
      </c>
      <c r="H38" s="95">
        <f>+C25*(C26-1)</f>
        <v>34.899999999999935</v>
      </c>
      <c r="I38" s="189">
        <f>+G38*H38</f>
        <v>2.9288079999999943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1000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1000</v>
      </c>
      <c r="I39" s="189">
        <f t="shared" ref="I39:I41" si="6">+G39*H39</f>
        <v>-1.3</v>
      </c>
      <c r="J39" s="200"/>
      <c r="K39" s="190">
        <f t="shared" ref="K39:K41" si="7">+I39-E39</f>
        <v>-1.3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1000</v>
      </c>
      <c r="E40" s="120">
        <v>0</v>
      </c>
      <c r="F40" s="91"/>
      <c r="G40" s="110"/>
      <c r="H40" s="94">
        <f t="shared" si="5"/>
        <v>1000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28.748807999999993</v>
      </c>
      <c r="F42" s="91"/>
      <c r="G42" s="96"/>
      <c r="H42" s="97"/>
      <c r="I42" s="203">
        <f>SUM(I37:I41)</f>
        <v>27.758807999999991</v>
      </c>
      <c r="J42" s="200"/>
      <c r="K42" s="198">
        <f>+I42-E42</f>
        <v>-0.99000000000000199</v>
      </c>
      <c r="L42" s="145">
        <f>IF((E42)=0,"",(K42/E42))</f>
        <v>-3.443621036392195E-2</v>
      </c>
      <c r="O42" s="144"/>
    </row>
    <row r="43" spans="2:15">
      <c r="B43" s="270" t="s">
        <v>60</v>
      </c>
      <c r="C43" s="110">
        <f>+C16</f>
        <v>7.4999999999999997E-3</v>
      </c>
      <c r="D43" s="98">
        <f>+$C$25*$C$26</f>
        <v>1034.8999999999999</v>
      </c>
      <c r="E43" s="120">
        <f>+C43*D43</f>
        <v>7.7617499999999984</v>
      </c>
      <c r="F43" s="91"/>
      <c r="G43" s="110">
        <f>+D16</f>
        <v>7.6E-3</v>
      </c>
      <c r="H43" s="99">
        <f>+$C$25*$C$26</f>
        <v>1034.8999999999999</v>
      </c>
      <c r="I43" s="189">
        <f>+G43*H43</f>
        <v>7.8652399999999991</v>
      </c>
      <c r="J43" s="200"/>
      <c r="K43" s="190">
        <f t="shared" ref="K43:K44" si="8">+I43-E43</f>
        <v>0.10349000000000075</v>
      </c>
      <c r="L43" s="133">
        <f t="shared" ref="L43:L44" si="9">IF((E43)=0,"",(K43/E43))</f>
        <v>1.3333333333333433E-2</v>
      </c>
    </row>
    <row r="44" spans="2:15" ht="30" customHeight="1">
      <c r="B44" s="271" t="s">
        <v>61</v>
      </c>
      <c r="C44" s="110">
        <f>+C17</f>
        <v>5.4999999999999997E-3</v>
      </c>
      <c r="D44" s="98">
        <f>+$C$25*$C$26</f>
        <v>1034.8999999999999</v>
      </c>
      <c r="E44" s="120">
        <f>+C44*D44</f>
        <v>5.6919499999999985</v>
      </c>
      <c r="F44" s="91"/>
      <c r="G44" s="110">
        <v>5.4000000000000003E-3</v>
      </c>
      <c r="H44" s="99">
        <f>+$C$25*$C$26</f>
        <v>1034.8999999999999</v>
      </c>
      <c r="I44" s="189">
        <f>+G44*H44</f>
        <v>5.5884599999999995</v>
      </c>
      <c r="J44" s="200"/>
      <c r="K44" s="190">
        <f t="shared" si="8"/>
        <v>-0.10348999999999897</v>
      </c>
      <c r="L44" s="133">
        <f t="shared" si="9"/>
        <v>-1.8181818181818007E-2</v>
      </c>
    </row>
    <row r="45" spans="2:15">
      <c r="B45" s="119" t="s">
        <v>62</v>
      </c>
      <c r="C45" s="96"/>
      <c r="D45" s="96"/>
      <c r="E45" s="122">
        <f>SUM(E42:E44)</f>
        <v>42.202507999999987</v>
      </c>
      <c r="F45" s="91"/>
      <c r="G45" s="100"/>
      <c r="H45" s="101"/>
      <c r="I45" s="203">
        <f>SUM(I42:I44)</f>
        <v>41.212507999999985</v>
      </c>
      <c r="J45" s="200"/>
      <c r="K45" s="198">
        <f>+I45-E45</f>
        <v>-0.99000000000000199</v>
      </c>
      <c r="L45" s="145">
        <f>IF((E45)=0,"",(K45/E45))</f>
        <v>-2.3458321481747063E-2</v>
      </c>
    </row>
    <row r="46" spans="2:15">
      <c r="B46" s="272" t="s">
        <v>63</v>
      </c>
      <c r="C46" s="112">
        <f>+C18</f>
        <v>4.4000000000000003E-3</v>
      </c>
      <c r="D46" s="98">
        <f>+$C$25*$C$26</f>
        <v>1034.8999999999999</v>
      </c>
      <c r="E46" s="123">
        <f>+C46*D46</f>
        <v>4.5535600000000001</v>
      </c>
      <c r="F46" s="91"/>
      <c r="G46" s="112">
        <f>+D18</f>
        <v>4.4000000000000003E-3</v>
      </c>
      <c r="H46" s="99">
        <f>+$C$25*$C$26</f>
        <v>1034.8999999999999</v>
      </c>
      <c r="I46" s="204">
        <f>+G46*H46</f>
        <v>4.5535600000000001</v>
      </c>
      <c r="J46" s="200"/>
      <c r="K46" s="190">
        <f t="shared" ref="K46:K52" si="10">+I46-E46</f>
        <v>0</v>
      </c>
      <c r="L46" s="133">
        <f t="shared" ref="L46:L52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>+$C$25*$C$26</f>
        <v>1034.8999999999999</v>
      </c>
      <c r="E47" s="123">
        <f t="shared" ref="E47:E52" si="13">+C47*D47</f>
        <v>1.2418799999999997</v>
      </c>
      <c r="F47" s="91"/>
      <c r="G47" s="112">
        <f t="shared" ref="G47:G49" si="14">+D19</f>
        <v>1.1999999999999999E-3</v>
      </c>
      <c r="H47" s="99">
        <f>+$C$25*$C$26</f>
        <v>1034.8999999999999</v>
      </c>
      <c r="I47" s="204">
        <f t="shared" ref="I47:I52" si="15">+G47*H47</f>
        <v>1.2418799999999997</v>
      </c>
      <c r="J47" s="200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23">
        <f t="shared" si="13"/>
        <v>0.25</v>
      </c>
      <c r="F48" s="91"/>
      <c r="G48" s="112">
        <f t="shared" si="14"/>
        <v>0.25</v>
      </c>
      <c r="H48" s="99">
        <v>1</v>
      </c>
      <c r="I48" s="204">
        <f t="shared" si="15"/>
        <v>0.25</v>
      </c>
      <c r="J48" s="200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1000</v>
      </c>
      <c r="E49" s="123">
        <f t="shared" si="13"/>
        <v>7</v>
      </c>
      <c r="F49" s="91"/>
      <c r="G49" s="112">
        <f t="shared" si="14"/>
        <v>7.0000000000000001E-3</v>
      </c>
      <c r="H49" s="99">
        <f>+$C$25</f>
        <v>1000</v>
      </c>
      <c r="I49" s="204">
        <f t="shared" si="15"/>
        <v>7</v>
      </c>
      <c r="J49" s="200"/>
      <c r="K49" s="190">
        <f t="shared" si="10"/>
        <v>0</v>
      </c>
      <c r="L49" s="133">
        <f t="shared" si="11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640</v>
      </c>
      <c r="E50" s="123">
        <f t="shared" si="13"/>
        <v>42.88</v>
      </c>
      <c r="F50" s="91"/>
      <c r="G50" s="102">
        <f>+$C$7</f>
        <v>6.7000000000000004E-2</v>
      </c>
      <c r="H50" s="98">
        <f>+$C$25*H25</f>
        <v>640</v>
      </c>
      <c r="I50" s="204">
        <f t="shared" si="15"/>
        <v>42.88</v>
      </c>
      <c r="J50" s="200"/>
      <c r="K50" s="190">
        <f t="shared" si="10"/>
        <v>0</v>
      </c>
      <c r="L50" s="133">
        <f t="shared" si="11"/>
        <v>0</v>
      </c>
    </row>
    <row r="51" spans="2:12">
      <c r="B51" s="269" t="s">
        <v>9</v>
      </c>
      <c r="C51" s="102">
        <f>+$C$8</f>
        <v>0.104</v>
      </c>
      <c r="D51" s="98">
        <f t="shared" ref="D51:D52" si="16">+$C$25*H26</f>
        <v>180</v>
      </c>
      <c r="E51" s="123">
        <f t="shared" si="13"/>
        <v>18.72</v>
      </c>
      <c r="F51" s="91"/>
      <c r="G51" s="102">
        <f>+$C$8</f>
        <v>0.104</v>
      </c>
      <c r="H51" s="98">
        <f>+$C$25*H26</f>
        <v>180</v>
      </c>
      <c r="I51" s="204">
        <f t="shared" si="15"/>
        <v>18.72</v>
      </c>
      <c r="J51" s="200"/>
      <c r="K51" s="190">
        <f t="shared" si="10"/>
        <v>0</v>
      </c>
      <c r="L51" s="133">
        <f t="shared" si="11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6"/>
        <v>180</v>
      </c>
      <c r="E52" s="123">
        <f t="shared" si="13"/>
        <v>22.32</v>
      </c>
      <c r="F52" s="91"/>
      <c r="G52" s="102">
        <f>+$C$9</f>
        <v>0.124</v>
      </c>
      <c r="H52" s="98">
        <f>+$C$25*H27</f>
        <v>180</v>
      </c>
      <c r="I52" s="204">
        <f t="shared" si="15"/>
        <v>22.32</v>
      </c>
      <c r="J52" s="200"/>
      <c r="K52" s="190">
        <f t="shared" si="10"/>
        <v>0</v>
      </c>
      <c r="L52" s="133">
        <f t="shared" si="11"/>
        <v>0</v>
      </c>
    </row>
    <row r="53" spans="2:12" s="161" customFormat="1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139.167948</v>
      </c>
      <c r="F54" s="136"/>
      <c r="G54" s="137"/>
      <c r="H54" s="137"/>
      <c r="I54" s="207">
        <f>SUM(I45:I52)</f>
        <v>138.17794799999999</v>
      </c>
      <c r="J54" s="208"/>
      <c r="K54" s="194">
        <f>+I54-E54</f>
        <v>-0.99000000000000909</v>
      </c>
      <c r="L54" s="154">
        <f t="shared" ref="L54:L56" si="17">IF((E54)=0,"",(K54/E54))</f>
        <v>-7.1137069578694166E-3</v>
      </c>
    </row>
    <row r="55" spans="2:12">
      <c r="B55" s="276" t="s">
        <v>19</v>
      </c>
      <c r="C55" s="134">
        <v>0.13</v>
      </c>
      <c r="D55" s="138"/>
      <c r="E55" s="126">
        <f>+E54*C55</f>
        <v>18.09183324</v>
      </c>
      <c r="F55" s="90"/>
      <c r="G55" s="134">
        <v>0.13</v>
      </c>
      <c r="H55" s="90"/>
      <c r="I55" s="209">
        <f>+I54*G55</f>
        <v>17.963133239999998</v>
      </c>
      <c r="J55" s="210"/>
      <c r="K55" s="195">
        <f t="shared" ref="K55:K58" si="18">+I55-E55</f>
        <v>-0.12870000000000203</v>
      </c>
      <c r="L55" s="146">
        <f t="shared" si="17"/>
        <v>-7.1137069578694635E-3</v>
      </c>
    </row>
    <row r="56" spans="2:12">
      <c r="B56" s="277" t="s">
        <v>67</v>
      </c>
      <c r="C56" s="90"/>
      <c r="D56" s="138"/>
      <c r="E56" s="126">
        <f>SUM(E54:E55)</f>
        <v>157.25978124</v>
      </c>
      <c r="F56" s="90"/>
      <c r="G56" s="90"/>
      <c r="H56" s="90"/>
      <c r="I56" s="209">
        <f>SUM(I54:I55)</f>
        <v>156.14108123999998</v>
      </c>
      <c r="J56" s="210"/>
      <c r="K56" s="195">
        <f t="shared" si="18"/>
        <v>-1.1187000000000182</v>
      </c>
      <c r="L56" s="146">
        <f t="shared" si="17"/>
        <v>-7.1137069578694669E-3</v>
      </c>
    </row>
    <row r="57" spans="2:12">
      <c r="B57" s="278" t="s">
        <v>68</v>
      </c>
      <c r="C57" s="90"/>
      <c r="D57" s="138"/>
      <c r="E57" s="214">
        <f>-E56*0.1</f>
        <v>-15.725978124000001</v>
      </c>
      <c r="F57" s="90"/>
      <c r="G57" s="90"/>
      <c r="H57" s="90"/>
      <c r="I57" s="211">
        <f>-I56*0.1</f>
        <v>-15.614108123999998</v>
      </c>
      <c r="J57" s="210"/>
      <c r="K57" s="199">
        <f t="shared" si="18"/>
        <v>0.11187000000000324</v>
      </c>
      <c r="L57" s="146">
        <f>IF((E57)=0,"",(K57/E57))</f>
        <v>-7.1137069578695563E-3</v>
      </c>
    </row>
    <row r="58" spans="2:12" ht="15.75" thickBot="1">
      <c r="B58" s="279" t="s">
        <v>20</v>
      </c>
      <c r="C58" s="139"/>
      <c r="D58" s="140"/>
      <c r="E58" s="128">
        <f>SUM(E56:E57)</f>
        <v>141.533803116</v>
      </c>
      <c r="F58" s="141"/>
      <c r="G58" s="141"/>
      <c r="H58" s="141"/>
      <c r="I58" s="212">
        <f>SUM(I56:I57)</f>
        <v>140.52697311599997</v>
      </c>
      <c r="J58" s="213"/>
      <c r="K58" s="196">
        <f t="shared" si="18"/>
        <v>-1.0068300000000363</v>
      </c>
      <c r="L58" s="155">
        <f>IF((E58)=0,"",(K58/E58))</f>
        <v>-7.1137069578696074E-3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1" spans="2:12">
      <c r="E61" s="144"/>
      <c r="I61" s="144"/>
    </row>
    <row r="62" spans="2:12">
      <c r="E62" s="144"/>
      <c r="I62" s="144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1" orientation="portrait" r:id="rId1"/>
  <ignoredErrors>
    <ignoredError sqref="C33:K44 C46:K56 C45:D45 F45:H45 J45:K45 C58:K58 C57:D57 J57:K57 F57:H57" unlockedFormula="1"/>
    <ignoredError sqref="E45 I45 I57 E5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C63"/>
  <sheetViews>
    <sheetView showGridLines="0" zoomScale="85" zoomScaleNormal="85" workbookViewId="0">
      <selection sqref="A1:N78"/>
    </sheetView>
  </sheetViews>
  <sheetFormatPr defaultRowHeight="15"/>
  <cols>
    <col min="1" max="1" width="4.4257812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3.42578125" style="65" customWidth="1"/>
    <col min="14" max="16384" width="9.140625" style="65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0.14000000000000001</v>
      </c>
      <c r="L8" s="58">
        <v>0.14000000000000001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0.41</v>
      </c>
      <c r="L9" s="143">
        <v>0.41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9.9600000000000009</v>
      </c>
      <c r="D10" s="59">
        <v>10.09</v>
      </c>
      <c r="E10" s="72"/>
      <c r="F10" s="72"/>
      <c r="K10" s="144">
        <f>SUM(K7:K9)</f>
        <v>0.56999999999999995</v>
      </c>
      <c r="L10" s="144">
        <f>SUM(L7:L9)</f>
        <v>0.55000000000000004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0.56999999999999995</v>
      </c>
      <c r="D11" s="51">
        <f>+L10</f>
        <v>0.55000000000000004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1.4500000000000001E-2</v>
      </c>
      <c r="D13" s="60">
        <v>1.47E-2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7.4999999999999997E-3</v>
      </c>
      <c r="D16" s="62">
        <v>7.6E-3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5.4999999999999997E-3</v>
      </c>
      <c r="D17" s="62">
        <v>5.4000000000000003E-3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87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1500</v>
      </c>
      <c r="D25" s="161" t="s">
        <v>0</v>
      </c>
      <c r="E25" s="87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8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80"/>
      <c r="C27" s="23"/>
      <c r="D27" s="161"/>
      <c r="E27" s="8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87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9.9600000000000009</v>
      </c>
      <c r="D33" s="90">
        <v>1</v>
      </c>
      <c r="E33" s="120">
        <f>+C33*D33</f>
        <v>9.9600000000000009</v>
      </c>
      <c r="F33" s="91"/>
      <c r="G33" s="142">
        <f>+D10</f>
        <v>10.09</v>
      </c>
      <c r="H33" s="92">
        <v>1</v>
      </c>
      <c r="I33" s="189">
        <f>+G33*H33</f>
        <v>10.09</v>
      </c>
      <c r="J33" s="200"/>
      <c r="K33" s="190">
        <f>+I33-E33</f>
        <v>0.12999999999999901</v>
      </c>
      <c r="L33" s="133">
        <f>IF((E33)=0,"",(K33/E33))</f>
        <v>1.3052208835341264E-2</v>
      </c>
    </row>
    <row r="34" spans="2:15">
      <c r="B34" s="265" t="s">
        <v>12</v>
      </c>
      <c r="C34" s="110">
        <f>+C13</f>
        <v>1.4500000000000001E-2</v>
      </c>
      <c r="D34" s="93">
        <f>+$C$25</f>
        <v>1500</v>
      </c>
      <c r="E34" s="120">
        <f>+C34*D34</f>
        <v>21.75</v>
      </c>
      <c r="F34" s="91"/>
      <c r="G34" s="110">
        <f>+D13</f>
        <v>1.47E-2</v>
      </c>
      <c r="H34" s="94">
        <f>+$C$25</f>
        <v>1500</v>
      </c>
      <c r="I34" s="189">
        <f t="shared" ref="I34:I36" si="2">+G34*H34</f>
        <v>22.05</v>
      </c>
      <c r="J34" s="200"/>
      <c r="K34" s="190">
        <f t="shared" ref="K34:K37" si="3">+I34-E34</f>
        <v>0.30000000000000071</v>
      </c>
      <c r="L34" s="133">
        <f t="shared" ref="L34:L41" si="4">IF((E34)=0,"",(K34/E34))</f>
        <v>1.3793103448275895E-2</v>
      </c>
    </row>
    <row r="35" spans="2:15">
      <c r="B35" s="266" t="s">
        <v>53</v>
      </c>
      <c r="C35" s="110">
        <f>+K10</f>
        <v>0.56999999999999995</v>
      </c>
      <c r="D35" s="90">
        <v>1</v>
      </c>
      <c r="E35" s="120">
        <f>+C35*D35</f>
        <v>0.56999999999999995</v>
      </c>
      <c r="F35" s="91"/>
      <c r="G35" s="110">
        <f>+L10</f>
        <v>0.55000000000000004</v>
      </c>
      <c r="H35" s="92">
        <v>1</v>
      </c>
      <c r="I35" s="189">
        <f t="shared" si="2"/>
        <v>0.55000000000000004</v>
      </c>
      <c r="J35" s="200"/>
      <c r="K35" s="190">
        <f t="shared" si="3"/>
        <v>-1.9999999999999907E-2</v>
      </c>
      <c r="L35" s="133">
        <f t="shared" si="4"/>
        <v>-3.5087719298245452E-2</v>
      </c>
    </row>
    <row r="36" spans="2:15">
      <c r="B36" s="267" t="s">
        <v>54</v>
      </c>
      <c r="C36" s="111">
        <v>0</v>
      </c>
      <c r="D36" s="93">
        <f>+$C$25</f>
        <v>1500</v>
      </c>
      <c r="E36" s="121">
        <v>0</v>
      </c>
      <c r="F36" s="91"/>
      <c r="G36" s="111">
        <v>0</v>
      </c>
      <c r="H36" s="94">
        <f>+$C$25</f>
        <v>1500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32.28</v>
      </c>
      <c r="F37" s="150"/>
      <c r="G37" s="147"/>
      <c r="H37" s="100"/>
      <c r="I37" s="201">
        <f>SUM(I33:I36)</f>
        <v>32.69</v>
      </c>
      <c r="J37" s="202"/>
      <c r="K37" s="197">
        <f t="shared" si="3"/>
        <v>0.40999999999999659</v>
      </c>
      <c r="L37" s="153">
        <f t="shared" si="4"/>
        <v>1.270136307311018E-2</v>
      </c>
    </row>
    <row r="38" spans="2:15">
      <c r="B38" s="268" t="s">
        <v>56</v>
      </c>
      <c r="C38" s="156">
        <f>+C7*H25+C8*H26+C9*H27</f>
        <v>8.3919999999999995E-2</v>
      </c>
      <c r="D38" s="95">
        <f>+C25*(C26-1)</f>
        <v>52.349999999999895</v>
      </c>
      <c r="E38" s="120">
        <f>+C38*D38</f>
        <v>4.3932119999999912</v>
      </c>
      <c r="F38" s="91"/>
      <c r="G38" s="216">
        <f>+D7*H25+D8*H26+D9*H27</f>
        <v>8.3919999999999995E-2</v>
      </c>
      <c r="H38" s="95">
        <f>+C25*(C26-1)</f>
        <v>52.349999999999895</v>
      </c>
      <c r="I38" s="189">
        <f>+G38*H38</f>
        <v>4.3932119999999912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1500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1500</v>
      </c>
      <c r="I39" s="189">
        <f t="shared" ref="I39:I41" si="6">+G39*H39</f>
        <v>-1.95</v>
      </c>
      <c r="J39" s="200"/>
      <c r="K39" s="190">
        <f t="shared" ref="K39:K41" si="7">+I39-E39</f>
        <v>-1.95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1500</v>
      </c>
      <c r="E40" s="120">
        <v>0</v>
      </c>
      <c r="F40" s="91"/>
      <c r="G40" s="110"/>
      <c r="H40" s="94">
        <f t="shared" si="5"/>
        <v>1500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37.463211999999992</v>
      </c>
      <c r="F42" s="91"/>
      <c r="G42" s="96"/>
      <c r="H42" s="97"/>
      <c r="I42" s="203">
        <f>SUM(I37:I41)</f>
        <v>35.923211999999985</v>
      </c>
      <c r="J42" s="200"/>
      <c r="K42" s="198">
        <f>+I42-E42</f>
        <v>-1.5400000000000063</v>
      </c>
      <c r="L42" s="145">
        <f>IF((E42)=0,"",(K42/E42))</f>
        <v>-4.1106993175064825E-2</v>
      </c>
      <c r="O42" s="144"/>
    </row>
    <row r="43" spans="2:15">
      <c r="B43" s="270" t="s">
        <v>60</v>
      </c>
      <c r="C43" s="110">
        <f>+C16</f>
        <v>7.4999999999999997E-3</v>
      </c>
      <c r="D43" s="98">
        <f>+$C$25*$C$26</f>
        <v>1552.35</v>
      </c>
      <c r="E43" s="120">
        <f>+C43*D43</f>
        <v>11.642624999999999</v>
      </c>
      <c r="F43" s="91"/>
      <c r="G43" s="110">
        <f>+D16</f>
        <v>7.6E-3</v>
      </c>
      <c r="H43" s="99">
        <f>+$C$25*$C$26</f>
        <v>1552.35</v>
      </c>
      <c r="I43" s="189">
        <f>+G43*H43</f>
        <v>11.79786</v>
      </c>
      <c r="J43" s="200"/>
      <c r="K43" s="190">
        <f t="shared" ref="K43:K44" si="8">+I43-E43</f>
        <v>0.15523500000000112</v>
      </c>
      <c r="L43" s="133">
        <f t="shared" ref="L43:L44" si="9">IF((E43)=0,"",(K43/E43))</f>
        <v>1.3333333333333431E-2</v>
      </c>
    </row>
    <row r="44" spans="2:15" ht="30" customHeight="1">
      <c r="B44" s="271" t="s">
        <v>61</v>
      </c>
      <c r="C44" s="110">
        <f>+C17</f>
        <v>5.4999999999999997E-3</v>
      </c>
      <c r="D44" s="98">
        <f>+$C$25*$C$26</f>
        <v>1552.35</v>
      </c>
      <c r="E44" s="120">
        <f>+C44*D44</f>
        <v>8.5379249999999995</v>
      </c>
      <c r="F44" s="91"/>
      <c r="G44" s="110">
        <v>5.4000000000000003E-3</v>
      </c>
      <c r="H44" s="99">
        <f>+$C$25*$C$26</f>
        <v>1552.35</v>
      </c>
      <c r="I44" s="189">
        <f>+G44*H44</f>
        <v>8.3826900000000002</v>
      </c>
      <c r="J44" s="200"/>
      <c r="K44" s="190">
        <f t="shared" si="8"/>
        <v>-0.15523499999999935</v>
      </c>
      <c r="L44" s="133">
        <f t="shared" si="9"/>
        <v>-1.8181818181818105E-2</v>
      </c>
    </row>
    <row r="45" spans="2:15">
      <c r="B45" s="119" t="s">
        <v>62</v>
      </c>
      <c r="C45" s="96"/>
      <c r="D45" s="96"/>
      <c r="E45" s="122">
        <f>SUM(E42:E44)</f>
        <v>57.643761999999995</v>
      </c>
      <c r="F45" s="91"/>
      <c r="G45" s="100"/>
      <c r="H45" s="101"/>
      <c r="I45" s="203">
        <f>SUM(I42:I44)</f>
        <v>56.103761999999989</v>
      </c>
      <c r="J45" s="200"/>
      <c r="K45" s="198">
        <f>+I45-E45</f>
        <v>-1.5400000000000063</v>
      </c>
      <c r="L45" s="145">
        <f>IF((E45)=0,"",(K45/E45))</f>
        <v>-2.6715813586212615E-2</v>
      </c>
    </row>
    <row r="46" spans="2:15">
      <c r="B46" s="272" t="s">
        <v>63</v>
      </c>
      <c r="C46" s="112">
        <f>+C18</f>
        <v>4.4000000000000003E-3</v>
      </c>
      <c r="D46" s="98">
        <f>+$C$25*$C$26</f>
        <v>1552.35</v>
      </c>
      <c r="E46" s="123">
        <f>+C46*D46</f>
        <v>6.8303399999999996</v>
      </c>
      <c r="F46" s="91"/>
      <c r="G46" s="112">
        <f>+D18</f>
        <v>4.4000000000000003E-3</v>
      </c>
      <c r="H46" s="99">
        <f>+$C$25*$C$26</f>
        <v>1552.35</v>
      </c>
      <c r="I46" s="204">
        <f>+G46*H46</f>
        <v>6.8303399999999996</v>
      </c>
      <c r="J46" s="200"/>
      <c r="K46" s="190">
        <f t="shared" ref="K46:K52" si="10">+I46-E46</f>
        <v>0</v>
      </c>
      <c r="L46" s="133">
        <f t="shared" ref="L46:L52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>+$C$25*$C$26</f>
        <v>1552.35</v>
      </c>
      <c r="E47" s="123">
        <f t="shared" ref="E47:E52" si="13">+C47*D47</f>
        <v>1.8628199999999997</v>
      </c>
      <c r="F47" s="91"/>
      <c r="G47" s="112">
        <f t="shared" ref="G47:G49" si="14">+D19</f>
        <v>1.1999999999999999E-3</v>
      </c>
      <c r="H47" s="99">
        <f>+$C$25*$C$26</f>
        <v>1552.35</v>
      </c>
      <c r="I47" s="204">
        <f t="shared" ref="I47:I52" si="15">+G47*H47</f>
        <v>1.8628199999999997</v>
      </c>
      <c r="J47" s="200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23">
        <f t="shared" si="13"/>
        <v>0.25</v>
      </c>
      <c r="F48" s="91"/>
      <c r="G48" s="112">
        <f t="shared" si="14"/>
        <v>0.25</v>
      </c>
      <c r="H48" s="99">
        <v>1</v>
      </c>
      <c r="I48" s="204">
        <f t="shared" si="15"/>
        <v>0.25</v>
      </c>
      <c r="J48" s="200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1500</v>
      </c>
      <c r="E49" s="123">
        <f t="shared" si="13"/>
        <v>10.5</v>
      </c>
      <c r="F49" s="91"/>
      <c r="G49" s="112">
        <f t="shared" si="14"/>
        <v>7.0000000000000001E-3</v>
      </c>
      <c r="H49" s="99">
        <f>+$C$25</f>
        <v>1500</v>
      </c>
      <c r="I49" s="204">
        <f t="shared" si="15"/>
        <v>10.5</v>
      </c>
      <c r="J49" s="200"/>
      <c r="K49" s="190">
        <f t="shared" si="10"/>
        <v>0</v>
      </c>
      <c r="L49" s="133">
        <f t="shared" si="11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960</v>
      </c>
      <c r="E50" s="123">
        <f t="shared" si="13"/>
        <v>64.320000000000007</v>
      </c>
      <c r="F50" s="91"/>
      <c r="G50" s="102">
        <f>+$C$7</f>
        <v>6.7000000000000004E-2</v>
      </c>
      <c r="H50" s="98">
        <f>+$C$25*H25</f>
        <v>960</v>
      </c>
      <c r="I50" s="204">
        <f t="shared" si="15"/>
        <v>64.320000000000007</v>
      </c>
      <c r="J50" s="200"/>
      <c r="K50" s="190">
        <f t="shared" si="10"/>
        <v>0</v>
      </c>
      <c r="L50" s="133">
        <f t="shared" si="11"/>
        <v>0</v>
      </c>
    </row>
    <row r="51" spans="2:12">
      <c r="B51" s="269" t="s">
        <v>9</v>
      </c>
      <c r="C51" s="102">
        <f>+$C$8</f>
        <v>0.104</v>
      </c>
      <c r="D51" s="98">
        <f t="shared" ref="D51:D52" si="16">+$C$25*H26</f>
        <v>270</v>
      </c>
      <c r="E51" s="123">
        <f t="shared" si="13"/>
        <v>28.08</v>
      </c>
      <c r="F51" s="91"/>
      <c r="G51" s="102">
        <f>+$C$8</f>
        <v>0.104</v>
      </c>
      <c r="H51" s="98">
        <f>+$C$25*H26</f>
        <v>270</v>
      </c>
      <c r="I51" s="204">
        <f t="shared" si="15"/>
        <v>28.08</v>
      </c>
      <c r="J51" s="200"/>
      <c r="K51" s="190">
        <f t="shared" si="10"/>
        <v>0</v>
      </c>
      <c r="L51" s="133">
        <f t="shared" si="11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6"/>
        <v>270</v>
      </c>
      <c r="E52" s="123">
        <f t="shared" si="13"/>
        <v>33.479999999999997</v>
      </c>
      <c r="F52" s="91"/>
      <c r="G52" s="102">
        <f>+$C$9</f>
        <v>0.124</v>
      </c>
      <c r="H52" s="98">
        <f>+$C$25*H27</f>
        <v>270</v>
      </c>
      <c r="I52" s="204">
        <f t="shared" si="15"/>
        <v>33.479999999999997</v>
      </c>
      <c r="J52" s="200"/>
      <c r="K52" s="190">
        <f t="shared" si="10"/>
        <v>0</v>
      </c>
      <c r="L52" s="133">
        <f t="shared" si="11"/>
        <v>0</v>
      </c>
    </row>
    <row r="53" spans="2:12" s="161" customFormat="1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202.96692199999998</v>
      </c>
      <c r="F54" s="136"/>
      <c r="G54" s="137"/>
      <c r="H54" s="137"/>
      <c r="I54" s="207">
        <f>SUM(I45:I52)</f>
        <v>201.42692199999996</v>
      </c>
      <c r="J54" s="208"/>
      <c r="K54" s="194">
        <f>+I54-E54</f>
        <v>-1.5400000000000205</v>
      </c>
      <c r="L54" s="154">
        <f t="shared" ref="L54:L56" si="17">IF((E54)=0,"",(K54/E54))</f>
        <v>-7.5874432386574819E-3</v>
      </c>
    </row>
    <row r="55" spans="2:12">
      <c r="B55" s="276" t="s">
        <v>19</v>
      </c>
      <c r="C55" s="134">
        <v>0.13</v>
      </c>
      <c r="D55" s="138"/>
      <c r="E55" s="126">
        <f>+E54*C55</f>
        <v>26.385699859999999</v>
      </c>
      <c r="F55" s="90"/>
      <c r="G55" s="134">
        <v>0.13</v>
      </c>
      <c r="H55" s="90"/>
      <c r="I55" s="209">
        <f>+I54*G55</f>
        <v>26.185499859999997</v>
      </c>
      <c r="J55" s="210"/>
      <c r="K55" s="195">
        <f t="shared" ref="K55:K58" si="18">+I55-E55</f>
        <v>-0.20020000000000238</v>
      </c>
      <c r="L55" s="146">
        <f t="shared" si="17"/>
        <v>-7.5874432386574715E-3</v>
      </c>
    </row>
    <row r="56" spans="2:12">
      <c r="B56" s="277" t="s">
        <v>67</v>
      </c>
      <c r="C56" s="90"/>
      <c r="D56" s="138"/>
      <c r="E56" s="126">
        <f>SUM(E54:E55)</f>
        <v>229.35262185999997</v>
      </c>
      <c r="F56" s="90"/>
      <c r="G56" s="90"/>
      <c r="H56" s="90"/>
      <c r="I56" s="209">
        <f>SUM(I54:I55)</f>
        <v>227.61242185999996</v>
      </c>
      <c r="J56" s="210"/>
      <c r="K56" s="195">
        <f t="shared" si="18"/>
        <v>-1.7402000000000157</v>
      </c>
      <c r="L56" s="146">
        <f t="shared" si="17"/>
        <v>-7.5874432386574507E-3</v>
      </c>
    </row>
    <row r="57" spans="2:12">
      <c r="B57" s="278" t="s">
        <v>68</v>
      </c>
      <c r="C57" s="90"/>
      <c r="D57" s="138"/>
      <c r="E57" s="214">
        <f>-E56*0.1</f>
        <v>-22.935262185999999</v>
      </c>
      <c r="F57" s="90"/>
      <c r="G57" s="90"/>
      <c r="H57" s="90"/>
      <c r="I57" s="211">
        <f>-I56*0.1</f>
        <v>-22.761242185999997</v>
      </c>
      <c r="J57" s="210"/>
      <c r="K57" s="199">
        <f t="shared" si="18"/>
        <v>0.17402000000000228</v>
      </c>
      <c r="L57" s="146">
        <f>IF((E57)=0,"",(K57/E57))</f>
        <v>-7.5874432386574811E-3</v>
      </c>
    </row>
    <row r="58" spans="2:12" ht="15.75" thickBot="1">
      <c r="B58" s="279" t="s">
        <v>20</v>
      </c>
      <c r="C58" s="139"/>
      <c r="D58" s="140"/>
      <c r="E58" s="128">
        <f>SUM(E56:E57)</f>
        <v>206.41735967399998</v>
      </c>
      <c r="F58" s="141"/>
      <c r="G58" s="141"/>
      <c r="H58" s="141"/>
      <c r="I58" s="212">
        <f>SUM(I56:I57)</f>
        <v>204.85117967399995</v>
      </c>
      <c r="J58" s="213"/>
      <c r="K58" s="196">
        <f t="shared" si="18"/>
        <v>-1.5661800000000312</v>
      </c>
      <c r="L58" s="155">
        <f>IF((E58)=0,"",(K58/E58))</f>
        <v>-7.5874432386575331E-3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1" spans="2:12">
      <c r="E61" s="144"/>
      <c r="I61" s="144"/>
    </row>
    <row r="62" spans="2:12">
      <c r="E62" s="144"/>
      <c r="I62" s="144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3" orientation="portrait" r:id="rId1"/>
  <ignoredErrors>
    <ignoredError sqref="C33:K41 C43:K44 C42:H42 J42:K42 C58:K58 C57:D57 J57:K57 F57:H57 C46:K56 C45:D45 F45:H45 J45:K45" unlockedFormula="1"/>
    <ignoredError sqref="I42 I57 E57 E45 I45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AC63"/>
  <sheetViews>
    <sheetView showGridLines="0" zoomScale="85" zoomScaleNormal="85" workbookViewId="0">
      <selection sqref="A1:M74"/>
    </sheetView>
  </sheetViews>
  <sheetFormatPr defaultRowHeight="15"/>
  <cols>
    <col min="1" max="1" width="3.14062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3.7109375" style="65" customWidth="1"/>
    <col min="14" max="16384" width="9.140625" style="65"/>
  </cols>
  <sheetData>
    <row r="1" spans="2:29" ht="23.25">
      <c r="B1" s="308" t="s">
        <v>31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0.14000000000000001</v>
      </c>
      <c r="L8" s="58">
        <v>0.14000000000000001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0.41</v>
      </c>
      <c r="L9" s="143">
        <v>0.41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9.9600000000000009</v>
      </c>
      <c r="D10" s="59">
        <v>10.09</v>
      </c>
      <c r="E10" s="72"/>
      <c r="F10" s="72"/>
      <c r="K10" s="144">
        <f>SUM(K7:K9)</f>
        <v>0.56999999999999995</v>
      </c>
      <c r="L10" s="144">
        <f>SUM(L7:L9)</f>
        <v>0.55000000000000004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0.56999999999999995</v>
      </c>
      <c r="D11" s="51">
        <f>+L10</f>
        <v>0.55000000000000004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1.4500000000000001E-2</v>
      </c>
      <c r="D13" s="60">
        <v>1.47E-2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7.4999999999999997E-3</v>
      </c>
      <c r="D16" s="62">
        <v>7.6E-3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5.4999999999999997E-3</v>
      </c>
      <c r="D17" s="62">
        <v>5.4000000000000003E-3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87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2000</v>
      </c>
      <c r="D25" s="161" t="s">
        <v>0</v>
      </c>
      <c r="E25" s="87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8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80"/>
      <c r="C27" s="23"/>
      <c r="D27" s="161"/>
      <c r="E27" s="8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87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9.9600000000000009</v>
      </c>
      <c r="D33" s="90">
        <v>1</v>
      </c>
      <c r="E33" s="120">
        <f>+C33*D33</f>
        <v>9.9600000000000009</v>
      </c>
      <c r="F33" s="91"/>
      <c r="G33" s="142">
        <f>+D10</f>
        <v>10.09</v>
      </c>
      <c r="H33" s="92">
        <v>1</v>
      </c>
      <c r="I33" s="189">
        <f>+G33*H33</f>
        <v>10.09</v>
      </c>
      <c r="J33" s="200"/>
      <c r="K33" s="190">
        <f>+I33-E33</f>
        <v>0.12999999999999901</v>
      </c>
      <c r="L33" s="133">
        <f>IF((E33)=0,"",(K33/E33))</f>
        <v>1.3052208835341264E-2</v>
      </c>
    </row>
    <row r="34" spans="2:15">
      <c r="B34" s="265" t="s">
        <v>12</v>
      </c>
      <c r="C34" s="110">
        <f>+C13</f>
        <v>1.4500000000000001E-2</v>
      </c>
      <c r="D34" s="93">
        <f>+$C$25</f>
        <v>2000</v>
      </c>
      <c r="E34" s="120">
        <f>+C34*D34</f>
        <v>29</v>
      </c>
      <c r="F34" s="91"/>
      <c r="G34" s="110">
        <f>+D13</f>
        <v>1.47E-2</v>
      </c>
      <c r="H34" s="94">
        <f>+$C$25</f>
        <v>2000</v>
      </c>
      <c r="I34" s="189">
        <f t="shared" ref="I34:I36" si="2">+G34*H34</f>
        <v>29.4</v>
      </c>
      <c r="J34" s="200"/>
      <c r="K34" s="190">
        <f t="shared" ref="K34:K37" si="3">+I34-E34</f>
        <v>0.39999999999999858</v>
      </c>
      <c r="L34" s="133">
        <f t="shared" ref="L34:L41" si="4">IF((E34)=0,"",(K34/E34))</f>
        <v>1.3793103448275813E-2</v>
      </c>
    </row>
    <row r="35" spans="2:15">
      <c r="B35" s="266" t="s">
        <v>53</v>
      </c>
      <c r="C35" s="110">
        <f>+K10</f>
        <v>0.56999999999999995</v>
      </c>
      <c r="D35" s="90">
        <v>1</v>
      </c>
      <c r="E35" s="120">
        <f>+C35*D35</f>
        <v>0.56999999999999995</v>
      </c>
      <c r="F35" s="91"/>
      <c r="G35" s="110">
        <f>+L10</f>
        <v>0.55000000000000004</v>
      </c>
      <c r="H35" s="92">
        <v>1</v>
      </c>
      <c r="I35" s="189">
        <f t="shared" si="2"/>
        <v>0.55000000000000004</v>
      </c>
      <c r="J35" s="200"/>
      <c r="K35" s="190">
        <f t="shared" si="3"/>
        <v>-1.9999999999999907E-2</v>
      </c>
      <c r="L35" s="133">
        <f t="shared" si="4"/>
        <v>-3.5087719298245452E-2</v>
      </c>
    </row>
    <row r="36" spans="2:15">
      <c r="B36" s="267" t="s">
        <v>54</v>
      </c>
      <c r="C36" s="111">
        <v>0</v>
      </c>
      <c r="D36" s="93">
        <f>+$C$25</f>
        <v>2000</v>
      </c>
      <c r="E36" s="121">
        <v>0</v>
      </c>
      <c r="F36" s="91"/>
      <c r="G36" s="111">
        <v>0</v>
      </c>
      <c r="H36" s="94">
        <f>+$C$25</f>
        <v>2000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39.53</v>
      </c>
      <c r="F37" s="150"/>
      <c r="G37" s="147"/>
      <c r="H37" s="100"/>
      <c r="I37" s="201">
        <f>SUM(I33:I36)</f>
        <v>40.039999999999992</v>
      </c>
      <c r="J37" s="202"/>
      <c r="K37" s="197">
        <f t="shared" si="3"/>
        <v>0.50999999999999091</v>
      </c>
      <c r="L37" s="153">
        <f t="shared" si="4"/>
        <v>1.2901593726283604E-2</v>
      </c>
    </row>
    <row r="38" spans="2:15">
      <c r="B38" s="268" t="s">
        <v>56</v>
      </c>
      <c r="C38" s="156">
        <f>+C7*H25+C8*H26+C9*H27</f>
        <v>8.3919999999999995E-2</v>
      </c>
      <c r="D38" s="95">
        <f>+C25*(C26-1)</f>
        <v>69.799999999999869</v>
      </c>
      <c r="E38" s="120">
        <f>+C38*D38</f>
        <v>5.8576159999999886</v>
      </c>
      <c r="F38" s="91"/>
      <c r="G38" s="216">
        <f>+D7*H25+D8*H26+D9*H27</f>
        <v>8.3919999999999995E-2</v>
      </c>
      <c r="H38" s="95">
        <f>+C25*(C26-1)</f>
        <v>69.799999999999869</v>
      </c>
      <c r="I38" s="189">
        <f>+G38*H38</f>
        <v>5.8576159999999886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2000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2000</v>
      </c>
      <c r="I39" s="189">
        <f t="shared" ref="I39:I41" si="6">+G39*H39</f>
        <v>-2.6</v>
      </c>
      <c r="J39" s="200"/>
      <c r="K39" s="190">
        <f t="shared" ref="K39:K41" si="7">+I39-E39</f>
        <v>-2.6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2000</v>
      </c>
      <c r="E40" s="120">
        <v>0</v>
      </c>
      <c r="F40" s="91"/>
      <c r="G40" s="110"/>
      <c r="H40" s="94">
        <f t="shared" si="5"/>
        <v>2000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46.177615999999986</v>
      </c>
      <c r="F42" s="91"/>
      <c r="G42" s="96"/>
      <c r="H42" s="97"/>
      <c r="I42" s="203">
        <f>SUM(I37:I41)</f>
        <v>44.087615999999976</v>
      </c>
      <c r="J42" s="200"/>
      <c r="K42" s="198">
        <f>+I42-E42</f>
        <v>-2.0900000000000105</v>
      </c>
      <c r="L42" s="145">
        <f>IF((E42)=0,"",(K42/E42))</f>
        <v>-4.5260023817600525E-2</v>
      </c>
      <c r="O42" s="144"/>
    </row>
    <row r="43" spans="2:15">
      <c r="B43" s="270" t="s">
        <v>60</v>
      </c>
      <c r="C43" s="110">
        <f>+C16</f>
        <v>7.4999999999999997E-3</v>
      </c>
      <c r="D43" s="98">
        <f>+$C$25*$C$26</f>
        <v>2069.7999999999997</v>
      </c>
      <c r="E43" s="120">
        <f>+C43*D43</f>
        <v>15.523499999999997</v>
      </c>
      <c r="F43" s="91"/>
      <c r="G43" s="110">
        <f>+D16</f>
        <v>7.6E-3</v>
      </c>
      <c r="H43" s="99">
        <f>+$C$25*$C$26</f>
        <v>2069.7999999999997</v>
      </c>
      <c r="I43" s="189">
        <f>+G43*H43</f>
        <v>15.730479999999998</v>
      </c>
      <c r="J43" s="200"/>
      <c r="K43" s="190">
        <f t="shared" ref="K43:K44" si="8">+I43-E43</f>
        <v>0.2069800000000015</v>
      </c>
      <c r="L43" s="133">
        <f t="shared" ref="L43:L44" si="9">IF((E43)=0,"",(K43/E43))</f>
        <v>1.3333333333333433E-2</v>
      </c>
    </row>
    <row r="44" spans="2:15" ht="30" customHeight="1">
      <c r="B44" s="271" t="s">
        <v>61</v>
      </c>
      <c r="C44" s="110">
        <f>+C17</f>
        <v>5.4999999999999997E-3</v>
      </c>
      <c r="D44" s="98">
        <f>+$C$25*$C$26</f>
        <v>2069.7999999999997</v>
      </c>
      <c r="E44" s="120">
        <f>+C44*D44</f>
        <v>11.383899999999997</v>
      </c>
      <c r="F44" s="91"/>
      <c r="G44" s="110">
        <v>5.4000000000000003E-3</v>
      </c>
      <c r="H44" s="99">
        <f>+$C$25*$C$26</f>
        <v>2069.7999999999997</v>
      </c>
      <c r="I44" s="189">
        <f>+G44*H44</f>
        <v>11.176919999999999</v>
      </c>
      <c r="J44" s="200"/>
      <c r="K44" s="190">
        <f t="shared" si="8"/>
        <v>-0.20697999999999794</v>
      </c>
      <c r="L44" s="133">
        <f t="shared" si="9"/>
        <v>-1.8181818181818007E-2</v>
      </c>
    </row>
    <row r="45" spans="2:15">
      <c r="B45" s="119" t="s">
        <v>62</v>
      </c>
      <c r="C45" s="96"/>
      <c r="D45" s="96"/>
      <c r="E45" s="122">
        <f>SUM(E42:E44)</f>
        <v>73.085015999999982</v>
      </c>
      <c r="F45" s="91"/>
      <c r="G45" s="100"/>
      <c r="H45" s="101"/>
      <c r="I45" s="203">
        <f>SUM(I42:I44)</f>
        <v>70.995015999999978</v>
      </c>
      <c r="J45" s="200"/>
      <c r="K45" s="198">
        <f>+I45-E45</f>
        <v>-2.0900000000000034</v>
      </c>
      <c r="L45" s="145">
        <f>IF((E45)=0,"",(K45/E45))</f>
        <v>-2.8596833036199979E-2</v>
      </c>
    </row>
    <row r="46" spans="2:15">
      <c r="B46" s="272" t="s">
        <v>63</v>
      </c>
      <c r="C46" s="112">
        <f>+C18</f>
        <v>4.4000000000000003E-3</v>
      </c>
      <c r="D46" s="98">
        <f>+$C$25*$C$26</f>
        <v>2069.7999999999997</v>
      </c>
      <c r="E46" s="123">
        <f>+C46*D46</f>
        <v>9.1071200000000001</v>
      </c>
      <c r="F46" s="91"/>
      <c r="G46" s="112">
        <f>+D18</f>
        <v>4.4000000000000003E-3</v>
      </c>
      <c r="H46" s="99">
        <f>+$C$25*$C$26</f>
        <v>2069.7999999999997</v>
      </c>
      <c r="I46" s="204">
        <f>+G46*H46</f>
        <v>9.1071200000000001</v>
      </c>
      <c r="J46" s="200"/>
      <c r="K46" s="190">
        <f t="shared" ref="K46:K52" si="10">+I46-E46</f>
        <v>0</v>
      </c>
      <c r="L46" s="133">
        <f t="shared" ref="L46:L52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>+$C$25*$C$26</f>
        <v>2069.7999999999997</v>
      </c>
      <c r="E47" s="123">
        <f t="shared" ref="E47:E52" si="13">+C47*D47</f>
        <v>2.4837599999999993</v>
      </c>
      <c r="F47" s="91"/>
      <c r="G47" s="112">
        <f t="shared" ref="G47:G49" si="14">+D19</f>
        <v>1.1999999999999999E-3</v>
      </c>
      <c r="H47" s="99">
        <f>+$C$25*$C$26</f>
        <v>2069.7999999999997</v>
      </c>
      <c r="I47" s="204">
        <f t="shared" ref="I47:I52" si="15">+G47*H47</f>
        <v>2.4837599999999993</v>
      </c>
      <c r="J47" s="200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23">
        <f t="shared" si="13"/>
        <v>0.25</v>
      </c>
      <c r="F48" s="91"/>
      <c r="G48" s="112">
        <f t="shared" si="14"/>
        <v>0.25</v>
      </c>
      <c r="H48" s="99">
        <v>1</v>
      </c>
      <c r="I48" s="204">
        <f t="shared" si="15"/>
        <v>0.25</v>
      </c>
      <c r="J48" s="200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2000</v>
      </c>
      <c r="E49" s="123">
        <f t="shared" si="13"/>
        <v>14</v>
      </c>
      <c r="F49" s="91"/>
      <c r="G49" s="112">
        <f t="shared" si="14"/>
        <v>7.0000000000000001E-3</v>
      </c>
      <c r="H49" s="99">
        <f>+$C$25</f>
        <v>2000</v>
      </c>
      <c r="I49" s="204">
        <f t="shared" si="15"/>
        <v>14</v>
      </c>
      <c r="J49" s="200"/>
      <c r="K49" s="190">
        <f t="shared" si="10"/>
        <v>0</v>
      </c>
      <c r="L49" s="133">
        <f t="shared" si="11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1280</v>
      </c>
      <c r="E50" s="123">
        <f t="shared" si="13"/>
        <v>85.76</v>
      </c>
      <c r="F50" s="91"/>
      <c r="G50" s="102">
        <f>+$C$7</f>
        <v>6.7000000000000004E-2</v>
      </c>
      <c r="H50" s="98">
        <f>+$C$25*H25</f>
        <v>1280</v>
      </c>
      <c r="I50" s="204">
        <f t="shared" si="15"/>
        <v>85.76</v>
      </c>
      <c r="J50" s="200"/>
      <c r="K50" s="190">
        <f t="shared" si="10"/>
        <v>0</v>
      </c>
      <c r="L50" s="133">
        <f t="shared" si="11"/>
        <v>0</v>
      </c>
    </row>
    <row r="51" spans="2:12">
      <c r="B51" s="269" t="s">
        <v>9</v>
      </c>
      <c r="C51" s="102">
        <f>+$C$8</f>
        <v>0.104</v>
      </c>
      <c r="D51" s="98">
        <f t="shared" ref="D51:D52" si="16">+$C$25*H26</f>
        <v>360</v>
      </c>
      <c r="E51" s="123">
        <f t="shared" si="13"/>
        <v>37.44</v>
      </c>
      <c r="F51" s="91"/>
      <c r="G51" s="102">
        <f>+$C$8</f>
        <v>0.104</v>
      </c>
      <c r="H51" s="98">
        <f>+$C$25*H26</f>
        <v>360</v>
      </c>
      <c r="I51" s="204">
        <f t="shared" si="15"/>
        <v>37.44</v>
      </c>
      <c r="J51" s="200"/>
      <c r="K51" s="190">
        <f t="shared" si="10"/>
        <v>0</v>
      </c>
      <c r="L51" s="133">
        <f t="shared" si="11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6"/>
        <v>360</v>
      </c>
      <c r="E52" s="123">
        <f t="shared" si="13"/>
        <v>44.64</v>
      </c>
      <c r="F52" s="91"/>
      <c r="G52" s="102">
        <f>+$C$9</f>
        <v>0.124</v>
      </c>
      <c r="H52" s="98">
        <f>+$C$25*H27</f>
        <v>360</v>
      </c>
      <c r="I52" s="204">
        <f t="shared" si="15"/>
        <v>44.64</v>
      </c>
      <c r="J52" s="200"/>
      <c r="K52" s="190">
        <f t="shared" si="10"/>
        <v>0</v>
      </c>
      <c r="L52" s="133">
        <f t="shared" si="11"/>
        <v>0</v>
      </c>
    </row>
    <row r="53" spans="2:12" s="161" customFormat="1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266.765896</v>
      </c>
      <c r="F54" s="136"/>
      <c r="G54" s="137"/>
      <c r="H54" s="137"/>
      <c r="I54" s="225">
        <f>SUM(I45:I52)</f>
        <v>264.67589599999997</v>
      </c>
      <c r="J54" s="208"/>
      <c r="K54" s="225">
        <f>+I54-E54</f>
        <v>-2.0900000000000318</v>
      </c>
      <c r="L54" s="226">
        <f t="shared" ref="L54:L56" si="17">IF((E54)=0,"",(K54/E54))</f>
        <v>-7.8345846726975612E-3</v>
      </c>
    </row>
    <row r="55" spans="2:12">
      <c r="B55" s="276" t="s">
        <v>19</v>
      </c>
      <c r="C55" s="134">
        <v>0.13</v>
      </c>
      <c r="D55" s="138"/>
      <c r="E55" s="126">
        <f>+E54*C55</f>
        <v>34.679566479999998</v>
      </c>
      <c r="F55" s="90"/>
      <c r="G55" s="134">
        <v>0.13</v>
      </c>
      <c r="H55" s="90"/>
      <c r="I55" s="209">
        <f>+I54*G55</f>
        <v>34.407866479999996</v>
      </c>
      <c r="J55" s="210"/>
      <c r="K55" s="195">
        <f t="shared" ref="K55:K58" si="18">+I55-E55</f>
        <v>-0.27170000000000272</v>
      </c>
      <c r="L55" s="146">
        <f t="shared" si="17"/>
        <v>-7.8345846726975213E-3</v>
      </c>
    </row>
    <row r="56" spans="2:12">
      <c r="B56" s="277" t="s">
        <v>67</v>
      </c>
      <c r="C56" s="90"/>
      <c r="D56" s="138"/>
      <c r="E56" s="126">
        <f>SUM(E54:E55)</f>
        <v>301.44546248</v>
      </c>
      <c r="F56" s="90"/>
      <c r="G56" s="90"/>
      <c r="H56" s="90"/>
      <c r="I56" s="209">
        <f>SUM(I54:I55)</f>
        <v>299.08376247999996</v>
      </c>
      <c r="J56" s="210"/>
      <c r="K56" s="195">
        <f t="shared" si="18"/>
        <v>-2.3617000000000417</v>
      </c>
      <c r="L56" s="146">
        <f t="shared" si="17"/>
        <v>-7.8345846726975803E-3</v>
      </c>
    </row>
    <row r="57" spans="2:12">
      <c r="B57" s="278" t="s">
        <v>68</v>
      </c>
      <c r="C57" s="90"/>
      <c r="D57" s="138"/>
      <c r="E57" s="214">
        <f>-E56*0.1</f>
        <v>-30.144546248000001</v>
      </c>
      <c r="F57" s="90"/>
      <c r="G57" s="90"/>
      <c r="H57" s="90"/>
      <c r="I57" s="211">
        <f>-I56*0.1</f>
        <v>-29.908376247999996</v>
      </c>
      <c r="J57" s="210"/>
      <c r="K57" s="199">
        <f t="shared" si="18"/>
        <v>0.23617000000000488</v>
      </c>
      <c r="L57" s="146">
        <f>IF((E57)=0,"",(K57/E57))</f>
        <v>-7.8345846726976046E-3</v>
      </c>
    </row>
    <row r="58" spans="2:12" ht="15.75" thickBot="1">
      <c r="B58" s="296" t="s">
        <v>20</v>
      </c>
      <c r="C58" s="228"/>
      <c r="D58" s="229"/>
      <c r="E58" s="230">
        <f>SUM(E56:E57)</f>
        <v>271.30091623200002</v>
      </c>
      <c r="F58" s="231"/>
      <c r="G58" s="231"/>
      <c r="H58" s="231"/>
      <c r="I58" s="232">
        <f>SUM(I56:I57)</f>
        <v>269.17538623199994</v>
      </c>
      <c r="J58" s="233"/>
      <c r="K58" s="234">
        <f t="shared" si="18"/>
        <v>-2.125530000000083</v>
      </c>
      <c r="L58" s="235">
        <f>IF((E58)=0,"",(K58/E58))</f>
        <v>-7.8345846726977485E-3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1" spans="2:12">
      <c r="E61" s="144"/>
      <c r="I61" s="144"/>
    </row>
    <row r="62" spans="2:12">
      <c r="E62" s="144"/>
      <c r="I62" s="144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J41 C46:J52 C45:D45 F45:H45 J45 C43:J44 C42:H42 J42" unlockedFormula="1"/>
    <ignoredError sqref="E57 I57" formula="1"/>
    <ignoredError sqref="E45 I45 I42" formula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AC63"/>
  <sheetViews>
    <sheetView showGridLines="0" zoomScale="85" zoomScaleNormal="85" workbookViewId="0">
      <selection sqref="A1:M70"/>
    </sheetView>
  </sheetViews>
  <sheetFormatPr defaultRowHeight="15"/>
  <cols>
    <col min="1" max="1" width="2.710937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5" style="65" customWidth="1"/>
    <col min="14" max="16384" width="9.140625" style="65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7.17</v>
      </c>
      <c r="L8" s="58">
        <v>7.17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6.16</v>
      </c>
      <c r="L9" s="143">
        <v>6.16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17.98</v>
      </c>
      <c r="D10" s="59">
        <v>18.21</v>
      </c>
      <c r="E10" s="72"/>
      <c r="F10" s="72"/>
      <c r="K10" s="144">
        <f>SUM(K7:K9)</f>
        <v>13.35</v>
      </c>
      <c r="L10" s="144">
        <f>SUM(L7:L9)</f>
        <v>13.33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13.35</v>
      </c>
      <c r="D11" s="51">
        <f>+L10</f>
        <v>13.33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1.5800000000000002E-2</v>
      </c>
      <c r="D13" s="60">
        <v>1.6E-2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6.7000000000000002E-3</v>
      </c>
      <c r="D16" s="62">
        <v>6.7999999999999996E-3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4.7000000000000002E-3</v>
      </c>
      <c r="D17" s="62">
        <v>4.5999999999999999E-3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161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1000</v>
      </c>
      <c r="D25" s="161" t="s">
        <v>0</v>
      </c>
      <c r="E25" s="161"/>
      <c r="F25" s="24" t="s">
        <v>8</v>
      </c>
      <c r="G25" s="25"/>
      <c r="H25" s="26">
        <v>0.64</v>
      </c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161"/>
      <c r="F26" s="24" t="s">
        <v>9</v>
      </c>
      <c r="G26" s="25"/>
      <c r="H26" s="26">
        <v>0.18</v>
      </c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161"/>
      <c r="C27" s="161"/>
      <c r="D27" s="161"/>
      <c r="E27" s="161"/>
      <c r="F27" s="24" t="s">
        <v>10</v>
      </c>
      <c r="G27" s="25"/>
      <c r="H27" s="26">
        <v>0.18</v>
      </c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D28" s="161"/>
      <c r="E28" s="161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17.98</v>
      </c>
      <c r="D33" s="90">
        <v>1</v>
      </c>
      <c r="E33" s="120">
        <f>+C33*D33</f>
        <v>17.98</v>
      </c>
      <c r="F33" s="91"/>
      <c r="G33" s="142">
        <f>+D10</f>
        <v>18.21</v>
      </c>
      <c r="H33" s="92">
        <v>1</v>
      </c>
      <c r="I33" s="189">
        <f>+G33*H33</f>
        <v>18.21</v>
      </c>
      <c r="J33" s="200"/>
      <c r="K33" s="190">
        <f>+I33-E33</f>
        <v>0.23000000000000043</v>
      </c>
      <c r="L33" s="133">
        <f>IF((E33)=0,"",(K33/E33))</f>
        <v>1.2791991101223605E-2</v>
      </c>
    </row>
    <row r="34" spans="2:15">
      <c r="B34" s="265" t="s">
        <v>12</v>
      </c>
      <c r="C34" s="110">
        <f>+C13</f>
        <v>1.5800000000000002E-2</v>
      </c>
      <c r="D34" s="93">
        <f>+$C$25</f>
        <v>1000</v>
      </c>
      <c r="E34" s="120">
        <f>+C34*D34</f>
        <v>15.8</v>
      </c>
      <c r="F34" s="91"/>
      <c r="G34" s="110">
        <f>+D13</f>
        <v>1.6E-2</v>
      </c>
      <c r="H34" s="94">
        <f>+$C$25</f>
        <v>1000</v>
      </c>
      <c r="I34" s="189">
        <f t="shared" ref="I34:I36" si="2">+G34*H34</f>
        <v>16</v>
      </c>
      <c r="J34" s="200"/>
      <c r="K34" s="190">
        <f t="shared" ref="K34:K37" si="3">+I34-E34</f>
        <v>0.19999999999999929</v>
      </c>
      <c r="L34" s="133">
        <f t="shared" ref="L34:L41" si="4">IF((E34)=0,"",(K34/E34))</f>
        <v>1.2658227848101221E-2</v>
      </c>
    </row>
    <row r="35" spans="2:15">
      <c r="B35" s="266" t="s">
        <v>53</v>
      </c>
      <c r="C35" s="160">
        <f>+K10</f>
        <v>13.35</v>
      </c>
      <c r="D35" s="90">
        <v>1</v>
      </c>
      <c r="E35" s="120">
        <f>+C35*D35</f>
        <v>13.35</v>
      </c>
      <c r="F35" s="91"/>
      <c r="G35" s="160">
        <f>+L10</f>
        <v>13.33</v>
      </c>
      <c r="H35" s="92">
        <v>1</v>
      </c>
      <c r="I35" s="189">
        <f t="shared" si="2"/>
        <v>13.33</v>
      </c>
      <c r="J35" s="200"/>
      <c r="K35" s="190">
        <f t="shared" si="3"/>
        <v>-1.9999999999999574E-2</v>
      </c>
      <c r="L35" s="133">
        <f t="shared" si="4"/>
        <v>-1.4981273408239382E-3</v>
      </c>
    </row>
    <row r="36" spans="2:15">
      <c r="B36" s="267" t="s">
        <v>54</v>
      </c>
      <c r="C36" s="111">
        <v>0</v>
      </c>
      <c r="D36" s="93">
        <f>+$C$25</f>
        <v>1000</v>
      </c>
      <c r="E36" s="121">
        <v>0</v>
      </c>
      <c r="F36" s="91"/>
      <c r="G36" s="111">
        <v>0</v>
      </c>
      <c r="H36" s="94">
        <f>+$C$25</f>
        <v>1000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47.13</v>
      </c>
      <c r="F37" s="150"/>
      <c r="G37" s="147"/>
      <c r="H37" s="100"/>
      <c r="I37" s="201">
        <f>SUM(I33:I36)</f>
        <v>47.54</v>
      </c>
      <c r="J37" s="202"/>
      <c r="K37" s="197">
        <f t="shared" si="3"/>
        <v>0.40999999999999659</v>
      </c>
      <c r="L37" s="153">
        <f t="shared" si="4"/>
        <v>8.6993422448545851E-3</v>
      </c>
    </row>
    <row r="38" spans="2:15">
      <c r="B38" s="268" t="s">
        <v>56</v>
      </c>
      <c r="C38" s="156">
        <f>+C7*H25+C8*H26+C9*H27</f>
        <v>8.3919999999999995E-2</v>
      </c>
      <c r="D38" s="95">
        <f>+ROUND(C25*(C26-1),2)</f>
        <v>34.9</v>
      </c>
      <c r="E38" s="159">
        <f>+C38*D38</f>
        <v>2.9288079999999996</v>
      </c>
      <c r="F38" s="91"/>
      <c r="G38" s="156">
        <f>+C7*H25+C8*H26+C9*H27</f>
        <v>8.3919999999999995E-2</v>
      </c>
      <c r="H38" s="95">
        <f>+ROUND(C25*(C26-1),2)</f>
        <v>34.9</v>
      </c>
      <c r="I38" s="189">
        <f>+G38*H38</f>
        <v>2.9288079999999996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1000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1000</v>
      </c>
      <c r="I39" s="189">
        <f t="shared" ref="I39:I41" si="6">+G39*H39</f>
        <v>-1.3</v>
      </c>
      <c r="J39" s="200"/>
      <c r="K39" s="190">
        <f t="shared" ref="K39:K41" si="7">+I39-E39</f>
        <v>-1.3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1000</v>
      </c>
      <c r="E40" s="120">
        <v>0</v>
      </c>
      <c r="F40" s="91"/>
      <c r="G40" s="110"/>
      <c r="H40" s="94">
        <f t="shared" si="5"/>
        <v>1000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50.848807999999998</v>
      </c>
      <c r="F42" s="91"/>
      <c r="G42" s="96"/>
      <c r="H42" s="97"/>
      <c r="I42" s="203">
        <f>SUM(I37:I41)</f>
        <v>49.958807999999998</v>
      </c>
      <c r="J42" s="200"/>
      <c r="K42" s="198">
        <f>+I42-E42</f>
        <v>-0.89000000000000057</v>
      </c>
      <c r="L42" s="145">
        <f>IF((E42)=0,"",(K42/E42))</f>
        <v>-1.7502868503820199E-2</v>
      </c>
      <c r="O42" s="144"/>
    </row>
    <row r="43" spans="2:15">
      <c r="B43" s="270" t="s">
        <v>60</v>
      </c>
      <c r="C43" s="110">
        <f>+C16</f>
        <v>6.7000000000000002E-3</v>
      </c>
      <c r="D43" s="98">
        <f>+ROUND($C$25*$C$26,2)</f>
        <v>1034.9000000000001</v>
      </c>
      <c r="E43" s="120">
        <f>+C43*D43</f>
        <v>6.9338300000000013</v>
      </c>
      <c r="F43" s="91"/>
      <c r="G43" s="110">
        <f>+D16</f>
        <v>6.7999999999999996E-3</v>
      </c>
      <c r="H43" s="98">
        <f>+ROUND($C$25*$C$26,2)</f>
        <v>1034.9000000000001</v>
      </c>
      <c r="I43" s="189">
        <f>+G43*H43</f>
        <v>7.0373200000000002</v>
      </c>
      <c r="J43" s="200"/>
      <c r="K43" s="190">
        <f t="shared" ref="K43:K44" si="8">+I43-E43</f>
        <v>0.10348999999999897</v>
      </c>
      <c r="L43" s="133">
        <f t="shared" ref="L43:L44" si="9">IF((E43)=0,"",(K43/E43))</f>
        <v>1.4925373134328207E-2</v>
      </c>
    </row>
    <row r="44" spans="2:15" ht="30" customHeight="1">
      <c r="B44" s="271" t="s">
        <v>61</v>
      </c>
      <c r="C44" s="110">
        <f>+C17</f>
        <v>4.7000000000000002E-3</v>
      </c>
      <c r="D44" s="98">
        <f>+ROUND($C$25*$C$26,2)</f>
        <v>1034.9000000000001</v>
      </c>
      <c r="E44" s="120">
        <f>+C44*D44</f>
        <v>4.8640300000000005</v>
      </c>
      <c r="F44" s="91"/>
      <c r="G44" s="110">
        <f>+D17</f>
        <v>4.5999999999999999E-3</v>
      </c>
      <c r="H44" s="98">
        <f>+ROUND($C$25*$C$26,2)</f>
        <v>1034.9000000000001</v>
      </c>
      <c r="I44" s="189">
        <f>+G44*H44</f>
        <v>4.7605400000000007</v>
      </c>
      <c r="J44" s="200"/>
      <c r="K44" s="190">
        <f t="shared" si="8"/>
        <v>-0.10348999999999986</v>
      </c>
      <c r="L44" s="133">
        <f t="shared" si="9"/>
        <v>-2.1276595744680819E-2</v>
      </c>
    </row>
    <row r="45" spans="2:15">
      <c r="B45" s="119" t="s">
        <v>62</v>
      </c>
      <c r="C45" s="96"/>
      <c r="D45" s="96"/>
      <c r="E45" s="122">
        <f>SUM(E42:E44)</f>
        <v>62.646667999999998</v>
      </c>
      <c r="F45" s="91"/>
      <c r="G45" s="100"/>
      <c r="H45" s="101"/>
      <c r="I45" s="203">
        <f>SUM(I42:I44)</f>
        <v>61.756667999999998</v>
      </c>
      <c r="J45" s="200"/>
      <c r="K45" s="198">
        <f>+I45-E45</f>
        <v>-0.89000000000000057</v>
      </c>
      <c r="L45" s="145">
        <f>IF((E45)=0,"",(K45/E45))</f>
        <v>-1.4206661398176845E-2</v>
      </c>
    </row>
    <row r="46" spans="2:15">
      <c r="B46" s="272" t="s">
        <v>63</v>
      </c>
      <c r="C46" s="112">
        <f>+C18</f>
        <v>4.4000000000000003E-3</v>
      </c>
      <c r="D46" s="98">
        <f>+ROUND($C$25*$C$26,2)</f>
        <v>1034.9000000000001</v>
      </c>
      <c r="E46" s="123">
        <f>+C46*D46</f>
        <v>4.5535600000000009</v>
      </c>
      <c r="F46" s="91"/>
      <c r="G46" s="112">
        <f>+D18</f>
        <v>4.4000000000000003E-3</v>
      </c>
      <c r="H46" s="98">
        <f>+ROUND($C$25*$C$26,2)</f>
        <v>1034.9000000000001</v>
      </c>
      <c r="I46" s="204">
        <f>+G46*H46</f>
        <v>4.5535600000000009</v>
      </c>
      <c r="J46" s="200"/>
      <c r="K46" s="190">
        <f t="shared" ref="K46:K52" si="10">+I46-E46</f>
        <v>0</v>
      </c>
      <c r="L46" s="133">
        <f t="shared" ref="L46:L52" si="11">IF((E46)=0,"",(K46/E46))</f>
        <v>0</v>
      </c>
    </row>
    <row r="47" spans="2:15">
      <c r="B47" s="272" t="s">
        <v>64</v>
      </c>
      <c r="C47" s="112">
        <f t="shared" ref="C47:C49" si="12">+C19</f>
        <v>1.1999999999999999E-3</v>
      </c>
      <c r="D47" s="98">
        <f>+ROUND($C$25*$C$26,2)</f>
        <v>1034.9000000000001</v>
      </c>
      <c r="E47" s="123">
        <f t="shared" ref="E47:E52" si="13">+C47*D47</f>
        <v>1.2418800000000001</v>
      </c>
      <c r="F47" s="91"/>
      <c r="G47" s="112">
        <f t="shared" ref="G47:G49" si="14">+D19</f>
        <v>1.1999999999999999E-3</v>
      </c>
      <c r="H47" s="98">
        <f>+ROUND($C$25*$C$26,2)</f>
        <v>1034.9000000000001</v>
      </c>
      <c r="I47" s="204">
        <f t="shared" ref="I47:I52" si="15">+G47*H47</f>
        <v>1.2418800000000001</v>
      </c>
      <c r="J47" s="200"/>
      <c r="K47" s="190">
        <f t="shared" si="10"/>
        <v>0</v>
      </c>
      <c r="L47" s="133">
        <f t="shared" si="11"/>
        <v>0</v>
      </c>
    </row>
    <row r="48" spans="2:15">
      <c r="B48" s="265" t="s">
        <v>65</v>
      </c>
      <c r="C48" s="112">
        <f t="shared" si="12"/>
        <v>0.25</v>
      </c>
      <c r="D48" s="98">
        <v>1</v>
      </c>
      <c r="E48" s="123">
        <f t="shared" si="13"/>
        <v>0.25</v>
      </c>
      <c r="F48" s="91"/>
      <c r="G48" s="112">
        <f t="shared" si="14"/>
        <v>0.25</v>
      </c>
      <c r="H48" s="99">
        <v>1</v>
      </c>
      <c r="I48" s="204">
        <f t="shared" si="15"/>
        <v>0.25</v>
      </c>
      <c r="J48" s="200"/>
      <c r="K48" s="190">
        <f t="shared" si="10"/>
        <v>0</v>
      </c>
      <c r="L48" s="133">
        <f t="shared" si="11"/>
        <v>0</v>
      </c>
    </row>
    <row r="49" spans="2:12">
      <c r="B49" s="265" t="s">
        <v>18</v>
      </c>
      <c r="C49" s="112">
        <f t="shared" si="12"/>
        <v>7.0000000000000001E-3</v>
      </c>
      <c r="D49" s="93">
        <f>+$C$25</f>
        <v>1000</v>
      </c>
      <c r="E49" s="123">
        <f t="shared" si="13"/>
        <v>7</v>
      </c>
      <c r="F49" s="91"/>
      <c r="G49" s="112">
        <f t="shared" si="14"/>
        <v>7.0000000000000001E-3</v>
      </c>
      <c r="H49" s="99">
        <f>+$C$25</f>
        <v>1000</v>
      </c>
      <c r="I49" s="204">
        <f t="shared" si="15"/>
        <v>7</v>
      </c>
      <c r="J49" s="200"/>
      <c r="K49" s="190">
        <f t="shared" si="10"/>
        <v>0</v>
      </c>
      <c r="L49" s="133">
        <f t="shared" si="11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640</v>
      </c>
      <c r="E50" s="123">
        <f t="shared" si="13"/>
        <v>42.88</v>
      </c>
      <c r="F50" s="91"/>
      <c r="G50" s="102">
        <f>+D7</f>
        <v>6.7000000000000004E-2</v>
      </c>
      <c r="H50" s="98">
        <f>+$C$25*H25</f>
        <v>640</v>
      </c>
      <c r="I50" s="204">
        <f t="shared" si="15"/>
        <v>42.88</v>
      </c>
      <c r="J50" s="200"/>
      <c r="K50" s="190">
        <f t="shared" si="10"/>
        <v>0</v>
      </c>
      <c r="L50" s="133">
        <f t="shared" si="11"/>
        <v>0</v>
      </c>
    </row>
    <row r="51" spans="2:12">
      <c r="B51" s="269" t="s">
        <v>9</v>
      </c>
      <c r="C51" s="102">
        <f>+$C$8</f>
        <v>0.104</v>
      </c>
      <c r="D51" s="98">
        <f t="shared" ref="D51:D52" si="16">+$C$25*H26</f>
        <v>180</v>
      </c>
      <c r="E51" s="123">
        <f t="shared" si="13"/>
        <v>18.72</v>
      </c>
      <c r="F51" s="91"/>
      <c r="G51" s="102">
        <f t="shared" ref="G51:G52" si="17">+D8</f>
        <v>0.104</v>
      </c>
      <c r="H51" s="98">
        <f>+$C$25*H26</f>
        <v>180</v>
      </c>
      <c r="I51" s="204">
        <f t="shared" si="15"/>
        <v>18.72</v>
      </c>
      <c r="J51" s="200"/>
      <c r="K51" s="190">
        <f t="shared" si="10"/>
        <v>0</v>
      </c>
      <c r="L51" s="133">
        <f t="shared" si="11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6"/>
        <v>180</v>
      </c>
      <c r="E52" s="123">
        <f t="shared" si="13"/>
        <v>22.32</v>
      </c>
      <c r="F52" s="91"/>
      <c r="G52" s="102">
        <f t="shared" si="17"/>
        <v>0.124</v>
      </c>
      <c r="H52" s="98">
        <f>+$C$25*H27</f>
        <v>180</v>
      </c>
      <c r="I52" s="204">
        <f t="shared" si="15"/>
        <v>22.32</v>
      </c>
      <c r="J52" s="200"/>
      <c r="K52" s="190">
        <f t="shared" si="10"/>
        <v>0</v>
      </c>
      <c r="L52" s="133">
        <f t="shared" si="11"/>
        <v>0</v>
      </c>
    </row>
    <row r="53" spans="2:12" s="161" customFormat="1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159.61210799999998</v>
      </c>
      <c r="F54" s="136"/>
      <c r="G54" s="137"/>
      <c r="H54" s="137"/>
      <c r="I54" s="207">
        <f>SUM(I45:I52)</f>
        <v>158.72210799999999</v>
      </c>
      <c r="J54" s="208"/>
      <c r="K54" s="194">
        <f>+I54-E54</f>
        <v>-0.88999999999998636</v>
      </c>
      <c r="L54" s="154">
        <f t="shared" ref="L54:L56" si="18">IF((E54)=0,"",(K54/E54))</f>
        <v>-5.5760180800317888E-3</v>
      </c>
    </row>
    <row r="55" spans="2:12">
      <c r="B55" s="276" t="s">
        <v>19</v>
      </c>
      <c r="C55" s="134">
        <v>0.13</v>
      </c>
      <c r="D55" s="138"/>
      <c r="E55" s="126">
        <f>+E54*C55</f>
        <v>20.749574039999999</v>
      </c>
      <c r="F55" s="90"/>
      <c r="G55" s="134">
        <v>0.13</v>
      </c>
      <c r="H55" s="90"/>
      <c r="I55" s="209">
        <f>+I54*G55</f>
        <v>20.633874039999998</v>
      </c>
      <c r="J55" s="210"/>
      <c r="K55" s="195">
        <f t="shared" ref="K55:K58" si="19">+I55-E55</f>
        <v>-0.11570000000000036</v>
      </c>
      <c r="L55" s="146">
        <f t="shared" si="18"/>
        <v>-5.5760180800318911E-3</v>
      </c>
    </row>
    <row r="56" spans="2:12">
      <c r="B56" s="277" t="s">
        <v>67</v>
      </c>
      <c r="C56" s="90"/>
      <c r="D56" s="138"/>
      <c r="E56" s="126">
        <f>SUM(E54:E55)</f>
        <v>180.36168203999998</v>
      </c>
      <c r="F56" s="90"/>
      <c r="G56" s="90"/>
      <c r="H56" s="90"/>
      <c r="I56" s="209">
        <f>SUM(I54:I55)</f>
        <v>179.35598203999999</v>
      </c>
      <c r="J56" s="210"/>
      <c r="K56" s="195">
        <f t="shared" si="19"/>
        <v>-1.0056999999999903</v>
      </c>
      <c r="L56" s="146">
        <f t="shared" si="18"/>
        <v>-5.57601808003182E-3</v>
      </c>
    </row>
    <row r="57" spans="2:12">
      <c r="B57" s="278" t="s">
        <v>68</v>
      </c>
      <c r="C57" s="90"/>
      <c r="D57" s="138"/>
      <c r="E57" s="214">
        <f>-E56*0.1</f>
        <v>-18.036168203999999</v>
      </c>
      <c r="F57" s="90"/>
      <c r="G57" s="90"/>
      <c r="H57" s="90"/>
      <c r="I57" s="211">
        <f>-I56*0.1</f>
        <v>-17.935598203999998</v>
      </c>
      <c r="J57" s="210"/>
      <c r="K57" s="199">
        <f t="shared" si="19"/>
        <v>0.10057000000000116</v>
      </c>
      <c r="L57" s="146">
        <f>IF((E57)=0,"",(K57/E57))</f>
        <v>-5.576018080031938E-3</v>
      </c>
    </row>
    <row r="58" spans="2:12" ht="15.75" thickBot="1">
      <c r="B58" s="279" t="s">
        <v>20</v>
      </c>
      <c r="C58" s="139"/>
      <c r="D58" s="140"/>
      <c r="E58" s="128">
        <f>SUM(E56:E57)</f>
        <v>162.32551383599997</v>
      </c>
      <c r="F58" s="141"/>
      <c r="G58" s="141"/>
      <c r="H58" s="141"/>
      <c r="I58" s="212">
        <f>SUM(I56:I57)</f>
        <v>161.42038383599998</v>
      </c>
      <c r="J58" s="213"/>
      <c r="K58" s="196">
        <f t="shared" si="19"/>
        <v>-0.90512999999998556</v>
      </c>
      <c r="L58" s="155">
        <f>IF((E58)=0,"",(K58/E58))</f>
        <v>-5.5760180800317853E-3</v>
      </c>
    </row>
    <row r="59" spans="2:12" s="161" customFormat="1">
      <c r="B59" s="280">
        <v>1000</v>
      </c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1" spans="2:12">
      <c r="E61" s="144"/>
      <c r="I61" s="144"/>
    </row>
    <row r="62" spans="2:12">
      <c r="E62" s="144"/>
      <c r="I62" s="144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L36 C43:L44 C42:H42 J42:L42 C58:L58 C57:D57 J57:L57 F57:H57 C46:L56 C45:D45 F45:H45 J45:L45 C38:L41 C37:H37 J37:L37" unlockedFormula="1"/>
    <ignoredError sqref="I42 I57 E57 E45 I45 I37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AC63"/>
  <sheetViews>
    <sheetView showGridLines="0" zoomScale="85" zoomScaleNormal="85" workbookViewId="0">
      <selection sqref="A1:N71"/>
    </sheetView>
  </sheetViews>
  <sheetFormatPr defaultRowHeight="15"/>
  <cols>
    <col min="1" max="1" width="2.5703125" style="161" customWidth="1"/>
    <col min="2" max="2" width="47.5703125" style="65" customWidth="1"/>
    <col min="3" max="3" width="13.5703125" style="65" customWidth="1"/>
    <col min="4" max="4" width="13.140625" style="65" customWidth="1"/>
    <col min="5" max="5" width="13.5703125" style="65" customWidth="1"/>
    <col min="6" max="6" width="2.140625" style="65" customWidth="1"/>
    <col min="7" max="7" width="13.28515625" style="65" customWidth="1"/>
    <col min="8" max="8" width="13.42578125" style="65" customWidth="1"/>
    <col min="9" max="9" width="11.140625" style="65" customWidth="1"/>
    <col min="10" max="10" width="2" style="65" customWidth="1"/>
    <col min="11" max="12" width="11.140625" style="65" customWidth="1"/>
    <col min="13" max="13" width="2.85546875" style="65" customWidth="1"/>
    <col min="14" max="16384" width="9.140625" style="65"/>
  </cols>
  <sheetData>
    <row r="1" spans="2:29" ht="23.25">
      <c r="B1" s="308" t="s">
        <v>93</v>
      </c>
      <c r="C1" s="308"/>
      <c r="D1" s="308"/>
      <c r="E1" s="308"/>
      <c r="F1" s="308"/>
      <c r="G1" s="308"/>
      <c r="H1" s="308"/>
      <c r="I1" s="308"/>
      <c r="J1" s="308"/>
      <c r="K1" s="308"/>
    </row>
    <row r="2" spans="2:29">
      <c r="B2" s="72"/>
      <c r="C2" s="72"/>
      <c r="D2" s="72"/>
      <c r="E2" s="72"/>
      <c r="F2" s="72"/>
      <c r="G2" s="72"/>
      <c r="H2" s="83"/>
      <c r="I2" s="83"/>
      <c r="J2" s="72"/>
      <c r="K2" s="82"/>
      <c r="L2" s="82"/>
      <c r="M2" s="72"/>
      <c r="N2" s="72"/>
      <c r="O2" s="72"/>
      <c r="P2" s="72"/>
      <c r="Q2" s="72"/>
      <c r="R2" s="72"/>
      <c r="S2" s="72"/>
      <c r="T2" s="72"/>
      <c r="U2" s="79"/>
      <c r="V2" s="72"/>
      <c r="W2" s="72"/>
      <c r="X2" s="72"/>
      <c r="Y2" s="72"/>
      <c r="Z2" s="86">
        <v>1</v>
      </c>
      <c r="AA2" s="72" t="s">
        <v>0</v>
      </c>
      <c r="AB2" s="72"/>
      <c r="AC2" s="72"/>
    </row>
    <row r="3" spans="2:29" ht="15.75" thickBot="1">
      <c r="B3" s="72"/>
      <c r="C3" s="72"/>
      <c r="D3" s="72"/>
      <c r="E3" s="72"/>
      <c r="F3" s="72"/>
      <c r="G3" s="72"/>
      <c r="H3" s="83"/>
      <c r="I3" s="83"/>
      <c r="J3" s="72"/>
      <c r="K3" s="82"/>
      <c r="L3" s="82"/>
      <c r="M3" s="72"/>
      <c r="N3" s="72"/>
      <c r="O3" s="72"/>
      <c r="P3" s="72"/>
      <c r="Q3" s="72"/>
      <c r="R3" s="72"/>
      <c r="S3" s="72"/>
      <c r="T3" s="72"/>
      <c r="U3" s="79"/>
      <c r="V3" s="72"/>
      <c r="W3" s="72"/>
      <c r="X3" s="72"/>
      <c r="Y3" s="72"/>
      <c r="Z3" s="86"/>
      <c r="AA3" s="72"/>
      <c r="AB3" s="72"/>
      <c r="AC3" s="72"/>
    </row>
    <row r="4" spans="2:29" ht="15.75" thickBot="1">
      <c r="B4" s="33" t="s">
        <v>22</v>
      </c>
      <c r="C4" s="34" t="s">
        <v>23</v>
      </c>
      <c r="D4" s="34" t="s">
        <v>39</v>
      </c>
      <c r="E4" s="72"/>
      <c r="G4" s="72" t="s">
        <v>27</v>
      </c>
      <c r="H4" s="83"/>
      <c r="I4" s="72"/>
      <c r="J4" s="82"/>
      <c r="K4" s="82"/>
      <c r="M4" s="72"/>
      <c r="N4" s="72"/>
      <c r="O4" s="72"/>
      <c r="P4" s="72"/>
      <c r="Q4" s="72"/>
      <c r="R4" s="72"/>
      <c r="S4" s="72"/>
      <c r="T4" s="72"/>
      <c r="U4" s="79"/>
      <c r="V4" s="72"/>
      <c r="W4" s="72"/>
      <c r="X4" s="72"/>
      <c r="Y4" s="72"/>
      <c r="Z4" s="86"/>
      <c r="AA4" s="72"/>
      <c r="AB4" s="72"/>
      <c r="AC4" s="72"/>
    </row>
    <row r="5" spans="2:29">
      <c r="B5" s="35" t="s">
        <v>6</v>
      </c>
      <c r="C5" s="50">
        <v>7.8E-2</v>
      </c>
      <c r="D5" s="50">
        <f>+C5</f>
        <v>7.8E-2</v>
      </c>
      <c r="E5" s="72"/>
      <c r="F5" s="72"/>
      <c r="K5" s="57">
        <v>2013</v>
      </c>
      <c r="L5" s="57">
        <v>2014</v>
      </c>
      <c r="M5" s="72"/>
      <c r="N5" s="72"/>
      <c r="O5" s="72"/>
      <c r="P5" s="72"/>
      <c r="Q5" s="72"/>
      <c r="R5" s="72"/>
      <c r="S5" s="72"/>
      <c r="T5" s="72"/>
      <c r="U5" s="79"/>
      <c r="V5" s="72"/>
      <c r="W5" s="72"/>
      <c r="X5" s="72"/>
      <c r="Y5" s="72"/>
      <c r="Z5" s="86"/>
      <c r="AA5" s="72"/>
      <c r="AB5" s="72"/>
      <c r="AC5" s="72"/>
    </row>
    <row r="6" spans="2:29">
      <c r="B6" s="35" t="s">
        <v>7</v>
      </c>
      <c r="C6" s="50">
        <v>9.0999999999999998E-2</v>
      </c>
      <c r="D6" s="50">
        <f t="shared" ref="D6:D9" si="0">+C6</f>
        <v>9.0999999999999998E-2</v>
      </c>
      <c r="E6" s="72"/>
      <c r="F6" s="72"/>
      <c r="G6" s="65" t="s">
        <v>53</v>
      </c>
      <c r="M6" s="72"/>
      <c r="N6" s="72"/>
      <c r="O6" s="72"/>
      <c r="P6" s="72"/>
      <c r="Q6" s="72"/>
      <c r="R6" s="72"/>
      <c r="S6" s="72"/>
      <c r="T6" s="72"/>
      <c r="U6" s="79"/>
      <c r="V6" s="72"/>
      <c r="W6" s="72"/>
      <c r="X6" s="72"/>
      <c r="Y6" s="72"/>
      <c r="Z6" s="86"/>
      <c r="AA6" s="72"/>
      <c r="AB6" s="72"/>
      <c r="AC6" s="72"/>
    </row>
    <row r="7" spans="2:29">
      <c r="B7" s="35" t="s">
        <v>8</v>
      </c>
      <c r="C7" s="50">
        <v>6.7000000000000004E-2</v>
      </c>
      <c r="D7" s="50">
        <f t="shared" si="0"/>
        <v>6.7000000000000004E-2</v>
      </c>
      <c r="E7" s="72"/>
      <c r="F7" s="72"/>
      <c r="G7" s="65" t="s">
        <v>28</v>
      </c>
      <c r="K7" s="58">
        <v>0.02</v>
      </c>
      <c r="L7" s="61">
        <v>0</v>
      </c>
      <c r="M7" s="72"/>
      <c r="N7" s="72"/>
      <c r="O7" s="72"/>
      <c r="P7" s="72"/>
      <c r="Q7" s="72"/>
      <c r="R7" s="72"/>
      <c r="S7" s="72"/>
      <c r="T7" s="72"/>
      <c r="U7" s="79"/>
      <c r="V7" s="72"/>
      <c r="W7" s="72"/>
      <c r="X7" s="72"/>
      <c r="Y7" s="72"/>
      <c r="Z7" s="86"/>
      <c r="AA7" s="72"/>
      <c r="AB7" s="72"/>
      <c r="AC7" s="72"/>
    </row>
    <row r="8" spans="2:29">
      <c r="B8" s="35" t="s">
        <v>9</v>
      </c>
      <c r="C8" s="50">
        <v>0.104</v>
      </c>
      <c r="D8" s="50">
        <f t="shared" si="0"/>
        <v>0.104</v>
      </c>
      <c r="E8" s="72"/>
      <c r="F8" s="72"/>
      <c r="G8" s="65" t="s">
        <v>40</v>
      </c>
      <c r="K8" s="58">
        <v>7.17</v>
      </c>
      <c r="L8" s="58">
        <v>7.17</v>
      </c>
      <c r="M8" s="72"/>
      <c r="N8" s="72"/>
      <c r="O8" s="72"/>
      <c r="P8" s="72"/>
      <c r="Q8" s="72"/>
      <c r="R8" s="72"/>
      <c r="S8" s="72"/>
      <c r="T8" s="72"/>
      <c r="U8" s="79"/>
      <c r="V8" s="72"/>
      <c r="W8" s="72"/>
      <c r="X8" s="72"/>
      <c r="Y8" s="72"/>
      <c r="Z8" s="86"/>
      <c r="AA8" s="72"/>
      <c r="AB8" s="72"/>
      <c r="AC8" s="72"/>
    </row>
    <row r="9" spans="2:29">
      <c r="B9" s="35" t="s">
        <v>10</v>
      </c>
      <c r="C9" s="50">
        <v>0.124</v>
      </c>
      <c r="D9" s="50">
        <f t="shared" si="0"/>
        <v>0.124</v>
      </c>
      <c r="E9" s="72"/>
      <c r="F9" s="72"/>
      <c r="G9" s="65" t="s">
        <v>29</v>
      </c>
      <c r="K9" s="143">
        <v>6.16</v>
      </c>
      <c r="L9" s="143">
        <v>6.16</v>
      </c>
      <c r="M9" s="72"/>
      <c r="N9" s="72"/>
      <c r="O9" s="72"/>
      <c r="P9" s="72"/>
      <c r="Q9" s="72"/>
      <c r="R9" s="72"/>
      <c r="S9" s="72"/>
      <c r="T9" s="72"/>
      <c r="U9" s="79"/>
      <c r="V9" s="72"/>
      <c r="W9" s="72"/>
      <c r="X9" s="72"/>
      <c r="Y9" s="72"/>
      <c r="Z9" s="86"/>
      <c r="AA9" s="72"/>
      <c r="AB9" s="72"/>
      <c r="AC9" s="72"/>
    </row>
    <row r="10" spans="2:29">
      <c r="B10" s="35" t="s">
        <v>11</v>
      </c>
      <c r="C10" s="51">
        <v>17.98</v>
      </c>
      <c r="D10" s="59">
        <v>18.21</v>
      </c>
      <c r="E10" s="72"/>
      <c r="F10" s="72"/>
      <c r="K10" s="144">
        <f>SUM(K7:K9)</f>
        <v>13.35</v>
      </c>
      <c r="L10" s="144">
        <f>SUM(L7:L9)</f>
        <v>13.33</v>
      </c>
      <c r="M10" s="72"/>
      <c r="N10" s="72"/>
      <c r="O10" s="72"/>
      <c r="P10" s="72"/>
      <c r="Q10" s="72"/>
      <c r="R10" s="72"/>
      <c r="S10" s="72"/>
      <c r="T10" s="72"/>
      <c r="U10" s="79"/>
      <c r="V10" s="72"/>
      <c r="W10" s="72"/>
      <c r="X10" s="72"/>
      <c r="Y10" s="72"/>
      <c r="Z10" s="86"/>
      <c r="AA10" s="72"/>
      <c r="AB10" s="72"/>
      <c r="AC10" s="72"/>
    </row>
    <row r="11" spans="2:29">
      <c r="B11" s="35" t="s">
        <v>53</v>
      </c>
      <c r="C11" s="51">
        <f>+K10</f>
        <v>13.35</v>
      </c>
      <c r="D11" s="51">
        <f>+L10</f>
        <v>13.33</v>
      </c>
      <c r="E11" s="72"/>
      <c r="F11" s="72"/>
      <c r="G11" s="65" t="s">
        <v>41</v>
      </c>
      <c r="K11" s="58">
        <v>0.79</v>
      </c>
      <c r="L11" s="58">
        <v>0.79</v>
      </c>
      <c r="M11" s="72"/>
      <c r="N11" s="72"/>
      <c r="O11" s="72"/>
      <c r="P11" s="72"/>
      <c r="Q11" s="72"/>
      <c r="R11" s="72"/>
      <c r="S11" s="72"/>
      <c r="T11" s="72"/>
      <c r="U11" s="79"/>
      <c r="V11" s="72"/>
      <c r="W11" s="72"/>
      <c r="X11" s="72"/>
      <c r="Y11" s="72"/>
      <c r="Z11" s="86"/>
      <c r="AA11" s="72"/>
      <c r="AB11" s="72"/>
      <c r="AC11" s="72"/>
    </row>
    <row r="12" spans="2:29">
      <c r="B12" s="35" t="s">
        <v>41</v>
      </c>
      <c r="C12" s="54">
        <f>+K11</f>
        <v>0.79</v>
      </c>
      <c r="D12" s="54">
        <f>+L11</f>
        <v>0.79</v>
      </c>
      <c r="E12" s="72"/>
      <c r="F12" s="72"/>
      <c r="M12" s="72"/>
      <c r="N12" s="72"/>
      <c r="O12" s="72"/>
      <c r="P12" s="72"/>
      <c r="Q12" s="72"/>
      <c r="R12" s="72"/>
      <c r="S12" s="72"/>
      <c r="T12" s="72"/>
      <c r="U12" s="79"/>
      <c r="V12" s="72"/>
      <c r="W12" s="72"/>
      <c r="X12" s="72"/>
      <c r="Y12" s="72"/>
      <c r="Z12" s="86"/>
      <c r="AA12" s="72"/>
      <c r="AB12" s="72"/>
      <c r="AC12" s="72"/>
    </row>
    <row r="13" spans="2:29">
      <c r="B13" s="36" t="s">
        <v>12</v>
      </c>
      <c r="C13" s="52">
        <v>1.5800000000000002E-2</v>
      </c>
      <c r="D13" s="60">
        <v>1.6E-2</v>
      </c>
      <c r="E13" s="72"/>
      <c r="F13" s="72"/>
      <c r="G13" s="66" t="s">
        <v>30</v>
      </c>
      <c r="M13" s="72"/>
      <c r="N13" s="72"/>
      <c r="O13" s="72"/>
      <c r="P13" s="72"/>
      <c r="Q13" s="72"/>
      <c r="R13" s="72"/>
      <c r="S13" s="72"/>
      <c r="T13" s="72"/>
      <c r="U13" s="79"/>
      <c r="V13" s="72"/>
      <c r="W13" s="72"/>
      <c r="X13" s="72"/>
      <c r="Y13" s="72"/>
      <c r="Z13" s="86"/>
      <c r="AA13" s="72"/>
      <c r="AB13" s="72"/>
      <c r="AC13" s="72"/>
    </row>
    <row r="14" spans="2:29">
      <c r="B14" s="35" t="s">
        <v>14</v>
      </c>
      <c r="C14" s="53">
        <f>+K17</f>
        <v>0</v>
      </c>
      <c r="D14" s="62">
        <f>L17</f>
        <v>-1.2999999999999999E-3</v>
      </c>
      <c r="E14" s="72"/>
      <c r="F14" s="72"/>
      <c r="G14" s="65" t="s">
        <v>42</v>
      </c>
      <c r="K14" s="39">
        <v>0</v>
      </c>
      <c r="L14" s="63">
        <v>-1.2999999999999999E-3</v>
      </c>
      <c r="M14" s="72"/>
      <c r="N14" s="72"/>
      <c r="O14" s="72"/>
      <c r="P14" s="72"/>
      <c r="Q14" s="72"/>
      <c r="R14" s="72"/>
      <c r="S14" s="72"/>
      <c r="T14" s="72"/>
      <c r="U14" s="79"/>
      <c r="V14" s="72"/>
      <c r="W14" s="72"/>
      <c r="X14" s="72"/>
      <c r="Y14" s="72"/>
      <c r="Z14" s="86"/>
      <c r="AA14" s="72"/>
      <c r="AB14" s="72"/>
      <c r="AC14" s="72"/>
    </row>
    <row r="15" spans="2:29">
      <c r="B15" s="36" t="s">
        <v>13</v>
      </c>
      <c r="C15" s="52">
        <v>0</v>
      </c>
      <c r="D15" s="52">
        <v>0</v>
      </c>
      <c r="E15" s="72"/>
      <c r="F15" s="72"/>
      <c r="G15" s="65" t="s">
        <v>43</v>
      </c>
      <c r="K15" s="39">
        <v>0</v>
      </c>
      <c r="L15" s="63"/>
      <c r="M15" s="72"/>
      <c r="N15" s="72"/>
      <c r="O15" s="72"/>
      <c r="P15" s="72"/>
      <c r="Q15" s="72"/>
      <c r="R15" s="72"/>
      <c r="S15" s="72"/>
      <c r="T15" s="72"/>
      <c r="U15" s="79"/>
      <c r="V15" s="72"/>
      <c r="W15" s="72"/>
      <c r="X15" s="72"/>
      <c r="Y15" s="72"/>
      <c r="Z15" s="86"/>
      <c r="AA15" s="72"/>
      <c r="AB15" s="72"/>
      <c r="AC15" s="72"/>
    </row>
    <row r="16" spans="2:29" ht="17.25" customHeight="1">
      <c r="B16" s="36" t="s">
        <v>24</v>
      </c>
      <c r="C16" s="53">
        <v>6.7000000000000002E-3</v>
      </c>
      <c r="D16" s="62">
        <v>6.7999999999999996E-3</v>
      </c>
      <c r="E16" s="72"/>
      <c r="F16" s="72"/>
      <c r="K16" s="39">
        <v>0</v>
      </c>
      <c r="L16" s="38">
        <v>0</v>
      </c>
      <c r="M16" s="72"/>
      <c r="N16" s="72"/>
      <c r="O16" s="72"/>
      <c r="P16" s="72"/>
      <c r="Q16" s="72"/>
      <c r="R16" s="72"/>
      <c r="S16" s="72"/>
      <c r="T16" s="72"/>
      <c r="U16" s="79"/>
      <c r="V16" s="72"/>
      <c r="W16" s="72"/>
      <c r="X16" s="72"/>
      <c r="Y16" s="72"/>
      <c r="Z16" s="86"/>
      <c r="AA16" s="72"/>
      <c r="AB16" s="72"/>
      <c r="AC16" s="72"/>
    </row>
    <row r="17" spans="2:29" ht="28.5" customHeight="1">
      <c r="B17" s="36" t="s">
        <v>25</v>
      </c>
      <c r="C17" s="53">
        <v>4.7000000000000002E-3</v>
      </c>
      <c r="D17" s="62">
        <v>4.5999999999999999E-3</v>
      </c>
      <c r="E17" s="72"/>
      <c r="F17" s="72"/>
      <c r="G17" s="65" t="s">
        <v>14</v>
      </c>
      <c r="K17" s="40">
        <f>SUM(K14:K16)</f>
        <v>0</v>
      </c>
      <c r="L17" s="40">
        <f>SUM(L14:L16)</f>
        <v>-1.2999999999999999E-3</v>
      </c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 spans="2:29">
      <c r="B18" s="36" t="s">
        <v>15</v>
      </c>
      <c r="C18" s="50">
        <v>4.4000000000000003E-3</v>
      </c>
      <c r="D18" s="64">
        <f t="shared" ref="D18:D22" si="1">+C18</f>
        <v>4.4000000000000003E-3</v>
      </c>
      <c r="E18" s="72"/>
      <c r="F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 spans="2:29">
      <c r="B19" s="36" t="s">
        <v>16</v>
      </c>
      <c r="C19" s="50">
        <v>1.1999999999999999E-3</v>
      </c>
      <c r="D19" s="64">
        <f t="shared" si="1"/>
        <v>1.1999999999999999E-3</v>
      </c>
      <c r="E19" s="72"/>
      <c r="F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2:29" ht="25.5">
      <c r="B20" s="36" t="s">
        <v>17</v>
      </c>
      <c r="C20" s="54">
        <v>0.25</v>
      </c>
      <c r="D20" s="53">
        <f t="shared" si="1"/>
        <v>0.25</v>
      </c>
      <c r="E20" s="72"/>
      <c r="F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2:29">
      <c r="B21" s="36" t="s">
        <v>18</v>
      </c>
      <c r="C21" s="55">
        <v>7.0000000000000001E-3</v>
      </c>
      <c r="D21" s="64">
        <f t="shared" si="1"/>
        <v>7.0000000000000001E-3</v>
      </c>
      <c r="E21" s="72"/>
      <c r="F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2:29" ht="15.75" thickBot="1">
      <c r="B22" s="37" t="s">
        <v>4</v>
      </c>
      <c r="C22" s="56">
        <v>1.0348999999999999</v>
      </c>
      <c r="D22" s="53">
        <f t="shared" si="1"/>
        <v>1.0348999999999999</v>
      </c>
      <c r="E22" s="72"/>
      <c r="F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2:29">
      <c r="B23" s="72"/>
      <c r="C23" s="72"/>
      <c r="D23" s="72"/>
      <c r="E23" s="72"/>
      <c r="F23" s="72"/>
      <c r="G23" s="72"/>
      <c r="H23" s="83"/>
      <c r="I23" s="83"/>
      <c r="J23" s="72"/>
      <c r="K23" s="82"/>
      <c r="L23" s="8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AA23" s="72"/>
      <c r="AB23" s="72"/>
      <c r="AC23" s="72"/>
    </row>
    <row r="24" spans="2:29" ht="15.75" thickBot="1">
      <c r="B24" s="161"/>
      <c r="C24" s="161"/>
      <c r="D24" s="161"/>
      <c r="E24" s="161"/>
      <c r="F24" s="73" t="s">
        <v>21</v>
      </c>
      <c r="G24" s="73"/>
      <c r="H24" s="84"/>
      <c r="I24" s="83"/>
      <c r="J24" s="72"/>
      <c r="K24" s="82"/>
      <c r="L24" s="82"/>
      <c r="M24" s="74"/>
      <c r="N24" s="74"/>
      <c r="O24" s="74"/>
      <c r="P24" s="7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2:29" ht="15.75" thickBot="1">
      <c r="B25" s="80" t="s">
        <v>1</v>
      </c>
      <c r="C25" s="45">
        <v>2000</v>
      </c>
      <c r="D25" s="161" t="s">
        <v>0</v>
      </c>
      <c r="E25" s="161"/>
      <c r="F25" s="24" t="s">
        <v>8</v>
      </c>
      <c r="G25" s="25"/>
      <c r="H25" s="26">
        <v>0.64</v>
      </c>
      <c r="I25" s="161"/>
      <c r="J25" s="72"/>
      <c r="K25" s="82"/>
      <c r="L25" s="82"/>
      <c r="M25" s="67"/>
      <c r="N25" s="74"/>
      <c r="O25" s="68"/>
      <c r="P25" s="68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2:29" ht="15.75" thickBot="1">
      <c r="B26" s="85" t="s">
        <v>4</v>
      </c>
      <c r="C26" s="88">
        <v>1.0348999999999999</v>
      </c>
      <c r="D26" s="161"/>
      <c r="E26" s="161"/>
      <c r="F26" s="24" t="s">
        <v>9</v>
      </c>
      <c r="G26" s="25"/>
      <c r="H26" s="26">
        <v>0.18</v>
      </c>
      <c r="I26" s="161"/>
      <c r="J26" s="72"/>
      <c r="K26" s="82"/>
      <c r="L26" s="82"/>
      <c r="M26" s="69"/>
      <c r="N26" s="74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2:29" ht="15.75" thickBot="1">
      <c r="B27" s="161"/>
      <c r="C27" s="161"/>
      <c r="D27" s="161"/>
      <c r="E27" s="161"/>
      <c r="F27" s="24" t="s">
        <v>10</v>
      </c>
      <c r="G27" s="25"/>
      <c r="H27" s="26">
        <v>0.18</v>
      </c>
      <c r="I27" s="161"/>
      <c r="J27" s="72"/>
      <c r="K27" s="82"/>
      <c r="L27" s="82"/>
      <c r="M27" s="70"/>
      <c r="N27" s="76"/>
      <c r="O27" s="77"/>
      <c r="P27" s="7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2:29">
      <c r="B28" s="161"/>
      <c r="C28" s="161"/>
      <c r="D28" s="161"/>
      <c r="E28" s="161"/>
      <c r="F28" s="81"/>
      <c r="G28" s="73"/>
      <c r="H28" s="83"/>
      <c r="I28" s="83"/>
      <c r="J28" s="72"/>
      <c r="K28" s="82"/>
      <c r="L28" s="82"/>
      <c r="M28" s="70"/>
      <c r="N28" s="76"/>
      <c r="O28" s="77"/>
      <c r="P28" s="7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2:29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29">
      <c r="B30" s="262"/>
      <c r="C30" s="313" t="s">
        <v>44</v>
      </c>
      <c r="D30" s="314"/>
      <c r="E30" s="315"/>
      <c r="F30" s="263"/>
      <c r="G30" s="313" t="s">
        <v>45</v>
      </c>
      <c r="H30" s="314"/>
      <c r="I30" s="315"/>
      <c r="J30" s="263"/>
      <c r="K30" s="313" t="s">
        <v>46</v>
      </c>
      <c r="L30" s="315"/>
    </row>
    <row r="31" spans="2:29">
      <c r="B31" s="264"/>
      <c r="C31" s="113" t="s">
        <v>47</v>
      </c>
      <c r="D31" s="113" t="s">
        <v>5</v>
      </c>
      <c r="E31" s="114" t="s">
        <v>48</v>
      </c>
      <c r="F31" s="91"/>
      <c r="G31" s="113" t="s">
        <v>47</v>
      </c>
      <c r="H31" s="115" t="s">
        <v>5</v>
      </c>
      <c r="I31" s="114" t="s">
        <v>48</v>
      </c>
      <c r="J31" s="91"/>
      <c r="K31" s="311" t="s">
        <v>49</v>
      </c>
      <c r="L31" s="309" t="s">
        <v>50</v>
      </c>
    </row>
    <row r="32" spans="2:29">
      <c r="B32" s="264"/>
      <c r="C32" s="116" t="s">
        <v>51</v>
      </c>
      <c r="D32" s="116"/>
      <c r="E32" s="117" t="s">
        <v>51</v>
      </c>
      <c r="F32" s="91"/>
      <c r="G32" s="116" t="s">
        <v>51</v>
      </c>
      <c r="H32" s="117"/>
      <c r="I32" s="117" t="s">
        <v>51</v>
      </c>
      <c r="J32" s="91"/>
      <c r="K32" s="312"/>
      <c r="L32" s="310"/>
    </row>
    <row r="33" spans="2:15">
      <c r="B33" s="265" t="s">
        <v>52</v>
      </c>
      <c r="C33" s="142">
        <f>+C10</f>
        <v>17.98</v>
      </c>
      <c r="D33" s="90">
        <v>1</v>
      </c>
      <c r="E33" s="120">
        <f>+C33*D33</f>
        <v>17.98</v>
      </c>
      <c r="F33" s="91"/>
      <c r="G33" s="142">
        <f>+D10</f>
        <v>18.21</v>
      </c>
      <c r="H33" s="92">
        <v>1</v>
      </c>
      <c r="I33" s="189">
        <f>+G33*H33</f>
        <v>18.21</v>
      </c>
      <c r="J33" s="200"/>
      <c r="K33" s="190">
        <f>+I33-E33</f>
        <v>0.23000000000000043</v>
      </c>
      <c r="L33" s="133">
        <f>IF((E33)=0,"",(K33/E33))</f>
        <v>1.2791991101223605E-2</v>
      </c>
    </row>
    <row r="34" spans="2:15">
      <c r="B34" s="265" t="s">
        <v>12</v>
      </c>
      <c r="C34" s="110">
        <f>+C13</f>
        <v>1.5800000000000002E-2</v>
      </c>
      <c r="D34" s="93">
        <f>+$C$25</f>
        <v>2000</v>
      </c>
      <c r="E34" s="120">
        <f>+C34*D34</f>
        <v>31.6</v>
      </c>
      <c r="F34" s="91"/>
      <c r="G34" s="110">
        <f>+D13</f>
        <v>1.6E-2</v>
      </c>
      <c r="H34" s="94">
        <f>+$C$25</f>
        <v>2000</v>
      </c>
      <c r="I34" s="189">
        <f t="shared" ref="I34:I36" si="2">+G34*H34</f>
        <v>32</v>
      </c>
      <c r="J34" s="200"/>
      <c r="K34" s="190">
        <f t="shared" ref="K34:K37" si="3">+I34-E34</f>
        <v>0.39999999999999858</v>
      </c>
      <c r="L34" s="133">
        <f t="shared" ref="L34:L41" si="4">IF((E34)=0,"",(K34/E34))</f>
        <v>1.2658227848101221E-2</v>
      </c>
    </row>
    <row r="35" spans="2:15">
      <c r="B35" s="266" t="s">
        <v>53</v>
      </c>
      <c r="C35" s="160">
        <f>+K10</f>
        <v>13.35</v>
      </c>
      <c r="D35" s="90">
        <v>1</v>
      </c>
      <c r="E35" s="120">
        <f>+C35*D35</f>
        <v>13.35</v>
      </c>
      <c r="F35" s="91"/>
      <c r="G35" s="160">
        <f>+L10</f>
        <v>13.33</v>
      </c>
      <c r="H35" s="92">
        <v>1</v>
      </c>
      <c r="I35" s="189">
        <f t="shared" si="2"/>
        <v>13.33</v>
      </c>
      <c r="J35" s="200"/>
      <c r="K35" s="190">
        <f t="shared" si="3"/>
        <v>-1.9999999999999574E-2</v>
      </c>
      <c r="L35" s="133">
        <f t="shared" si="4"/>
        <v>-1.4981273408239382E-3</v>
      </c>
    </row>
    <row r="36" spans="2:15">
      <c r="B36" s="267" t="s">
        <v>54</v>
      </c>
      <c r="C36" s="111">
        <v>0</v>
      </c>
      <c r="D36" s="93">
        <f>+$C$25</f>
        <v>2000</v>
      </c>
      <c r="E36" s="121">
        <v>0</v>
      </c>
      <c r="F36" s="91"/>
      <c r="G36" s="111">
        <v>0</v>
      </c>
      <c r="H36" s="94">
        <f>+$C$25</f>
        <v>2000</v>
      </c>
      <c r="I36" s="189">
        <f t="shared" si="2"/>
        <v>0</v>
      </c>
      <c r="J36" s="200"/>
      <c r="K36" s="190">
        <f t="shared" si="3"/>
        <v>0</v>
      </c>
      <c r="L36" s="133" t="str">
        <f t="shared" si="4"/>
        <v/>
      </c>
    </row>
    <row r="37" spans="2:15" s="66" customFormat="1">
      <c r="B37" s="118" t="s">
        <v>55</v>
      </c>
      <c r="C37" s="147"/>
      <c r="D37" s="148"/>
      <c r="E37" s="149">
        <f>SUM(E33:E36)</f>
        <v>62.93</v>
      </c>
      <c r="F37" s="150"/>
      <c r="G37" s="147"/>
      <c r="H37" s="100"/>
      <c r="I37" s="201">
        <f>SUM(I33:I36)</f>
        <v>63.54</v>
      </c>
      <c r="J37" s="202"/>
      <c r="K37" s="197">
        <f t="shared" si="3"/>
        <v>0.60999999999999943</v>
      </c>
      <c r="L37" s="153">
        <f t="shared" si="4"/>
        <v>9.6933100270141341E-3</v>
      </c>
    </row>
    <row r="38" spans="2:15">
      <c r="B38" s="268" t="s">
        <v>56</v>
      </c>
      <c r="C38" s="156">
        <f>+C7*H25+C8*H26+C9*H27</f>
        <v>8.3919999999999995E-2</v>
      </c>
      <c r="D38" s="95">
        <f>+ROUND(C25*(C26-1),2)</f>
        <v>69.8</v>
      </c>
      <c r="E38" s="159">
        <f>+C38*D38</f>
        <v>5.8576159999999993</v>
      </c>
      <c r="F38" s="91"/>
      <c r="G38" s="156">
        <f>+C7*H25+C8*H26+C9*H27</f>
        <v>8.3919999999999995E-2</v>
      </c>
      <c r="H38" s="95">
        <f>+ROUND(C25*(C26-1),2)</f>
        <v>69.8</v>
      </c>
      <c r="I38" s="189">
        <f>+G38*H38</f>
        <v>5.8576159999999993</v>
      </c>
      <c r="J38" s="200"/>
      <c r="K38" s="190">
        <f>+I38-E38</f>
        <v>0</v>
      </c>
      <c r="L38" s="133">
        <f t="shared" si="4"/>
        <v>0</v>
      </c>
    </row>
    <row r="39" spans="2:15">
      <c r="B39" s="268" t="s">
        <v>57</v>
      </c>
      <c r="C39" s="157">
        <v>0</v>
      </c>
      <c r="D39" s="93">
        <f>+$C$25</f>
        <v>2000</v>
      </c>
      <c r="E39" s="120">
        <v>0</v>
      </c>
      <c r="F39" s="91"/>
      <c r="G39" s="192">
        <f>+D14</f>
        <v>-1.2999999999999999E-3</v>
      </c>
      <c r="H39" s="94">
        <f t="shared" ref="H39:H40" si="5">+$C$25</f>
        <v>2000</v>
      </c>
      <c r="I39" s="189">
        <f t="shared" ref="I39:I41" si="6">+G39*H39</f>
        <v>-2.6</v>
      </c>
      <c r="J39" s="200"/>
      <c r="K39" s="190">
        <f t="shared" ref="K39:K41" si="7">+I39-E39</f>
        <v>-2.6</v>
      </c>
      <c r="L39" s="133" t="str">
        <f t="shared" si="4"/>
        <v/>
      </c>
    </row>
    <row r="40" spans="2:15">
      <c r="B40" s="269" t="s">
        <v>58</v>
      </c>
      <c r="C40" s="157">
        <v>0</v>
      </c>
      <c r="D40" s="93">
        <f>+$C$25</f>
        <v>2000</v>
      </c>
      <c r="E40" s="120">
        <v>0</v>
      </c>
      <c r="F40" s="91"/>
      <c r="G40" s="110"/>
      <c r="H40" s="94">
        <f t="shared" si="5"/>
        <v>2000</v>
      </c>
      <c r="I40" s="189">
        <f t="shared" si="6"/>
        <v>0</v>
      </c>
      <c r="J40" s="200"/>
      <c r="K40" s="190">
        <f t="shared" si="7"/>
        <v>0</v>
      </c>
      <c r="L40" s="133" t="str">
        <f t="shared" si="4"/>
        <v/>
      </c>
    </row>
    <row r="41" spans="2:15">
      <c r="B41" s="269" t="s">
        <v>41</v>
      </c>
      <c r="C41" s="158">
        <f>+C12</f>
        <v>0.79</v>
      </c>
      <c r="D41" s="95">
        <v>1</v>
      </c>
      <c r="E41" s="120">
        <v>0.79</v>
      </c>
      <c r="F41" s="91"/>
      <c r="G41" s="110">
        <f>+D12</f>
        <v>0.79</v>
      </c>
      <c r="H41" s="95">
        <v>1</v>
      </c>
      <c r="I41" s="189">
        <f t="shared" si="6"/>
        <v>0.79</v>
      </c>
      <c r="J41" s="200"/>
      <c r="K41" s="190">
        <f t="shared" si="7"/>
        <v>0</v>
      </c>
      <c r="L41" s="133">
        <f t="shared" si="4"/>
        <v>0</v>
      </c>
    </row>
    <row r="42" spans="2:15">
      <c r="B42" s="119" t="s">
        <v>59</v>
      </c>
      <c r="C42" s="96"/>
      <c r="D42" s="96"/>
      <c r="E42" s="122">
        <f>SUM(E37:E41)</f>
        <v>69.577616000000006</v>
      </c>
      <c r="F42" s="91"/>
      <c r="G42" s="96"/>
      <c r="H42" s="97"/>
      <c r="I42" s="203">
        <f>SUM(I37:I41)</f>
        <v>67.587616000000011</v>
      </c>
      <c r="J42" s="200"/>
      <c r="K42" s="198">
        <f>+I42-E42</f>
        <v>-1.9899999999999949</v>
      </c>
      <c r="L42" s="145">
        <f>IF((E42)=0,"",(K42/E42))</f>
        <v>-2.8601152416604714E-2</v>
      </c>
      <c r="O42" s="144"/>
    </row>
    <row r="43" spans="2:15">
      <c r="B43" s="270" t="s">
        <v>60</v>
      </c>
      <c r="C43" s="110">
        <f>+C16</f>
        <v>6.7000000000000002E-3</v>
      </c>
      <c r="D43" s="98">
        <f>+ROUND($C$25*$C$26,2)</f>
        <v>2069.8000000000002</v>
      </c>
      <c r="E43" s="120">
        <f>+C43*D43</f>
        <v>13.867660000000003</v>
      </c>
      <c r="F43" s="91"/>
      <c r="G43" s="110">
        <f>+D16</f>
        <v>6.7999999999999996E-3</v>
      </c>
      <c r="H43" s="98">
        <f t="shared" ref="H43:H44" si="8">+ROUND($C$25*$C$26,2)</f>
        <v>2069.8000000000002</v>
      </c>
      <c r="I43" s="189">
        <f>+G43*H43</f>
        <v>14.07464</v>
      </c>
      <c r="J43" s="200"/>
      <c r="K43" s="190">
        <f t="shared" ref="K43:K44" si="9">+I43-E43</f>
        <v>0.20697999999999794</v>
      </c>
      <c r="L43" s="133">
        <f t="shared" ref="L43:L44" si="10">IF((E43)=0,"",(K43/E43))</f>
        <v>1.4925373134328207E-2</v>
      </c>
    </row>
    <row r="44" spans="2:15" ht="30" customHeight="1">
      <c r="B44" s="271" t="s">
        <v>61</v>
      </c>
      <c r="C44" s="110">
        <f>+C17</f>
        <v>4.7000000000000002E-3</v>
      </c>
      <c r="D44" s="98">
        <f>+ROUND($C$25*$C$26,2)</f>
        <v>2069.8000000000002</v>
      </c>
      <c r="E44" s="120">
        <f>+C44*D44</f>
        <v>9.728060000000001</v>
      </c>
      <c r="F44" s="91"/>
      <c r="G44" s="110">
        <f>+D17</f>
        <v>4.5999999999999999E-3</v>
      </c>
      <c r="H44" s="98">
        <f t="shared" si="8"/>
        <v>2069.8000000000002</v>
      </c>
      <c r="I44" s="189">
        <f>+G44*H44</f>
        <v>9.5210800000000013</v>
      </c>
      <c r="J44" s="200"/>
      <c r="K44" s="190">
        <f t="shared" si="9"/>
        <v>-0.20697999999999972</v>
      </c>
      <c r="L44" s="133">
        <f t="shared" si="10"/>
        <v>-2.1276595744680819E-2</v>
      </c>
    </row>
    <row r="45" spans="2:15">
      <c r="B45" s="119" t="s">
        <v>62</v>
      </c>
      <c r="C45" s="96"/>
      <c r="D45" s="96"/>
      <c r="E45" s="122">
        <f>SUM(E42:E44)</f>
        <v>93.173336000000006</v>
      </c>
      <c r="F45" s="91"/>
      <c r="G45" s="100"/>
      <c r="H45" s="101"/>
      <c r="I45" s="203">
        <f>SUM(I42:I44)</f>
        <v>91.183336000000011</v>
      </c>
      <c r="J45" s="200"/>
      <c r="K45" s="198">
        <f>+I45-E45</f>
        <v>-1.9899999999999949</v>
      </c>
      <c r="L45" s="145">
        <f>IF((E45)=0,"",(K45/E45))</f>
        <v>-2.1358041747050839E-2</v>
      </c>
    </row>
    <row r="46" spans="2:15">
      <c r="B46" s="272" t="s">
        <v>63</v>
      </c>
      <c r="C46" s="112">
        <f>+C18</f>
        <v>4.4000000000000003E-3</v>
      </c>
      <c r="D46" s="98">
        <f t="shared" ref="D46:D47" si="11">+ROUND($C$25*$C$26,2)</f>
        <v>2069.8000000000002</v>
      </c>
      <c r="E46" s="123">
        <f>+C46*D46</f>
        <v>9.1071200000000019</v>
      </c>
      <c r="F46" s="91"/>
      <c r="G46" s="112">
        <f>+D18</f>
        <v>4.4000000000000003E-3</v>
      </c>
      <c r="H46" s="98">
        <f>+ROUND($C$25*$C$26,2)</f>
        <v>2069.8000000000002</v>
      </c>
      <c r="I46" s="204">
        <f>+G46*H46</f>
        <v>9.1071200000000019</v>
      </c>
      <c r="J46" s="200"/>
      <c r="K46" s="190">
        <f t="shared" ref="K46:K52" si="12">+I46-E46</f>
        <v>0</v>
      </c>
      <c r="L46" s="133">
        <f t="shared" ref="L46:L52" si="13">IF((E46)=0,"",(K46/E46))</f>
        <v>0</v>
      </c>
    </row>
    <row r="47" spans="2:15">
      <c r="B47" s="272" t="s">
        <v>64</v>
      </c>
      <c r="C47" s="112">
        <f t="shared" ref="C47:C49" si="14">+C19</f>
        <v>1.1999999999999999E-3</v>
      </c>
      <c r="D47" s="98">
        <f t="shared" si="11"/>
        <v>2069.8000000000002</v>
      </c>
      <c r="E47" s="123">
        <f t="shared" ref="E47:E52" si="15">+C47*D47</f>
        <v>2.4837600000000002</v>
      </c>
      <c r="F47" s="91"/>
      <c r="G47" s="112">
        <f t="shared" ref="G47:G49" si="16">+D19</f>
        <v>1.1999999999999999E-3</v>
      </c>
      <c r="H47" s="98">
        <f>+ROUND($C$25*$C$26,0)</f>
        <v>2070</v>
      </c>
      <c r="I47" s="204">
        <f t="shared" ref="I47:I52" si="17">+G47*H47</f>
        <v>2.484</v>
      </c>
      <c r="J47" s="200"/>
      <c r="K47" s="190">
        <f t="shared" si="12"/>
        <v>2.3999999999979593E-4</v>
      </c>
      <c r="L47" s="133">
        <f t="shared" si="13"/>
        <v>9.6627693496874057E-5</v>
      </c>
    </row>
    <row r="48" spans="2:15">
      <c r="B48" s="265" t="s">
        <v>65</v>
      </c>
      <c r="C48" s="112">
        <f t="shared" si="14"/>
        <v>0.25</v>
      </c>
      <c r="D48" s="98">
        <v>1</v>
      </c>
      <c r="E48" s="123">
        <f t="shared" si="15"/>
        <v>0.25</v>
      </c>
      <c r="F48" s="91"/>
      <c r="G48" s="112">
        <f t="shared" si="16"/>
        <v>0.25</v>
      </c>
      <c r="H48" s="99">
        <v>1</v>
      </c>
      <c r="I48" s="204">
        <f t="shared" si="17"/>
        <v>0.25</v>
      </c>
      <c r="J48" s="200"/>
      <c r="K48" s="190">
        <f t="shared" si="12"/>
        <v>0</v>
      </c>
      <c r="L48" s="133">
        <f t="shared" si="13"/>
        <v>0</v>
      </c>
    </row>
    <row r="49" spans="2:12">
      <c r="B49" s="265" t="s">
        <v>18</v>
      </c>
      <c r="C49" s="112">
        <f t="shared" si="14"/>
        <v>7.0000000000000001E-3</v>
      </c>
      <c r="D49" s="93">
        <f>+$C$25</f>
        <v>2000</v>
      </c>
      <c r="E49" s="123">
        <f t="shared" si="15"/>
        <v>14</v>
      </c>
      <c r="F49" s="91"/>
      <c r="G49" s="112">
        <f t="shared" si="16"/>
        <v>7.0000000000000001E-3</v>
      </c>
      <c r="H49" s="99">
        <f>+$C$25</f>
        <v>2000</v>
      </c>
      <c r="I49" s="204">
        <f t="shared" si="17"/>
        <v>14</v>
      </c>
      <c r="J49" s="200"/>
      <c r="K49" s="190">
        <f t="shared" si="12"/>
        <v>0</v>
      </c>
      <c r="L49" s="133">
        <f t="shared" si="13"/>
        <v>0</v>
      </c>
    </row>
    <row r="50" spans="2:12">
      <c r="B50" s="269" t="s">
        <v>8</v>
      </c>
      <c r="C50" s="102">
        <f>+$C$7</f>
        <v>6.7000000000000004E-2</v>
      </c>
      <c r="D50" s="98">
        <f>+$C$25*H25</f>
        <v>1280</v>
      </c>
      <c r="E50" s="123">
        <f t="shared" si="15"/>
        <v>85.76</v>
      </c>
      <c r="F50" s="91"/>
      <c r="G50" s="102">
        <f>+D7</f>
        <v>6.7000000000000004E-2</v>
      </c>
      <c r="H50" s="98">
        <f>+$C$25*H25</f>
        <v>1280</v>
      </c>
      <c r="I50" s="204">
        <f t="shared" si="17"/>
        <v>85.76</v>
      </c>
      <c r="J50" s="200"/>
      <c r="K50" s="190">
        <f t="shared" si="12"/>
        <v>0</v>
      </c>
      <c r="L50" s="133">
        <f t="shared" si="13"/>
        <v>0</v>
      </c>
    </row>
    <row r="51" spans="2:12">
      <c r="B51" s="269" t="s">
        <v>9</v>
      </c>
      <c r="C51" s="102">
        <f>+$C$8</f>
        <v>0.104</v>
      </c>
      <c r="D51" s="98">
        <f t="shared" ref="D51:D52" si="18">+$C$25*H26</f>
        <v>360</v>
      </c>
      <c r="E51" s="123">
        <f t="shared" si="15"/>
        <v>37.44</v>
      </c>
      <c r="F51" s="91"/>
      <c r="G51" s="102">
        <f t="shared" ref="G51:G52" si="19">+D8</f>
        <v>0.104</v>
      </c>
      <c r="H51" s="98">
        <f>+$C$25*H26</f>
        <v>360</v>
      </c>
      <c r="I51" s="204">
        <f t="shared" si="17"/>
        <v>37.44</v>
      </c>
      <c r="J51" s="200"/>
      <c r="K51" s="190">
        <f t="shared" si="12"/>
        <v>0</v>
      </c>
      <c r="L51" s="133">
        <f t="shared" si="13"/>
        <v>0</v>
      </c>
    </row>
    <row r="52" spans="2:12" ht="15.75" thickBot="1">
      <c r="B52" s="264" t="s">
        <v>10</v>
      </c>
      <c r="C52" s="102">
        <f>+$C$9</f>
        <v>0.124</v>
      </c>
      <c r="D52" s="98">
        <f t="shared" si="18"/>
        <v>360</v>
      </c>
      <c r="E52" s="123">
        <f t="shared" si="15"/>
        <v>44.64</v>
      </c>
      <c r="F52" s="91"/>
      <c r="G52" s="102">
        <f t="shared" si="19"/>
        <v>0.124</v>
      </c>
      <c r="H52" s="98">
        <f>+$C$25*H27</f>
        <v>360</v>
      </c>
      <c r="I52" s="204">
        <f t="shared" si="17"/>
        <v>44.64</v>
      </c>
      <c r="J52" s="200"/>
      <c r="K52" s="190">
        <f t="shared" si="12"/>
        <v>0</v>
      </c>
      <c r="L52" s="133">
        <f t="shared" si="13"/>
        <v>0</v>
      </c>
    </row>
    <row r="53" spans="2:12" ht="15.75" thickBot="1">
      <c r="B53" s="273"/>
      <c r="C53" s="103"/>
      <c r="D53" s="104"/>
      <c r="E53" s="124"/>
      <c r="F53" s="105"/>
      <c r="G53" s="103"/>
      <c r="H53" s="106"/>
      <c r="I53" s="205"/>
      <c r="J53" s="206"/>
      <c r="K53" s="227"/>
      <c r="L53" s="274"/>
    </row>
    <row r="54" spans="2:12">
      <c r="B54" s="275" t="s">
        <v>66</v>
      </c>
      <c r="C54" s="134"/>
      <c r="D54" s="135"/>
      <c r="E54" s="125">
        <f>SUM(E45:E52)</f>
        <v>286.85421600000001</v>
      </c>
      <c r="F54" s="136"/>
      <c r="G54" s="137"/>
      <c r="H54" s="137"/>
      <c r="I54" s="225">
        <f>SUM(I45:I52)</f>
        <v>284.86445600000002</v>
      </c>
      <c r="J54" s="208"/>
      <c r="K54" s="225">
        <f>+I54-E54</f>
        <v>-1.9897599999999898</v>
      </c>
      <c r="L54" s="226">
        <f t="shared" ref="L54:L56" si="20">IF((E54)=0,"",(K54/E54))</f>
        <v>-6.9364851168859576E-3</v>
      </c>
    </row>
    <row r="55" spans="2:12">
      <c r="B55" s="276" t="s">
        <v>19</v>
      </c>
      <c r="C55" s="134">
        <v>0.13</v>
      </c>
      <c r="D55" s="138"/>
      <c r="E55" s="126">
        <f>+E54*C55</f>
        <v>37.291048080000003</v>
      </c>
      <c r="F55" s="90"/>
      <c r="G55" s="134">
        <v>0.13</v>
      </c>
      <c r="H55" s="90"/>
      <c r="I55" s="209">
        <f>+I54*G55</f>
        <v>37.032379280000001</v>
      </c>
      <c r="J55" s="210"/>
      <c r="K55" s="195">
        <f t="shared" ref="K55:K58" si="21">+I55-E55</f>
        <v>-0.25866880000000236</v>
      </c>
      <c r="L55" s="146">
        <f t="shared" si="20"/>
        <v>-6.9364851168860564E-3</v>
      </c>
    </row>
    <row r="56" spans="2:12">
      <c r="B56" s="277" t="s">
        <v>67</v>
      </c>
      <c r="C56" s="90"/>
      <c r="D56" s="138"/>
      <c r="E56" s="126">
        <f>SUM(E54:E55)</f>
        <v>324.14526408</v>
      </c>
      <c r="F56" s="90"/>
      <c r="G56" s="90"/>
      <c r="H56" s="90"/>
      <c r="I56" s="209">
        <f>SUM(I54:I55)</f>
        <v>321.89683528</v>
      </c>
      <c r="J56" s="210"/>
      <c r="K56" s="195">
        <f t="shared" si="21"/>
        <v>-2.2484287999999992</v>
      </c>
      <c r="L56" s="146">
        <f t="shared" si="20"/>
        <v>-6.9364851168859905E-3</v>
      </c>
    </row>
    <row r="57" spans="2:12">
      <c r="B57" s="278" t="s">
        <v>68</v>
      </c>
      <c r="C57" s="90"/>
      <c r="D57" s="138"/>
      <c r="E57" s="214">
        <f>-E56*0.1</f>
        <v>-32.414526408</v>
      </c>
      <c r="F57" s="90"/>
      <c r="G57" s="90"/>
      <c r="H57" s="90"/>
      <c r="I57" s="211">
        <f>-I56*0.1</f>
        <v>-32.189683528000003</v>
      </c>
      <c r="J57" s="210"/>
      <c r="K57" s="199">
        <f t="shared" si="21"/>
        <v>0.22484287999999708</v>
      </c>
      <c r="L57" s="146">
        <f>IF((E57)=0,"",(K57/E57))</f>
        <v>-6.9364851168859029E-3</v>
      </c>
    </row>
    <row r="58" spans="2:12" ht="15.75" thickBot="1">
      <c r="B58" s="279" t="s">
        <v>20</v>
      </c>
      <c r="C58" s="139"/>
      <c r="D58" s="140"/>
      <c r="E58" s="128">
        <f>SUM(E56:E57)</f>
        <v>291.73073767200003</v>
      </c>
      <c r="F58" s="141"/>
      <c r="G58" s="141"/>
      <c r="H58" s="141"/>
      <c r="I58" s="212">
        <f>SUM(I56:I57)</f>
        <v>289.70715175200002</v>
      </c>
      <c r="J58" s="213"/>
      <c r="K58" s="196">
        <f t="shared" si="21"/>
        <v>-2.0235859200000164</v>
      </c>
      <c r="L58" s="155">
        <f>IF((E58)=0,"",(K58/E58))</f>
        <v>-6.9364851168860486E-3</v>
      </c>
    </row>
    <row r="59" spans="2:12" s="161" customFormat="1">
      <c r="B59" s="280"/>
      <c r="C59" s="281"/>
      <c r="D59" s="282"/>
      <c r="E59" s="283"/>
      <c r="F59" s="284"/>
      <c r="G59" s="281"/>
      <c r="H59" s="285"/>
      <c r="I59" s="286"/>
      <c r="J59" s="287"/>
      <c r="K59" s="288"/>
      <c r="L59" s="289"/>
    </row>
    <row r="60" spans="2:12"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</row>
    <row r="61" spans="2:12">
      <c r="B61" s="161"/>
      <c r="C61" s="161"/>
      <c r="D61" s="161"/>
      <c r="E61" s="144"/>
      <c r="F61" s="161"/>
      <c r="G61" s="161"/>
      <c r="H61" s="161"/>
      <c r="I61" s="144"/>
      <c r="J61" s="161"/>
      <c r="K61" s="161"/>
      <c r="L61" s="161"/>
    </row>
    <row r="62" spans="2:12">
      <c r="B62" s="161"/>
      <c r="C62" s="161"/>
      <c r="D62" s="161"/>
      <c r="E62" s="144"/>
      <c r="F62" s="161"/>
      <c r="G62" s="161"/>
      <c r="H62" s="161"/>
      <c r="I62" s="144"/>
      <c r="J62" s="161"/>
      <c r="K62" s="161"/>
      <c r="L62" s="161"/>
    </row>
    <row r="63" spans="2:12" ht="108.75" customHeight="1">
      <c r="B63" s="306" t="s">
        <v>26</v>
      </c>
      <c r="C63" s="307"/>
      <c r="D63" s="307"/>
      <c r="E63" s="307"/>
      <c r="F63" s="307"/>
      <c r="G63" s="307"/>
      <c r="H63" s="307"/>
      <c r="I63" s="307"/>
      <c r="J63" s="161"/>
      <c r="K63" s="161"/>
      <c r="L63" s="161"/>
    </row>
  </sheetData>
  <mergeCells count="7">
    <mergeCell ref="B63:I63"/>
    <mergeCell ref="B1:K1"/>
    <mergeCell ref="C30:E30"/>
    <mergeCell ref="G30:I30"/>
    <mergeCell ref="K30:L30"/>
    <mergeCell ref="K31:K32"/>
    <mergeCell ref="L31:L32"/>
  </mergeCells>
  <pageMargins left="0.7" right="0.7" top="0.75" bottom="0.75" header="0.3" footer="0.3"/>
  <pageSetup scale="55" orientation="portrait" r:id="rId1"/>
  <ignoredErrors>
    <ignoredError sqref="C33:K36 C38:K41 C37:H37 J37:K37 C43:K44 C42:H42 J42:K42 C46:K56 C45:D45 J45:K45 C58:K58 C57:D57 J57:K57 F57:H57 F45:H45" unlockedFormula="1"/>
    <ignoredError sqref="I37 I42 I45 I57 E57 E45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Residential (100 kWh)</vt:lpstr>
      <vt:lpstr>Residential (250 kWh)</vt:lpstr>
      <vt:lpstr>Residential (500 kWh)</vt:lpstr>
      <vt:lpstr>Residential (800 kWh)</vt:lpstr>
      <vt:lpstr>Residential (1000 kWh)</vt:lpstr>
      <vt:lpstr>Residential (1500 kWh)</vt:lpstr>
      <vt:lpstr>Residential (2000 kWh)</vt:lpstr>
      <vt:lpstr>GS&lt;50 kW(1000 kWh)</vt:lpstr>
      <vt:lpstr>GS&lt;50 kW(2000 kWh)</vt:lpstr>
      <vt:lpstr>GS&lt;50 kW(5000 kWh)</vt:lpstr>
      <vt:lpstr>GS&lt;50 kW(10000 kWh)</vt:lpstr>
      <vt:lpstr>GS&lt;50 kW(15000 kWh)</vt:lpstr>
      <vt:lpstr>GS&gt;50-699 kW (100 kW)</vt:lpstr>
      <vt:lpstr>GS&gt;50-699 kW (500 kW)</vt:lpstr>
      <vt:lpstr>GS&gt;700-4,999kW (1000 kW)</vt:lpstr>
      <vt:lpstr>GS&gt;700-4,999kW (2100 kW)</vt:lpstr>
      <vt:lpstr>Large User (9500 kW)</vt:lpstr>
      <vt:lpstr>Large User (20000 kW)</vt:lpstr>
      <vt:lpstr>USL (150kWh)</vt:lpstr>
      <vt:lpstr>USL (1500 kWh)</vt:lpstr>
      <vt:lpstr>Street Lighting (1kW)</vt:lpstr>
      <vt:lpstr>Street Lighting (3800 kW)</vt:lpstr>
      <vt:lpstr>HOEP &amp; GA</vt:lpstr>
      <vt:lpstr>Table 11</vt:lpstr>
      <vt:lpstr>'GS&lt;50 kW(1000 kWh)'!Print_Area</vt:lpstr>
      <vt:lpstr>'GS&lt;50 kW(10000 kWh)'!Print_Area</vt:lpstr>
      <vt:lpstr>'GS&lt;50 kW(15000 kWh)'!Print_Area</vt:lpstr>
      <vt:lpstr>'GS&lt;50 kW(2000 kWh)'!Print_Area</vt:lpstr>
      <vt:lpstr>'GS&lt;50 kW(5000 kWh)'!Print_Area</vt:lpstr>
      <vt:lpstr>'GS&gt;50-699 kW (100 kW)'!Print_Area</vt:lpstr>
      <vt:lpstr>'GS&gt;50-699 kW (500 kW)'!Print_Area</vt:lpstr>
      <vt:lpstr>'GS&gt;700-4,999kW (1000 kW)'!Print_Area</vt:lpstr>
      <vt:lpstr>'GS&gt;700-4,999kW (2100 kW)'!Print_Area</vt:lpstr>
      <vt:lpstr>'HOEP &amp; GA'!Print_Area</vt:lpstr>
      <vt:lpstr>'Large User (20000 kW)'!Print_Area</vt:lpstr>
      <vt:lpstr>'Large User (9500 kW)'!Print_Area</vt:lpstr>
      <vt:lpstr>'Residential (100 kWh)'!Print_Area</vt:lpstr>
      <vt:lpstr>'Residential (1000 kWh)'!Print_Area</vt:lpstr>
      <vt:lpstr>'Residential (1500 kWh)'!Print_Area</vt:lpstr>
      <vt:lpstr>'Residential (2000 kWh)'!Print_Area</vt:lpstr>
      <vt:lpstr>'Residential (250 kWh)'!Print_Area</vt:lpstr>
      <vt:lpstr>'Residential (500 kWh)'!Print_Area</vt:lpstr>
      <vt:lpstr>'Residential (800 kWh)'!Print_Area</vt:lpstr>
      <vt:lpstr>'Street Lighting (1kW)'!Print_Area</vt:lpstr>
      <vt:lpstr>'Street Lighting (3800 kW)'!Print_Area</vt:lpstr>
      <vt:lpstr>'Table 11'!Print_Area</vt:lpstr>
      <vt:lpstr>'USL (1500 kWh)'!Print_Area</vt:lpstr>
      <vt:lpstr>'USL (150kWh)'!Print_Area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dsullivan</cp:lastModifiedBy>
  <cp:lastPrinted>2013-08-13T18:22:47Z</cp:lastPrinted>
  <dcterms:created xsi:type="dcterms:W3CDTF">2012-07-10T21:21:23Z</dcterms:created>
  <dcterms:modified xsi:type="dcterms:W3CDTF">2013-08-13T18:28:18Z</dcterms:modified>
</cp:coreProperties>
</file>