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5600" windowHeight="8970" firstSheet="14" activeTab="22"/>
  </bookViews>
  <sheets>
    <sheet name="Cover" sheetId="10" r:id="rId1"/>
    <sheet name="Rates" sheetId="1" r:id="rId2"/>
    <sheet name="FE - Residential" sheetId="32" r:id="rId3"/>
    <sheet name="FE - GS &lt; 50 kW" sheetId="35" r:id="rId4"/>
    <sheet name="FE - GS &gt; 50 kW" sheetId="41" r:id="rId5"/>
    <sheet name="FE - USL" sheetId="38" r:id="rId6"/>
    <sheet name="FE - Sentinel Lgt" sheetId="44" r:id="rId7"/>
    <sheet name="FE - Street Lgt" sheetId="47" r:id="rId8"/>
    <sheet name="EOP - Residential" sheetId="33" r:id="rId9"/>
    <sheet name="EOP - GS &lt; 50 kW" sheetId="36" r:id="rId10"/>
    <sheet name="EOP - GS &gt; 50 kW" sheetId="42" r:id="rId11"/>
    <sheet name="EOP - USL" sheetId="39" r:id="rId12"/>
    <sheet name="EOP - Sentinel Lgt" sheetId="45" r:id="rId13"/>
    <sheet name="EOP - Street Lgt" sheetId="48" r:id="rId14"/>
    <sheet name="PC - Residential" sheetId="34" r:id="rId15"/>
    <sheet name="PC - GS &lt; 50 KW" sheetId="37" r:id="rId16"/>
    <sheet name="PC - GS &gt; 50 kW" sheetId="43" r:id="rId17"/>
    <sheet name="PC - USL" sheetId="40" r:id="rId18"/>
    <sheet name="PC - Sentinel Lgt" sheetId="46" r:id="rId19"/>
    <sheet name="PC - Street Lgt" sheetId="49" r:id="rId20"/>
    <sheet name="Summary - FE" sheetId="51" r:id="rId21"/>
    <sheet name="Summary - EOP" sheetId="52" r:id="rId22"/>
    <sheet name="Summary - PC" sheetId="53" r:id="rId23"/>
    <sheet name="Sheet1" sheetId="50" r:id="rId24"/>
  </sheets>
  <calcPr calcId="145621" calcOnSave="0"/>
</workbook>
</file>

<file path=xl/calcChain.xml><?xml version="1.0" encoding="utf-8"?>
<calcChain xmlns="http://schemas.openxmlformats.org/spreadsheetml/2006/main">
  <c r="B3" i="40" l="1"/>
  <c r="G28" i="39" l="1"/>
  <c r="D28" i="39"/>
  <c r="C28" i="39"/>
  <c r="B28" i="39"/>
  <c r="D29" i="38"/>
  <c r="G29" i="38"/>
  <c r="C29" i="38"/>
  <c r="B29" i="38"/>
  <c r="D14" i="53" l="1"/>
  <c r="D24" i="53" s="1"/>
  <c r="D13" i="53"/>
  <c r="D23" i="53" s="1"/>
  <c r="D11" i="53"/>
  <c r="D21" i="53" s="1"/>
  <c r="C14" i="53"/>
  <c r="C24" i="53" s="1"/>
  <c r="C13" i="53"/>
  <c r="C23" i="53" s="1"/>
  <c r="C12" i="53"/>
  <c r="C22" i="53" s="1"/>
  <c r="C11" i="53"/>
  <c r="C21" i="53" s="1"/>
  <c r="C10" i="53"/>
  <c r="C20" i="53" s="1"/>
  <c r="C9" i="53"/>
  <c r="C19" i="53" s="1"/>
  <c r="D14" i="52"/>
  <c r="D24" i="52" s="1"/>
  <c r="D13" i="52"/>
  <c r="D23" i="52" s="1"/>
  <c r="D11" i="52"/>
  <c r="D21" i="52" s="1"/>
  <c r="C14" i="52"/>
  <c r="C24" i="52" s="1"/>
  <c r="C13" i="52"/>
  <c r="C23" i="52" s="1"/>
  <c r="C12" i="52"/>
  <c r="C11" i="52"/>
  <c r="C21" i="52" s="1"/>
  <c r="C10" i="52"/>
  <c r="C9" i="52"/>
  <c r="C19" i="52" s="1"/>
  <c r="D14" i="51"/>
  <c r="D13" i="51"/>
  <c r="D23" i="51" s="1"/>
  <c r="D11" i="51"/>
  <c r="C14" i="51"/>
  <c r="C24" i="51" s="1"/>
  <c r="C13" i="51"/>
  <c r="C12" i="51"/>
  <c r="C22" i="51" s="1"/>
  <c r="C11" i="51"/>
  <c r="C21" i="51" s="1"/>
  <c r="C10" i="51"/>
  <c r="C20" i="51" s="1"/>
  <c r="C9" i="51"/>
  <c r="C19" i="51" s="1"/>
  <c r="C22" i="52"/>
  <c r="C20" i="52"/>
  <c r="D24" i="51"/>
  <c r="C23" i="51"/>
  <c r="D21" i="51"/>
  <c r="G24" i="49" l="1"/>
  <c r="G23" i="49"/>
  <c r="C24" i="49"/>
  <c r="C23" i="49"/>
  <c r="G21" i="49"/>
  <c r="G20" i="49"/>
  <c r="G19" i="49"/>
  <c r="G18" i="49"/>
  <c r="G17" i="49"/>
  <c r="C21" i="49"/>
  <c r="C19" i="49"/>
  <c r="C20" i="49"/>
  <c r="C18" i="49"/>
  <c r="G15" i="49"/>
  <c r="G14" i="49"/>
  <c r="C15" i="49"/>
  <c r="C14" i="49"/>
  <c r="B3" i="49"/>
  <c r="G35" i="49"/>
  <c r="C35" i="49"/>
  <c r="B35" i="49"/>
  <c r="G33" i="49"/>
  <c r="C33" i="49"/>
  <c r="B33" i="49"/>
  <c r="G30" i="49"/>
  <c r="D30" i="49"/>
  <c r="H30" i="49" s="1"/>
  <c r="C30" i="49"/>
  <c r="B30" i="49"/>
  <c r="G29" i="49"/>
  <c r="D29" i="49"/>
  <c r="H29" i="49" s="1"/>
  <c r="C29" i="49"/>
  <c r="B29" i="49"/>
  <c r="G28" i="49"/>
  <c r="H28" i="49"/>
  <c r="C28" i="49"/>
  <c r="B28" i="49"/>
  <c r="G27" i="49"/>
  <c r="C27" i="49"/>
  <c r="B27" i="49"/>
  <c r="G26" i="49"/>
  <c r="C26" i="49"/>
  <c r="B26" i="49"/>
  <c r="D24" i="49"/>
  <c r="H24" i="49" s="1"/>
  <c r="B24" i="49"/>
  <c r="D23" i="49"/>
  <c r="B23" i="49"/>
  <c r="D21" i="49"/>
  <c r="H21" i="49" s="1"/>
  <c r="B21" i="49"/>
  <c r="H20" i="49"/>
  <c r="D20" i="49"/>
  <c r="B20" i="49"/>
  <c r="D19" i="49"/>
  <c r="H19" i="49" s="1"/>
  <c r="B19" i="49"/>
  <c r="D18" i="49"/>
  <c r="B18" i="49"/>
  <c r="C17" i="49"/>
  <c r="D15" i="49"/>
  <c r="H15" i="49" s="1"/>
  <c r="B15" i="49"/>
  <c r="D14" i="49"/>
  <c r="B14" i="49"/>
  <c r="C9" i="49"/>
  <c r="C5" i="49"/>
  <c r="D26" i="49" s="1"/>
  <c r="H26" i="49" s="1"/>
  <c r="B2" i="49"/>
  <c r="G23" i="48"/>
  <c r="G22" i="48"/>
  <c r="C23" i="48"/>
  <c r="C22" i="48"/>
  <c r="G15" i="48"/>
  <c r="G14" i="48"/>
  <c r="G20" i="48"/>
  <c r="G19" i="48"/>
  <c r="G18" i="48"/>
  <c r="G17" i="48"/>
  <c r="C20" i="48"/>
  <c r="C19" i="48"/>
  <c r="C18" i="48"/>
  <c r="C15" i="48"/>
  <c r="C14" i="48"/>
  <c r="D29" i="47"/>
  <c r="D29" i="48"/>
  <c r="H29" i="48" s="1"/>
  <c r="B3" i="48"/>
  <c r="G34" i="48"/>
  <c r="C34" i="48"/>
  <c r="B34" i="48"/>
  <c r="G32" i="48"/>
  <c r="C32" i="48"/>
  <c r="B32" i="48"/>
  <c r="G29" i="48"/>
  <c r="C29" i="48"/>
  <c r="B29" i="48"/>
  <c r="G28" i="48"/>
  <c r="D28" i="48"/>
  <c r="H28" i="48" s="1"/>
  <c r="C28" i="48"/>
  <c r="B28" i="48"/>
  <c r="G27" i="48"/>
  <c r="H27" i="48"/>
  <c r="C27" i="48"/>
  <c r="B27" i="48"/>
  <c r="G26" i="48"/>
  <c r="C26" i="48"/>
  <c r="B26" i="48"/>
  <c r="G25" i="48"/>
  <c r="C25" i="48"/>
  <c r="B25" i="48"/>
  <c r="D23" i="48"/>
  <c r="H23" i="48" s="1"/>
  <c r="B23" i="48"/>
  <c r="D22" i="48"/>
  <c r="H22" i="48" s="1"/>
  <c r="B22" i="48"/>
  <c r="D20" i="48"/>
  <c r="H20" i="48" s="1"/>
  <c r="B20" i="48"/>
  <c r="D19" i="48"/>
  <c r="H19" i="48" s="1"/>
  <c r="I19" i="48" s="1"/>
  <c r="B19" i="48"/>
  <c r="D18" i="48"/>
  <c r="H18" i="48" s="1"/>
  <c r="B18" i="48"/>
  <c r="C17" i="48"/>
  <c r="D15" i="48"/>
  <c r="H15" i="48" s="1"/>
  <c r="B15" i="48"/>
  <c r="D14" i="48"/>
  <c r="H14" i="48" s="1"/>
  <c r="B14" i="48"/>
  <c r="C9" i="48"/>
  <c r="C5" i="48"/>
  <c r="D17" i="48" s="1"/>
  <c r="B2" i="48"/>
  <c r="G23" i="47"/>
  <c r="G22" i="47"/>
  <c r="C23" i="47"/>
  <c r="C22" i="47"/>
  <c r="G15" i="47"/>
  <c r="G14" i="47"/>
  <c r="G20" i="47"/>
  <c r="G19" i="47"/>
  <c r="G18" i="47"/>
  <c r="G17" i="47"/>
  <c r="C20" i="47"/>
  <c r="C19" i="47"/>
  <c r="C18" i="47"/>
  <c r="C15" i="47"/>
  <c r="C14" i="47"/>
  <c r="B3" i="47"/>
  <c r="G34" i="47"/>
  <c r="C34" i="47"/>
  <c r="B34" i="47"/>
  <c r="G32" i="47"/>
  <c r="C32" i="47"/>
  <c r="B32" i="47"/>
  <c r="G29" i="47"/>
  <c r="C29" i="47"/>
  <c r="B29" i="47"/>
  <c r="G28" i="47"/>
  <c r="D28" i="47"/>
  <c r="H28" i="47" s="1"/>
  <c r="C28" i="47"/>
  <c r="B28" i="47"/>
  <c r="G27" i="47"/>
  <c r="H27" i="47"/>
  <c r="C27" i="47"/>
  <c r="B27" i="47"/>
  <c r="G26" i="47"/>
  <c r="C26" i="47"/>
  <c r="B26" i="47"/>
  <c r="G25" i="47"/>
  <c r="C25" i="47"/>
  <c r="B25" i="47"/>
  <c r="D23" i="47"/>
  <c r="H23" i="47" s="1"/>
  <c r="B23" i="47"/>
  <c r="D22" i="47"/>
  <c r="H22" i="47" s="1"/>
  <c r="B22" i="47"/>
  <c r="D20" i="47"/>
  <c r="H20" i="47" s="1"/>
  <c r="B20" i="47"/>
  <c r="D19" i="47"/>
  <c r="H19" i="47" s="1"/>
  <c r="B19" i="47"/>
  <c r="D18" i="47"/>
  <c r="B18" i="47"/>
  <c r="C17" i="47"/>
  <c r="D15" i="47"/>
  <c r="H15" i="47" s="1"/>
  <c r="B15" i="47"/>
  <c r="D14" i="47"/>
  <c r="H14" i="47" s="1"/>
  <c r="B14" i="47"/>
  <c r="C9" i="47"/>
  <c r="C5" i="47"/>
  <c r="D25" i="47" s="1"/>
  <c r="B2" i="47"/>
  <c r="H19" i="46"/>
  <c r="D19" i="46"/>
  <c r="G20" i="46"/>
  <c r="G19" i="46"/>
  <c r="G18" i="46"/>
  <c r="G17" i="46"/>
  <c r="C20" i="46"/>
  <c r="C19" i="46"/>
  <c r="C18" i="46"/>
  <c r="B19" i="46"/>
  <c r="G15" i="46"/>
  <c r="G14" i="46"/>
  <c r="C15" i="46"/>
  <c r="C14" i="46"/>
  <c r="B3" i="46"/>
  <c r="B2" i="46"/>
  <c r="G34" i="46"/>
  <c r="C34" i="46"/>
  <c r="B34" i="46"/>
  <c r="G32" i="46"/>
  <c r="C32" i="46"/>
  <c r="B32" i="46"/>
  <c r="G29" i="46"/>
  <c r="D29" i="46"/>
  <c r="H29" i="46" s="1"/>
  <c r="C29" i="46"/>
  <c r="B29" i="46"/>
  <c r="G28" i="46"/>
  <c r="D28" i="46"/>
  <c r="H28" i="46" s="1"/>
  <c r="C28" i="46"/>
  <c r="B28" i="46"/>
  <c r="H27" i="46"/>
  <c r="G27" i="46"/>
  <c r="C27" i="46"/>
  <c r="E27" i="46" s="1"/>
  <c r="B27" i="46"/>
  <c r="G26" i="46"/>
  <c r="C26" i="46"/>
  <c r="B26" i="46"/>
  <c r="G25" i="46"/>
  <c r="C25" i="46"/>
  <c r="B25" i="46"/>
  <c r="G23" i="46"/>
  <c r="D23" i="46"/>
  <c r="H23" i="46" s="1"/>
  <c r="C23" i="46"/>
  <c r="B23" i="46"/>
  <c r="G22" i="46"/>
  <c r="D22" i="46"/>
  <c r="H22" i="46" s="1"/>
  <c r="C22" i="46"/>
  <c r="B22" i="46"/>
  <c r="D20" i="46"/>
  <c r="B20" i="46"/>
  <c r="D18" i="46"/>
  <c r="H18" i="46" s="1"/>
  <c r="B18" i="46"/>
  <c r="C17" i="46"/>
  <c r="D15" i="46"/>
  <c r="H15" i="46" s="1"/>
  <c r="B15" i="46"/>
  <c r="D14" i="46"/>
  <c r="B14" i="46"/>
  <c r="C9" i="46"/>
  <c r="C5" i="46"/>
  <c r="G27" i="45"/>
  <c r="C27" i="45"/>
  <c r="G22" i="45"/>
  <c r="G21" i="45"/>
  <c r="C22" i="45"/>
  <c r="C21" i="45"/>
  <c r="G19" i="45"/>
  <c r="G18" i="45"/>
  <c r="G17" i="45"/>
  <c r="C19" i="45"/>
  <c r="C18" i="45"/>
  <c r="G15" i="45"/>
  <c r="G14" i="45"/>
  <c r="C15" i="45"/>
  <c r="C14" i="45"/>
  <c r="B3" i="45"/>
  <c r="B2" i="45"/>
  <c r="G33" i="45"/>
  <c r="C33" i="45"/>
  <c r="B33" i="45"/>
  <c r="G31" i="45"/>
  <c r="C31" i="45"/>
  <c r="B31" i="45"/>
  <c r="G28" i="45"/>
  <c r="D28" i="45"/>
  <c r="H28" i="45" s="1"/>
  <c r="C28" i="45"/>
  <c r="B28" i="45"/>
  <c r="D27" i="45"/>
  <c r="B27" i="45"/>
  <c r="H26" i="45"/>
  <c r="G26" i="45"/>
  <c r="C26" i="45"/>
  <c r="E26" i="45" s="1"/>
  <c r="B26" i="45"/>
  <c r="G25" i="45"/>
  <c r="C25" i="45"/>
  <c r="B25" i="45"/>
  <c r="G24" i="45"/>
  <c r="C24" i="45"/>
  <c r="B24" i="45"/>
  <c r="D22" i="45"/>
  <c r="B22" i="45"/>
  <c r="D21" i="45"/>
  <c r="B21" i="45"/>
  <c r="D19" i="45"/>
  <c r="H19" i="45" s="1"/>
  <c r="B19" i="45"/>
  <c r="D18" i="45"/>
  <c r="H18" i="45" s="1"/>
  <c r="B18" i="45"/>
  <c r="C17" i="45"/>
  <c r="D15" i="45"/>
  <c r="H15" i="45" s="1"/>
  <c r="B15" i="45"/>
  <c r="D14" i="45"/>
  <c r="B14" i="45"/>
  <c r="C9" i="45"/>
  <c r="C5" i="45"/>
  <c r="D24" i="45" s="1"/>
  <c r="H24" i="45" s="1"/>
  <c r="D30" i="43"/>
  <c r="H30" i="43" s="1"/>
  <c r="D29" i="42"/>
  <c r="H29" i="42" s="1"/>
  <c r="D29" i="41"/>
  <c r="H29" i="41" s="1"/>
  <c r="D29" i="44"/>
  <c r="H29" i="44" s="1"/>
  <c r="G23" i="44"/>
  <c r="G22" i="44"/>
  <c r="C23" i="44"/>
  <c r="C22" i="44"/>
  <c r="G20" i="44"/>
  <c r="G19" i="44"/>
  <c r="G18" i="44"/>
  <c r="G17" i="44"/>
  <c r="C20" i="44"/>
  <c r="C19" i="44"/>
  <c r="C18" i="44"/>
  <c r="G15" i="44"/>
  <c r="G14" i="44"/>
  <c r="C15" i="44"/>
  <c r="C14" i="44"/>
  <c r="B3" i="44"/>
  <c r="G34" i="44"/>
  <c r="C34" i="44"/>
  <c r="B34" i="44"/>
  <c r="G32" i="44"/>
  <c r="C32" i="44"/>
  <c r="B32" i="44"/>
  <c r="G29" i="44"/>
  <c r="C29" i="44"/>
  <c r="B29" i="44"/>
  <c r="G28" i="44"/>
  <c r="D28" i="44"/>
  <c r="C28" i="44"/>
  <c r="B28" i="44"/>
  <c r="H27" i="44"/>
  <c r="G27" i="44"/>
  <c r="C27" i="44"/>
  <c r="E27" i="44" s="1"/>
  <c r="B27" i="44"/>
  <c r="G26" i="44"/>
  <c r="C26" i="44"/>
  <c r="B26" i="44"/>
  <c r="G25" i="44"/>
  <c r="C25" i="44"/>
  <c r="B25" i="44"/>
  <c r="D23" i="44"/>
  <c r="B23" i="44"/>
  <c r="D22" i="44"/>
  <c r="B22" i="44"/>
  <c r="D20" i="44"/>
  <c r="H20" i="44" s="1"/>
  <c r="B20" i="44"/>
  <c r="D19" i="44"/>
  <c r="H19" i="44" s="1"/>
  <c r="B19" i="44"/>
  <c r="D18" i="44"/>
  <c r="H18" i="44" s="1"/>
  <c r="B18" i="44"/>
  <c r="C17" i="44"/>
  <c r="D15" i="44"/>
  <c r="H15" i="44" s="1"/>
  <c r="B15" i="44"/>
  <c r="D14" i="44"/>
  <c r="B14" i="44"/>
  <c r="C9" i="44"/>
  <c r="C5" i="44"/>
  <c r="D25" i="44" s="1"/>
  <c r="H25" i="44" s="1"/>
  <c r="B2" i="44"/>
  <c r="G29" i="43"/>
  <c r="C29" i="43"/>
  <c r="G24" i="43"/>
  <c r="G23" i="43"/>
  <c r="C24" i="43"/>
  <c r="C23" i="43"/>
  <c r="G21" i="43"/>
  <c r="G20" i="43"/>
  <c r="G19" i="43"/>
  <c r="G18" i="43"/>
  <c r="G17" i="43"/>
  <c r="C19" i="43"/>
  <c r="C20" i="43"/>
  <c r="C18" i="43"/>
  <c r="C21" i="43"/>
  <c r="E21" i="43" s="1"/>
  <c r="G15" i="43"/>
  <c r="G14" i="43"/>
  <c r="C15" i="43"/>
  <c r="C14" i="43"/>
  <c r="H20" i="43"/>
  <c r="D20" i="43"/>
  <c r="B20" i="43"/>
  <c r="B3" i="43"/>
  <c r="B2" i="43"/>
  <c r="G35" i="43"/>
  <c r="C35" i="43"/>
  <c r="B35" i="43"/>
  <c r="G33" i="43"/>
  <c r="C33" i="43"/>
  <c r="B33" i="43"/>
  <c r="G30" i="43"/>
  <c r="C30" i="43"/>
  <c r="B30" i="43"/>
  <c r="D29" i="43"/>
  <c r="H29" i="43" s="1"/>
  <c r="B29" i="43"/>
  <c r="H28" i="43"/>
  <c r="G28" i="43"/>
  <c r="C28" i="43"/>
  <c r="E28" i="43" s="1"/>
  <c r="B28" i="43"/>
  <c r="G27" i="43"/>
  <c r="C27" i="43"/>
  <c r="B27" i="43"/>
  <c r="G26" i="43"/>
  <c r="C26" i="43"/>
  <c r="B26" i="43"/>
  <c r="D24" i="43"/>
  <c r="H24" i="43" s="1"/>
  <c r="B24" i="43"/>
  <c r="D23" i="43"/>
  <c r="H23" i="43" s="1"/>
  <c r="B23" i="43"/>
  <c r="D21" i="43"/>
  <c r="H21" i="43" s="1"/>
  <c r="B21" i="43"/>
  <c r="D19" i="43"/>
  <c r="H19" i="43" s="1"/>
  <c r="B19" i="43"/>
  <c r="D18" i="43"/>
  <c r="H18" i="43" s="1"/>
  <c r="B18" i="43"/>
  <c r="C17" i="43"/>
  <c r="D15" i="43"/>
  <c r="H15" i="43" s="1"/>
  <c r="B15" i="43"/>
  <c r="D14" i="43"/>
  <c r="H14" i="43" s="1"/>
  <c r="B14" i="43"/>
  <c r="C9" i="43"/>
  <c r="C5" i="43"/>
  <c r="D26" i="43" s="1"/>
  <c r="H26" i="43" s="1"/>
  <c r="G28" i="42"/>
  <c r="C28" i="42"/>
  <c r="G22" i="42"/>
  <c r="C23" i="42"/>
  <c r="C22" i="42"/>
  <c r="G20" i="42"/>
  <c r="G19" i="42"/>
  <c r="G18" i="42"/>
  <c r="G17" i="42"/>
  <c r="C20" i="42"/>
  <c r="C19" i="42"/>
  <c r="C18" i="42"/>
  <c r="C15" i="42"/>
  <c r="C14" i="42"/>
  <c r="B3" i="42"/>
  <c r="B2" i="42"/>
  <c r="G34" i="42"/>
  <c r="C34" i="42"/>
  <c r="B34" i="42"/>
  <c r="G32" i="42"/>
  <c r="C32" i="42"/>
  <c r="B32" i="42"/>
  <c r="G29" i="42"/>
  <c r="C29" i="42"/>
  <c r="B29" i="42"/>
  <c r="D28" i="42"/>
  <c r="H28" i="42" s="1"/>
  <c r="B28" i="42"/>
  <c r="G27" i="42"/>
  <c r="H27" i="42"/>
  <c r="C27" i="42"/>
  <c r="E27" i="42" s="1"/>
  <c r="B27" i="42"/>
  <c r="G26" i="42"/>
  <c r="C26" i="42"/>
  <c r="B26" i="42"/>
  <c r="G25" i="42"/>
  <c r="C25" i="42"/>
  <c r="B25" i="42"/>
  <c r="G23" i="42"/>
  <c r="D23" i="42"/>
  <c r="H23" i="42" s="1"/>
  <c r="B23" i="42"/>
  <c r="D22" i="42"/>
  <c r="H22" i="42" s="1"/>
  <c r="B22" i="42"/>
  <c r="D20" i="42"/>
  <c r="H20" i="42" s="1"/>
  <c r="B20" i="42"/>
  <c r="D19" i="42"/>
  <c r="B19" i="42"/>
  <c r="D18" i="42"/>
  <c r="H18" i="42" s="1"/>
  <c r="B18" i="42"/>
  <c r="C17" i="42"/>
  <c r="G15" i="42"/>
  <c r="D15" i="42"/>
  <c r="B15" i="42"/>
  <c r="G14" i="42"/>
  <c r="D14" i="42"/>
  <c r="H14" i="42" s="1"/>
  <c r="B14" i="42"/>
  <c r="C9" i="42"/>
  <c r="C5" i="42"/>
  <c r="H17" i="42" s="1"/>
  <c r="G29" i="41"/>
  <c r="C29" i="41"/>
  <c r="B29" i="41"/>
  <c r="G23" i="41"/>
  <c r="G22" i="41"/>
  <c r="D23" i="41"/>
  <c r="D22" i="41"/>
  <c r="C23" i="41"/>
  <c r="C22" i="41"/>
  <c r="G20" i="41"/>
  <c r="G19" i="41"/>
  <c r="G18" i="41"/>
  <c r="G17" i="41"/>
  <c r="C20" i="41"/>
  <c r="C19" i="41"/>
  <c r="C18" i="41"/>
  <c r="D20" i="41"/>
  <c r="H20" i="41" s="1"/>
  <c r="D19" i="41"/>
  <c r="H19" i="41" s="1"/>
  <c r="D18" i="41"/>
  <c r="H18" i="41" s="1"/>
  <c r="D15" i="41"/>
  <c r="H15" i="41" s="1"/>
  <c r="G15" i="41"/>
  <c r="G14" i="41"/>
  <c r="C15" i="41"/>
  <c r="C14" i="41"/>
  <c r="B3" i="41"/>
  <c r="G34" i="41"/>
  <c r="C34" i="41"/>
  <c r="B34" i="41"/>
  <c r="G32" i="41"/>
  <c r="C32" i="41"/>
  <c r="B32" i="41"/>
  <c r="G28" i="41"/>
  <c r="D28" i="41"/>
  <c r="H28" i="41" s="1"/>
  <c r="C28" i="41"/>
  <c r="B28" i="41"/>
  <c r="G27" i="41"/>
  <c r="H27" i="41"/>
  <c r="C27" i="41"/>
  <c r="B27" i="41"/>
  <c r="G26" i="41"/>
  <c r="C26" i="41"/>
  <c r="B26" i="41"/>
  <c r="G25" i="41"/>
  <c r="C25" i="41"/>
  <c r="B25" i="41"/>
  <c r="B23" i="41"/>
  <c r="B22" i="41"/>
  <c r="B20" i="41"/>
  <c r="B19" i="41"/>
  <c r="B18" i="41"/>
  <c r="C17" i="41"/>
  <c r="B15" i="41"/>
  <c r="D14" i="41"/>
  <c r="H14" i="41" s="1"/>
  <c r="B14" i="41"/>
  <c r="C9" i="41"/>
  <c r="C5" i="41"/>
  <c r="D26" i="41" s="1"/>
  <c r="H26" i="41" s="1"/>
  <c r="B2" i="41"/>
  <c r="H20" i="40"/>
  <c r="D20" i="40"/>
  <c r="H22" i="37"/>
  <c r="D22" i="37"/>
  <c r="H22" i="34"/>
  <c r="D22" i="34"/>
  <c r="G24" i="40"/>
  <c r="G23" i="40"/>
  <c r="C24" i="40"/>
  <c r="C23" i="40"/>
  <c r="G21" i="40"/>
  <c r="G20" i="40"/>
  <c r="G19" i="40"/>
  <c r="G18" i="40"/>
  <c r="G17" i="40"/>
  <c r="C21" i="40"/>
  <c r="C19" i="40"/>
  <c r="C20" i="40"/>
  <c r="C18" i="40"/>
  <c r="G15" i="40"/>
  <c r="G14" i="40"/>
  <c r="C15" i="40"/>
  <c r="C14" i="40"/>
  <c r="G29" i="40"/>
  <c r="C29" i="40"/>
  <c r="G31" i="35"/>
  <c r="C31" i="35"/>
  <c r="G32" i="34"/>
  <c r="C32" i="34"/>
  <c r="G32" i="37"/>
  <c r="C32" i="37"/>
  <c r="G37" i="40"/>
  <c r="C37" i="40"/>
  <c r="B37" i="40"/>
  <c r="G35" i="40"/>
  <c r="C35" i="40"/>
  <c r="B35" i="40"/>
  <c r="G32" i="40"/>
  <c r="D32" i="40"/>
  <c r="H32" i="40" s="1"/>
  <c r="C32" i="40"/>
  <c r="B32" i="40"/>
  <c r="G31" i="40"/>
  <c r="D31" i="40"/>
  <c r="C31" i="40"/>
  <c r="B31" i="40"/>
  <c r="G30" i="40"/>
  <c r="D30" i="40"/>
  <c r="H30" i="40" s="1"/>
  <c r="C30" i="40"/>
  <c r="B30" i="40"/>
  <c r="D29" i="40"/>
  <c r="H29" i="40" s="1"/>
  <c r="B29" i="40"/>
  <c r="G28" i="40"/>
  <c r="H28" i="40"/>
  <c r="C28" i="40"/>
  <c r="E28" i="40" s="1"/>
  <c r="B28" i="40"/>
  <c r="G27" i="40"/>
  <c r="C27" i="40"/>
  <c r="B27" i="40"/>
  <c r="G26" i="40"/>
  <c r="C26" i="40"/>
  <c r="B26" i="40"/>
  <c r="B24" i="40"/>
  <c r="B23" i="40"/>
  <c r="D21" i="40"/>
  <c r="H21" i="40" s="1"/>
  <c r="B21" i="40"/>
  <c r="B20" i="40"/>
  <c r="D19" i="40"/>
  <c r="B19" i="40"/>
  <c r="D18" i="40"/>
  <c r="B18" i="40"/>
  <c r="C17" i="40"/>
  <c r="D15" i="40"/>
  <c r="H15" i="40" s="1"/>
  <c r="B15" i="40"/>
  <c r="D14" i="40"/>
  <c r="B14" i="40"/>
  <c r="C9" i="40"/>
  <c r="C5" i="40"/>
  <c r="D23" i="40" s="1"/>
  <c r="H23" i="40" s="1"/>
  <c r="B2" i="40"/>
  <c r="G22" i="39"/>
  <c r="G21" i="39"/>
  <c r="C22" i="39"/>
  <c r="C21" i="39"/>
  <c r="G19" i="39"/>
  <c r="G18" i="39"/>
  <c r="G17" i="39"/>
  <c r="C19" i="39"/>
  <c r="C18" i="39"/>
  <c r="G15" i="39"/>
  <c r="G14" i="39"/>
  <c r="C15" i="39"/>
  <c r="C14" i="39"/>
  <c r="B3" i="39"/>
  <c r="G33" i="39"/>
  <c r="C33" i="39"/>
  <c r="B33" i="39"/>
  <c r="G31" i="39"/>
  <c r="C31" i="39"/>
  <c r="B31" i="39"/>
  <c r="H28" i="39"/>
  <c r="G27" i="39"/>
  <c r="D27" i="39"/>
  <c r="H27" i="39" s="1"/>
  <c r="C27" i="39"/>
  <c r="B27" i="39"/>
  <c r="G26" i="39"/>
  <c r="H26" i="39"/>
  <c r="C26" i="39"/>
  <c r="B26" i="39"/>
  <c r="G25" i="39"/>
  <c r="C25" i="39"/>
  <c r="B25" i="39"/>
  <c r="G24" i="39"/>
  <c r="C24" i="39"/>
  <c r="B24" i="39"/>
  <c r="B22" i="39"/>
  <c r="B21" i="39"/>
  <c r="D19" i="39"/>
  <c r="H19" i="39" s="1"/>
  <c r="B19" i="39"/>
  <c r="D18" i="39"/>
  <c r="H18" i="39" s="1"/>
  <c r="B18" i="39"/>
  <c r="C17" i="39"/>
  <c r="D15" i="39"/>
  <c r="B15" i="39"/>
  <c r="D14" i="39"/>
  <c r="H14" i="39" s="1"/>
  <c r="B14" i="39"/>
  <c r="C9" i="39"/>
  <c r="C5" i="39"/>
  <c r="D21" i="39" s="1"/>
  <c r="H21" i="39" s="1"/>
  <c r="B2" i="39"/>
  <c r="G23" i="38"/>
  <c r="G22" i="38"/>
  <c r="C23" i="38"/>
  <c r="C22" i="38"/>
  <c r="G20" i="38"/>
  <c r="G19" i="38"/>
  <c r="G18" i="38"/>
  <c r="G17" i="38"/>
  <c r="C20" i="38"/>
  <c r="C19" i="38"/>
  <c r="C18" i="38"/>
  <c r="G15" i="38"/>
  <c r="G14" i="38"/>
  <c r="C15" i="38"/>
  <c r="C14" i="38"/>
  <c r="B3" i="38"/>
  <c r="G34" i="38"/>
  <c r="C34" i="38"/>
  <c r="B34" i="38"/>
  <c r="G32" i="38"/>
  <c r="C32" i="38"/>
  <c r="B32" i="38"/>
  <c r="H29" i="38"/>
  <c r="G28" i="38"/>
  <c r="D28" i="38"/>
  <c r="H28" i="38" s="1"/>
  <c r="C28" i="38"/>
  <c r="B28" i="38"/>
  <c r="G27" i="38"/>
  <c r="H27" i="38"/>
  <c r="C27" i="38"/>
  <c r="B27" i="38"/>
  <c r="G26" i="38"/>
  <c r="C26" i="38"/>
  <c r="B26" i="38"/>
  <c r="G25" i="38"/>
  <c r="C25" i="38"/>
  <c r="B25" i="38"/>
  <c r="B23" i="38"/>
  <c r="B22" i="38"/>
  <c r="D20" i="38"/>
  <c r="H20" i="38" s="1"/>
  <c r="B20" i="38"/>
  <c r="D19" i="38"/>
  <c r="H19" i="38" s="1"/>
  <c r="B19" i="38"/>
  <c r="D18" i="38"/>
  <c r="B18" i="38"/>
  <c r="C17" i="38"/>
  <c r="D15" i="38"/>
  <c r="B15" i="38"/>
  <c r="D14" i="38"/>
  <c r="H14" i="38" s="1"/>
  <c r="B14" i="38"/>
  <c r="C9" i="38"/>
  <c r="C5" i="38"/>
  <c r="D26" i="38" s="1"/>
  <c r="H26" i="38" s="1"/>
  <c r="B2" i="38"/>
  <c r="G27" i="37"/>
  <c r="G26" i="37"/>
  <c r="C27" i="37"/>
  <c r="C26" i="37"/>
  <c r="G24" i="37"/>
  <c r="G23" i="37"/>
  <c r="G22" i="37"/>
  <c r="I22" i="37" s="1"/>
  <c r="G21" i="37"/>
  <c r="G20" i="37"/>
  <c r="G19" i="37"/>
  <c r="C23" i="37"/>
  <c r="C21" i="37"/>
  <c r="C22" i="37"/>
  <c r="C20" i="37"/>
  <c r="G17" i="37"/>
  <c r="G16" i="37"/>
  <c r="G15" i="37"/>
  <c r="G14" i="37"/>
  <c r="C15" i="37"/>
  <c r="C16" i="37"/>
  <c r="C17" i="37"/>
  <c r="C14" i="37"/>
  <c r="B3" i="37"/>
  <c r="G40" i="37"/>
  <c r="C40" i="37"/>
  <c r="B40" i="37"/>
  <c r="G38" i="37"/>
  <c r="C38" i="37"/>
  <c r="B38" i="37"/>
  <c r="G35" i="37"/>
  <c r="D35" i="37"/>
  <c r="H35" i="37" s="1"/>
  <c r="C35" i="37"/>
  <c r="B35" i="37"/>
  <c r="G34" i="37"/>
  <c r="D34" i="37"/>
  <c r="C34" i="37"/>
  <c r="B34" i="37"/>
  <c r="G33" i="37"/>
  <c r="D33" i="37"/>
  <c r="C33" i="37"/>
  <c r="B33" i="37"/>
  <c r="D32" i="37"/>
  <c r="H32" i="37" s="1"/>
  <c r="B32" i="37"/>
  <c r="H31" i="37"/>
  <c r="G31" i="37"/>
  <c r="C31" i="37"/>
  <c r="E31" i="37" s="1"/>
  <c r="B31" i="37"/>
  <c r="G30" i="37"/>
  <c r="C30" i="37"/>
  <c r="B30" i="37"/>
  <c r="G29" i="37"/>
  <c r="C29" i="37"/>
  <c r="B29" i="37"/>
  <c r="B27" i="37"/>
  <c r="B26" i="37"/>
  <c r="D24" i="37"/>
  <c r="C24" i="37"/>
  <c r="B24" i="37"/>
  <c r="D23" i="37"/>
  <c r="B23" i="37"/>
  <c r="B22" i="37"/>
  <c r="D21" i="37"/>
  <c r="B21" i="37"/>
  <c r="D20" i="37"/>
  <c r="H20" i="37" s="1"/>
  <c r="B20" i="37"/>
  <c r="C19" i="37"/>
  <c r="H17" i="37"/>
  <c r="D17" i="37"/>
  <c r="B17" i="37"/>
  <c r="D16" i="37"/>
  <c r="H16" i="37" s="1"/>
  <c r="B16" i="37"/>
  <c r="D15" i="37"/>
  <c r="H15" i="37" s="1"/>
  <c r="B15" i="37"/>
  <c r="D14" i="37"/>
  <c r="B14" i="37"/>
  <c r="C9" i="37"/>
  <c r="C5" i="37"/>
  <c r="D26" i="37" s="1"/>
  <c r="H26" i="37" s="1"/>
  <c r="B2" i="37"/>
  <c r="G22" i="36"/>
  <c r="C22" i="36"/>
  <c r="G31" i="36"/>
  <c r="C31" i="36"/>
  <c r="G26" i="36"/>
  <c r="G25" i="36"/>
  <c r="C26" i="36"/>
  <c r="C25" i="36"/>
  <c r="G23" i="36"/>
  <c r="G21" i="36"/>
  <c r="G20" i="36"/>
  <c r="G19" i="36"/>
  <c r="C21" i="36"/>
  <c r="C20" i="36"/>
  <c r="G17" i="36"/>
  <c r="G16" i="36"/>
  <c r="G15" i="36"/>
  <c r="G14" i="36"/>
  <c r="C15" i="36"/>
  <c r="C16" i="36"/>
  <c r="C17" i="36"/>
  <c r="C14" i="36"/>
  <c r="B3" i="36"/>
  <c r="B2" i="36"/>
  <c r="G39" i="36"/>
  <c r="C39" i="36"/>
  <c r="B39" i="36"/>
  <c r="G37" i="36"/>
  <c r="C37" i="36"/>
  <c r="B37" i="36"/>
  <c r="G34" i="36"/>
  <c r="D34" i="36"/>
  <c r="H34" i="36" s="1"/>
  <c r="C34" i="36"/>
  <c r="E34" i="36" s="1"/>
  <c r="B34" i="36"/>
  <c r="G33" i="36"/>
  <c r="D33" i="36"/>
  <c r="H33" i="36" s="1"/>
  <c r="C33" i="36"/>
  <c r="B33" i="36"/>
  <c r="G32" i="36"/>
  <c r="D32" i="36"/>
  <c r="C32" i="36"/>
  <c r="B32" i="36"/>
  <c r="D31" i="36"/>
  <c r="H31" i="36" s="1"/>
  <c r="B31" i="36"/>
  <c r="G30" i="36"/>
  <c r="H30" i="36"/>
  <c r="C30" i="36"/>
  <c r="E30" i="36" s="1"/>
  <c r="B30" i="36"/>
  <c r="G29" i="36"/>
  <c r="C29" i="36"/>
  <c r="B29" i="36"/>
  <c r="G28" i="36"/>
  <c r="C28" i="36"/>
  <c r="B28" i="36"/>
  <c r="B26" i="36"/>
  <c r="B25" i="36"/>
  <c r="D23" i="36"/>
  <c r="H23" i="36" s="1"/>
  <c r="C23" i="36"/>
  <c r="B23" i="36"/>
  <c r="D22" i="36"/>
  <c r="B22" i="36"/>
  <c r="D21" i="36"/>
  <c r="B21" i="36"/>
  <c r="D20" i="36"/>
  <c r="B20" i="36"/>
  <c r="C19" i="36"/>
  <c r="D17" i="36"/>
  <c r="H17" i="36" s="1"/>
  <c r="B17" i="36"/>
  <c r="D16" i="36"/>
  <c r="H16" i="36" s="1"/>
  <c r="B16" i="36"/>
  <c r="D15" i="36"/>
  <c r="H15" i="36" s="1"/>
  <c r="B15" i="36"/>
  <c r="D14" i="36"/>
  <c r="E14" i="36" s="1"/>
  <c r="B14" i="36"/>
  <c r="C9" i="36"/>
  <c r="C5" i="36"/>
  <c r="D29" i="36" s="1"/>
  <c r="G26" i="35"/>
  <c r="G25" i="35"/>
  <c r="G23" i="35"/>
  <c r="G22" i="35"/>
  <c r="G21" i="35"/>
  <c r="G20" i="35"/>
  <c r="G19" i="35"/>
  <c r="C22" i="35"/>
  <c r="C26" i="35"/>
  <c r="C25" i="35"/>
  <c r="C21" i="35"/>
  <c r="C20" i="35"/>
  <c r="G17" i="35"/>
  <c r="G16" i="35"/>
  <c r="G15" i="35"/>
  <c r="G14" i="35"/>
  <c r="C15" i="35"/>
  <c r="C16" i="35"/>
  <c r="C17" i="35"/>
  <c r="C14" i="35"/>
  <c r="B3" i="35"/>
  <c r="G39" i="35"/>
  <c r="C39" i="35"/>
  <c r="B39" i="35"/>
  <c r="G37" i="35"/>
  <c r="C37" i="35"/>
  <c r="B37" i="35"/>
  <c r="G34" i="35"/>
  <c r="D34" i="35"/>
  <c r="H34" i="35" s="1"/>
  <c r="C34" i="35"/>
  <c r="B34" i="35"/>
  <c r="G33" i="35"/>
  <c r="D33" i="35"/>
  <c r="H33" i="35" s="1"/>
  <c r="C33" i="35"/>
  <c r="B33" i="35"/>
  <c r="G32" i="35"/>
  <c r="D32" i="35"/>
  <c r="H32" i="35" s="1"/>
  <c r="C32" i="35"/>
  <c r="B32" i="35"/>
  <c r="D31" i="35"/>
  <c r="B31" i="35"/>
  <c r="H30" i="35"/>
  <c r="G30" i="35"/>
  <c r="C30" i="35"/>
  <c r="E30" i="35" s="1"/>
  <c r="B30" i="35"/>
  <c r="G29" i="35"/>
  <c r="C29" i="35"/>
  <c r="B29" i="35"/>
  <c r="G28" i="35"/>
  <c r="C28" i="35"/>
  <c r="B28" i="35"/>
  <c r="B26" i="35"/>
  <c r="B25" i="35"/>
  <c r="D23" i="35"/>
  <c r="H23" i="35" s="1"/>
  <c r="C23" i="35"/>
  <c r="B23" i="35"/>
  <c r="D22" i="35"/>
  <c r="H22" i="35" s="1"/>
  <c r="B22" i="35"/>
  <c r="D21" i="35"/>
  <c r="B21" i="35"/>
  <c r="D20" i="35"/>
  <c r="H20" i="35" s="1"/>
  <c r="B20" i="35"/>
  <c r="C19" i="35"/>
  <c r="D17" i="35"/>
  <c r="H17" i="35" s="1"/>
  <c r="B17" i="35"/>
  <c r="D16" i="35"/>
  <c r="H16" i="35" s="1"/>
  <c r="B16" i="35"/>
  <c r="D15" i="35"/>
  <c r="B15" i="35"/>
  <c r="D14" i="35"/>
  <c r="H14" i="35" s="1"/>
  <c r="B14" i="35"/>
  <c r="C9" i="35"/>
  <c r="C5" i="35"/>
  <c r="B2" i="35"/>
  <c r="B3" i="34"/>
  <c r="B3" i="33"/>
  <c r="B3" i="32"/>
  <c r="B2" i="32"/>
  <c r="G27" i="34"/>
  <c r="G26" i="34"/>
  <c r="C27" i="34"/>
  <c r="C26" i="34"/>
  <c r="G24" i="34"/>
  <c r="G23" i="34"/>
  <c r="G22" i="34"/>
  <c r="I22" i="34" s="1"/>
  <c r="G21" i="34"/>
  <c r="G20" i="34"/>
  <c r="G19" i="34"/>
  <c r="C22" i="34"/>
  <c r="B22" i="34"/>
  <c r="C23" i="34"/>
  <c r="C21" i="34"/>
  <c r="C20" i="34"/>
  <c r="G17" i="34"/>
  <c r="G16" i="34"/>
  <c r="G15" i="34"/>
  <c r="G14" i="34"/>
  <c r="C17" i="34"/>
  <c r="C16" i="34"/>
  <c r="C15" i="34"/>
  <c r="C14" i="34"/>
  <c r="B2" i="34"/>
  <c r="G40" i="34"/>
  <c r="C40" i="34"/>
  <c r="B40" i="34"/>
  <c r="G38" i="34"/>
  <c r="C38" i="34"/>
  <c r="B38" i="34"/>
  <c r="G35" i="34"/>
  <c r="D35" i="34"/>
  <c r="H35" i="34" s="1"/>
  <c r="C35" i="34"/>
  <c r="B35" i="34"/>
  <c r="G34" i="34"/>
  <c r="D34" i="34"/>
  <c r="H34" i="34" s="1"/>
  <c r="C34" i="34"/>
  <c r="B34" i="34"/>
  <c r="G33" i="34"/>
  <c r="D33" i="34"/>
  <c r="H33" i="34" s="1"/>
  <c r="C33" i="34"/>
  <c r="B33" i="34"/>
  <c r="D32" i="34"/>
  <c r="H32" i="34" s="1"/>
  <c r="B32" i="34"/>
  <c r="H31" i="34"/>
  <c r="G31" i="34"/>
  <c r="C31" i="34"/>
  <c r="E31" i="34" s="1"/>
  <c r="B31" i="34"/>
  <c r="G30" i="34"/>
  <c r="C30" i="34"/>
  <c r="B30" i="34"/>
  <c r="G29" i="34"/>
  <c r="C29" i="34"/>
  <c r="B29" i="34"/>
  <c r="B27" i="34"/>
  <c r="B26" i="34"/>
  <c r="D24" i="34"/>
  <c r="H24" i="34" s="1"/>
  <c r="C24" i="34"/>
  <c r="B24" i="34"/>
  <c r="D23" i="34"/>
  <c r="H23" i="34" s="1"/>
  <c r="B23" i="34"/>
  <c r="D21" i="34"/>
  <c r="H21" i="34" s="1"/>
  <c r="B21" i="34"/>
  <c r="D20" i="34"/>
  <c r="H20" i="34" s="1"/>
  <c r="B20" i="34"/>
  <c r="C19" i="34"/>
  <c r="D17" i="34"/>
  <c r="H17" i="34" s="1"/>
  <c r="B17" i="34"/>
  <c r="D16" i="34"/>
  <c r="H16" i="34" s="1"/>
  <c r="B16" i="34"/>
  <c r="D15" i="34"/>
  <c r="H15" i="34" s="1"/>
  <c r="B15" i="34"/>
  <c r="D14" i="34"/>
  <c r="H14" i="34" s="1"/>
  <c r="B14" i="34"/>
  <c r="C9" i="34"/>
  <c r="C5" i="34"/>
  <c r="D26" i="34" s="1"/>
  <c r="H26" i="34" s="1"/>
  <c r="B2" i="33"/>
  <c r="G31" i="33"/>
  <c r="C31" i="33"/>
  <c r="G26" i="33"/>
  <c r="G25" i="33"/>
  <c r="C26" i="33"/>
  <c r="C25" i="33"/>
  <c r="G23" i="33"/>
  <c r="G22" i="33"/>
  <c r="G21" i="33"/>
  <c r="G20" i="33"/>
  <c r="G19" i="33"/>
  <c r="C22" i="33"/>
  <c r="C21" i="33"/>
  <c r="C20" i="33"/>
  <c r="G17" i="33"/>
  <c r="G16" i="33"/>
  <c r="G15" i="33"/>
  <c r="G14" i="33"/>
  <c r="C17" i="33"/>
  <c r="C16" i="33"/>
  <c r="C15" i="33"/>
  <c r="C14" i="33"/>
  <c r="E14" i="35" l="1"/>
  <c r="E17" i="37"/>
  <c r="E23" i="46"/>
  <c r="I26" i="45"/>
  <c r="K26" i="45" s="1"/>
  <c r="L26" i="45" s="1"/>
  <c r="E15" i="39"/>
  <c r="I19" i="45"/>
  <c r="E18" i="49"/>
  <c r="E20" i="49"/>
  <c r="E19" i="46"/>
  <c r="E18" i="46"/>
  <c r="I23" i="46"/>
  <c r="E28" i="46"/>
  <c r="E29" i="40"/>
  <c r="I20" i="40"/>
  <c r="E22" i="37"/>
  <c r="K22" i="37" s="1"/>
  <c r="L22" i="37" s="1"/>
  <c r="E32" i="37"/>
  <c r="E16" i="34"/>
  <c r="E22" i="34"/>
  <c r="K22" i="34" s="1"/>
  <c r="L22" i="34" s="1"/>
  <c r="I23" i="34"/>
  <c r="E14" i="34"/>
  <c r="E23" i="34"/>
  <c r="E32" i="34"/>
  <c r="E33" i="34"/>
  <c r="E15" i="45"/>
  <c r="E18" i="45"/>
  <c r="E14" i="42"/>
  <c r="E15" i="36"/>
  <c r="E33" i="36"/>
  <c r="E17" i="36"/>
  <c r="E23" i="36"/>
  <c r="I31" i="36"/>
  <c r="E29" i="47"/>
  <c r="E14" i="41"/>
  <c r="E23" i="35"/>
  <c r="I17" i="35"/>
  <c r="E34" i="35"/>
  <c r="I18" i="41"/>
  <c r="E22" i="45"/>
  <c r="E23" i="42"/>
  <c r="I18" i="46"/>
  <c r="I32" i="40"/>
  <c r="I27" i="47"/>
  <c r="E19" i="42"/>
  <c r="I19" i="47"/>
  <c r="I14" i="35"/>
  <c r="K14" i="35" s="1"/>
  <c r="L14" i="35" s="1"/>
  <c r="I20" i="35"/>
  <c r="I21" i="43"/>
  <c r="K21" i="43" s="1"/>
  <c r="L21" i="43" s="1"/>
  <c r="I34" i="34"/>
  <c r="E15" i="35"/>
  <c r="D26" i="47"/>
  <c r="H26" i="47" s="1"/>
  <c r="I26" i="47" s="1"/>
  <c r="E20" i="36"/>
  <c r="I17" i="37"/>
  <c r="K17" i="37" s="1"/>
  <c r="L17" i="37" s="1"/>
  <c r="I24" i="45"/>
  <c r="I20" i="49"/>
  <c r="I24" i="49"/>
  <c r="E24" i="37"/>
  <c r="I31" i="37"/>
  <c r="K31" i="37" s="1"/>
  <c r="L31" i="37" s="1"/>
  <c r="I28" i="45"/>
  <c r="I16" i="35"/>
  <c r="I17" i="36"/>
  <c r="K17" i="36" s="1"/>
  <c r="L17" i="36" s="1"/>
  <c r="I23" i="36"/>
  <c r="K23" i="36" s="1"/>
  <c r="L23" i="36" s="1"/>
  <c r="I33" i="36"/>
  <c r="E23" i="37"/>
  <c r="I28" i="43"/>
  <c r="K28" i="43" s="1"/>
  <c r="L28" i="43" s="1"/>
  <c r="I20" i="43"/>
  <c r="E14" i="44"/>
  <c r="I29" i="42"/>
  <c r="E21" i="45"/>
  <c r="I22" i="46"/>
  <c r="H17" i="47"/>
  <c r="I17" i="47" s="1"/>
  <c r="H17" i="48"/>
  <c r="I17" i="48" s="1"/>
  <c r="I15" i="49"/>
  <c r="H17" i="49"/>
  <c r="I17" i="49" s="1"/>
  <c r="E20" i="40"/>
  <c r="K20" i="40" s="1"/>
  <c r="L20" i="40" s="1"/>
  <c r="E14" i="37"/>
  <c r="E21" i="36"/>
  <c r="I31" i="34"/>
  <c r="K31" i="34" s="1"/>
  <c r="L31" i="34" s="1"/>
  <c r="I32" i="35"/>
  <c r="I16" i="36"/>
  <c r="I15" i="37"/>
  <c r="E34" i="37"/>
  <c r="I35" i="37"/>
  <c r="I14" i="41"/>
  <c r="E23" i="49"/>
  <c r="H23" i="49"/>
  <c r="I23" i="49" s="1"/>
  <c r="E24" i="49"/>
  <c r="E15" i="46"/>
  <c r="I19" i="46"/>
  <c r="I28" i="46"/>
  <c r="E24" i="43"/>
  <c r="E23" i="43"/>
  <c r="E15" i="48"/>
  <c r="E28" i="48"/>
  <c r="H21" i="45"/>
  <c r="I21" i="45" s="1"/>
  <c r="K21" i="45" s="1"/>
  <c r="L21" i="45" s="1"/>
  <c r="E19" i="45"/>
  <c r="E24" i="45"/>
  <c r="H19" i="42"/>
  <c r="I19" i="42" s="1"/>
  <c r="E16" i="35"/>
  <c r="E22" i="42"/>
  <c r="I14" i="43"/>
  <c r="E21" i="35"/>
  <c r="H21" i="35"/>
  <c r="I21" i="35" s="1"/>
  <c r="H33" i="37"/>
  <c r="I33" i="37" s="1"/>
  <c r="E33" i="37"/>
  <c r="D17" i="42"/>
  <c r="E17" i="42" s="1"/>
  <c r="D25" i="42"/>
  <c r="H25" i="42" s="1"/>
  <c r="I25" i="42" s="1"/>
  <c r="I14" i="42"/>
  <c r="I22" i="42"/>
  <c r="K23" i="46"/>
  <c r="L23" i="46" s="1"/>
  <c r="I15" i="34"/>
  <c r="H20" i="36"/>
  <c r="I20" i="36" s="1"/>
  <c r="H15" i="42"/>
  <c r="I15" i="42" s="1"/>
  <c r="E15" i="42"/>
  <c r="E14" i="46"/>
  <c r="H14" i="46"/>
  <c r="I14" i="46" s="1"/>
  <c r="E20" i="34"/>
  <c r="E18" i="43"/>
  <c r="I29" i="44"/>
  <c r="D25" i="46"/>
  <c r="H25" i="46" s="1"/>
  <c r="I25" i="46" s="1"/>
  <c r="D26" i="46"/>
  <c r="H26" i="46" s="1"/>
  <c r="I26" i="46" s="1"/>
  <c r="E24" i="34"/>
  <c r="E34" i="34"/>
  <c r="E35" i="34"/>
  <c r="E15" i="34"/>
  <c r="E33" i="35"/>
  <c r="I34" i="35"/>
  <c r="I30" i="36"/>
  <c r="K30" i="36" s="1"/>
  <c r="L30" i="36" s="1"/>
  <c r="E32" i="36"/>
  <c r="E21" i="37"/>
  <c r="E35" i="37"/>
  <c r="E16" i="37"/>
  <c r="I14" i="38"/>
  <c r="I28" i="40"/>
  <c r="K28" i="40" s="1"/>
  <c r="L28" i="40" s="1"/>
  <c r="E27" i="45"/>
  <c r="E29" i="46"/>
  <c r="I20" i="47"/>
  <c r="E23" i="47"/>
  <c r="E21" i="49"/>
  <c r="I35" i="34"/>
  <c r="K35" i="34" s="1"/>
  <c r="L35" i="34" s="1"/>
  <c r="E17" i="34"/>
  <c r="I14" i="34"/>
  <c r="E21" i="34"/>
  <c r="I23" i="35"/>
  <c r="I34" i="36"/>
  <c r="K34" i="36" s="1"/>
  <c r="L34" i="36" s="1"/>
  <c r="E16" i="36"/>
  <c r="E31" i="36"/>
  <c r="E15" i="38"/>
  <c r="E14" i="38"/>
  <c r="D25" i="39"/>
  <c r="E25" i="39" s="1"/>
  <c r="I26" i="39"/>
  <c r="E30" i="40"/>
  <c r="E14" i="43"/>
  <c r="I25" i="44"/>
  <c r="I18" i="44"/>
  <c r="E22" i="44"/>
  <c r="I27" i="44"/>
  <c r="K27" i="44" s="1"/>
  <c r="L27" i="44" s="1"/>
  <c r="E28" i="44"/>
  <c r="L28" i="44" s="1"/>
  <c r="E28" i="45"/>
  <c r="E22" i="46"/>
  <c r="I29" i="46"/>
  <c r="I15" i="46"/>
  <c r="I20" i="48"/>
  <c r="E23" i="48"/>
  <c r="D25" i="48"/>
  <c r="H25" i="48" s="1"/>
  <c r="I25" i="48" s="1"/>
  <c r="D26" i="48"/>
  <c r="H26" i="48" s="1"/>
  <c r="I26" i="48" s="1"/>
  <c r="I27" i="48"/>
  <c r="E14" i="48"/>
  <c r="I26" i="49"/>
  <c r="D27" i="49"/>
  <c r="H27" i="49" s="1"/>
  <c r="I27" i="49" s="1"/>
  <c r="I28" i="49"/>
  <c r="I29" i="49"/>
  <c r="I30" i="35"/>
  <c r="K30" i="35" s="1"/>
  <c r="L30" i="35" s="1"/>
  <c r="I19" i="49"/>
  <c r="E14" i="49"/>
  <c r="E26" i="49"/>
  <c r="E29" i="49"/>
  <c r="E30" i="49"/>
  <c r="I30" i="49"/>
  <c r="E15" i="49"/>
  <c r="E19" i="49"/>
  <c r="H14" i="49"/>
  <c r="I14" i="49" s="1"/>
  <c r="E28" i="49"/>
  <c r="I21" i="49"/>
  <c r="D17" i="49"/>
  <c r="E17" i="49" s="1"/>
  <c r="H18" i="49"/>
  <c r="I18" i="49" s="1"/>
  <c r="K18" i="49" s="1"/>
  <c r="L18" i="49" s="1"/>
  <c r="I22" i="48"/>
  <c r="I28" i="48"/>
  <c r="E17" i="48"/>
  <c r="I29" i="48"/>
  <c r="E29" i="48"/>
  <c r="I23" i="48"/>
  <c r="E22" i="48"/>
  <c r="I15" i="48"/>
  <c r="E18" i="48"/>
  <c r="I14" i="48"/>
  <c r="E27" i="48"/>
  <c r="I18" i="48"/>
  <c r="E19" i="48"/>
  <c r="E20" i="48"/>
  <c r="I22" i="47"/>
  <c r="E18" i="47"/>
  <c r="E28" i="47"/>
  <c r="L28" i="47" s="1"/>
  <c r="E15" i="47"/>
  <c r="H18" i="47"/>
  <c r="I18" i="47" s="1"/>
  <c r="I28" i="47"/>
  <c r="I23" i="47"/>
  <c r="I15" i="47"/>
  <c r="E22" i="47"/>
  <c r="H29" i="47"/>
  <c r="I29" i="47" s="1"/>
  <c r="E14" i="47"/>
  <c r="I14" i="47"/>
  <c r="E27" i="47"/>
  <c r="H25" i="47"/>
  <c r="I25" i="47" s="1"/>
  <c r="E25" i="47"/>
  <c r="E20" i="47"/>
  <c r="D17" i="47"/>
  <c r="E17" i="47" s="1"/>
  <c r="E19" i="47"/>
  <c r="H17" i="46"/>
  <c r="I17" i="46" s="1"/>
  <c r="I27" i="46"/>
  <c r="K27" i="46" s="1"/>
  <c r="L27" i="46" s="1"/>
  <c r="H20" i="46"/>
  <c r="I20" i="46" s="1"/>
  <c r="E20" i="46"/>
  <c r="D17" i="46"/>
  <c r="E17" i="46" s="1"/>
  <c r="I18" i="45"/>
  <c r="I15" i="45"/>
  <c r="E14" i="45"/>
  <c r="D25" i="45"/>
  <c r="H25" i="45" s="1"/>
  <c r="I25" i="45" s="1"/>
  <c r="H14" i="45"/>
  <c r="I14" i="45" s="1"/>
  <c r="H17" i="45"/>
  <c r="I17" i="45" s="1"/>
  <c r="H22" i="45"/>
  <c r="I22" i="45" s="1"/>
  <c r="H27" i="45"/>
  <c r="I27" i="45" s="1"/>
  <c r="D17" i="45"/>
  <c r="E17" i="45" s="1"/>
  <c r="E23" i="44"/>
  <c r="I15" i="44"/>
  <c r="H22" i="44"/>
  <c r="I22" i="44" s="1"/>
  <c r="E20" i="44"/>
  <c r="E18" i="44"/>
  <c r="E19" i="44"/>
  <c r="I20" i="44"/>
  <c r="E15" i="44"/>
  <c r="E25" i="44"/>
  <c r="E29" i="44"/>
  <c r="I19" i="44"/>
  <c r="D26" i="44"/>
  <c r="H26" i="44" s="1"/>
  <c r="I26" i="44" s="1"/>
  <c r="H14" i="44"/>
  <c r="I14" i="44" s="1"/>
  <c r="H17" i="44"/>
  <c r="I17" i="44" s="1"/>
  <c r="H23" i="44"/>
  <c r="I23" i="44" s="1"/>
  <c r="H28" i="44"/>
  <c r="I28" i="44" s="1"/>
  <c r="D17" i="44"/>
  <c r="E17" i="44" s="1"/>
  <c r="I23" i="43"/>
  <c r="E20" i="43"/>
  <c r="I15" i="43"/>
  <c r="E19" i="43"/>
  <c r="E15" i="43"/>
  <c r="E29" i="43"/>
  <c r="E30" i="43"/>
  <c r="I30" i="43"/>
  <c r="I18" i="43"/>
  <c r="I24" i="43"/>
  <c r="I29" i="43"/>
  <c r="E26" i="43"/>
  <c r="I19" i="43"/>
  <c r="I26" i="43"/>
  <c r="D27" i="43"/>
  <c r="H27" i="43" s="1"/>
  <c r="I27" i="43" s="1"/>
  <c r="H17" i="43"/>
  <c r="I17" i="43" s="1"/>
  <c r="D17" i="43"/>
  <c r="E17" i="43" s="1"/>
  <c r="I18" i="42"/>
  <c r="I20" i="42"/>
  <c r="E20" i="42"/>
  <c r="I23" i="42"/>
  <c r="E28" i="42"/>
  <c r="E29" i="42"/>
  <c r="I28" i="42"/>
  <c r="I17" i="42"/>
  <c r="I27" i="42"/>
  <c r="K27" i="42" s="1"/>
  <c r="L27" i="42" s="1"/>
  <c r="E18" i="42"/>
  <c r="D26" i="42"/>
  <c r="H26" i="42" s="1"/>
  <c r="I26" i="42" s="1"/>
  <c r="I27" i="41"/>
  <c r="I29" i="41"/>
  <c r="E15" i="41"/>
  <c r="E19" i="41"/>
  <c r="E20" i="41"/>
  <c r="E28" i="41"/>
  <c r="L28" i="41" s="1"/>
  <c r="I20" i="41"/>
  <c r="E18" i="41"/>
  <c r="K18" i="41" s="1"/>
  <c r="L18" i="41" s="1"/>
  <c r="I26" i="41"/>
  <c r="E29" i="41"/>
  <c r="I15" i="41"/>
  <c r="I28" i="41"/>
  <c r="I19" i="41"/>
  <c r="E26" i="41"/>
  <c r="D17" i="41"/>
  <c r="E17" i="41" s="1"/>
  <c r="E27" i="41"/>
  <c r="D25" i="41"/>
  <c r="H25" i="41" s="1"/>
  <c r="I25" i="41" s="1"/>
  <c r="H17" i="41"/>
  <c r="I17" i="41" s="1"/>
  <c r="I23" i="40"/>
  <c r="I15" i="40"/>
  <c r="E18" i="40"/>
  <c r="I30" i="40"/>
  <c r="E31" i="40"/>
  <c r="E14" i="40"/>
  <c r="E19" i="40"/>
  <c r="H18" i="40"/>
  <c r="I18" i="40" s="1"/>
  <c r="E32" i="40"/>
  <c r="E21" i="40"/>
  <c r="E23" i="40"/>
  <c r="I21" i="40"/>
  <c r="E15" i="40"/>
  <c r="I29" i="40"/>
  <c r="D17" i="40"/>
  <c r="E17" i="40" s="1"/>
  <c r="D24" i="40"/>
  <c r="H24" i="40" s="1"/>
  <c r="I24" i="40" s="1"/>
  <c r="H14" i="40"/>
  <c r="I14" i="40" s="1"/>
  <c r="H19" i="40"/>
  <c r="I19" i="40" s="1"/>
  <c r="D26" i="40"/>
  <c r="H31" i="40"/>
  <c r="I31" i="40" s="1"/>
  <c r="D27" i="40"/>
  <c r="H17" i="40"/>
  <c r="I17" i="40" s="1"/>
  <c r="I21" i="39"/>
  <c r="I28" i="38"/>
  <c r="I29" i="38"/>
  <c r="E14" i="39"/>
  <c r="E27" i="39"/>
  <c r="E28" i="39"/>
  <c r="I27" i="39"/>
  <c r="I14" i="39"/>
  <c r="E18" i="39"/>
  <c r="E26" i="39"/>
  <c r="H17" i="39"/>
  <c r="I17" i="39" s="1"/>
  <c r="I18" i="39"/>
  <c r="D22" i="39"/>
  <c r="H22" i="39" s="1"/>
  <c r="I22" i="39" s="1"/>
  <c r="E19" i="39"/>
  <c r="I19" i="39"/>
  <c r="I28" i="39"/>
  <c r="E21" i="39"/>
  <c r="H15" i="39"/>
  <c r="I15" i="39" s="1"/>
  <c r="K15" i="39" s="1"/>
  <c r="L15" i="39" s="1"/>
  <c r="D24" i="39"/>
  <c r="D17" i="39"/>
  <c r="E17" i="39" s="1"/>
  <c r="E28" i="38"/>
  <c r="L28" i="38" s="1"/>
  <c r="I19" i="38"/>
  <c r="I20" i="38"/>
  <c r="E18" i="38"/>
  <c r="H15" i="38"/>
  <c r="I15" i="38" s="1"/>
  <c r="H18" i="38"/>
  <c r="I18" i="38" s="1"/>
  <c r="E20" i="38"/>
  <c r="E19" i="38"/>
  <c r="E26" i="38"/>
  <c r="E29" i="38"/>
  <c r="I27" i="38"/>
  <c r="I26" i="38"/>
  <c r="D17" i="38"/>
  <c r="E17" i="38" s="1"/>
  <c r="D22" i="38"/>
  <c r="H22" i="38" s="1"/>
  <c r="I22" i="38" s="1"/>
  <c r="D23" i="38"/>
  <c r="E27" i="38"/>
  <c r="D25" i="38"/>
  <c r="H25" i="38" s="1"/>
  <c r="I25" i="38" s="1"/>
  <c r="H17" i="38"/>
  <c r="I17" i="38" s="1"/>
  <c r="I26" i="37"/>
  <c r="I20" i="37"/>
  <c r="E15" i="37"/>
  <c r="E20" i="37"/>
  <c r="H23" i="37"/>
  <c r="I23" i="37" s="1"/>
  <c r="E26" i="37"/>
  <c r="I16" i="37"/>
  <c r="I32" i="37"/>
  <c r="D19" i="37"/>
  <c r="E19" i="37" s="1"/>
  <c r="D27" i="37"/>
  <c r="H27" i="37" s="1"/>
  <c r="I27" i="37" s="1"/>
  <c r="H14" i="37"/>
  <c r="I14" i="37" s="1"/>
  <c r="H21" i="37"/>
  <c r="I21" i="37" s="1"/>
  <c r="H24" i="37"/>
  <c r="I24" i="37" s="1"/>
  <c r="D29" i="37"/>
  <c r="H34" i="37"/>
  <c r="I34" i="37" s="1"/>
  <c r="D30" i="37"/>
  <c r="H19" i="37"/>
  <c r="I19" i="37" s="1"/>
  <c r="E22" i="36"/>
  <c r="I15" i="36"/>
  <c r="H29" i="36"/>
  <c r="I29" i="36" s="1"/>
  <c r="E29" i="36"/>
  <c r="D19" i="36"/>
  <c r="E19" i="36" s="1"/>
  <c r="D25" i="36"/>
  <c r="H25" i="36" s="1"/>
  <c r="I25" i="36" s="1"/>
  <c r="H14" i="36"/>
  <c r="I14" i="36" s="1"/>
  <c r="H21" i="36"/>
  <c r="I21" i="36" s="1"/>
  <c r="H22" i="36"/>
  <c r="I22" i="36" s="1"/>
  <c r="D26" i="36"/>
  <c r="H26" i="36" s="1"/>
  <c r="I26" i="36" s="1"/>
  <c r="H32" i="36"/>
  <c r="I32" i="36" s="1"/>
  <c r="D28" i="36"/>
  <c r="H19" i="36"/>
  <c r="I19" i="36" s="1"/>
  <c r="I22" i="35"/>
  <c r="H15" i="35"/>
  <c r="I15" i="35" s="1"/>
  <c r="E22" i="35"/>
  <c r="I33" i="35"/>
  <c r="E32" i="35"/>
  <c r="H31" i="35"/>
  <c r="I31" i="35" s="1"/>
  <c r="E31" i="35"/>
  <c r="E20" i="35"/>
  <c r="D25" i="35"/>
  <c r="D19" i="35"/>
  <c r="E19" i="35" s="1"/>
  <c r="D29" i="35"/>
  <c r="H29" i="35" s="1"/>
  <c r="I29" i="35" s="1"/>
  <c r="H19" i="35"/>
  <c r="I19" i="35" s="1"/>
  <c r="D26" i="35"/>
  <c r="E17" i="35"/>
  <c r="D28" i="35"/>
  <c r="H28" i="35" s="1"/>
  <c r="I28" i="35" s="1"/>
  <c r="H19" i="34"/>
  <c r="I19" i="34" s="1"/>
  <c r="I24" i="34"/>
  <c r="D30" i="34"/>
  <c r="H30" i="34" s="1"/>
  <c r="I30" i="34" s="1"/>
  <c r="I21" i="34"/>
  <c r="I16" i="34"/>
  <c r="I33" i="34"/>
  <c r="K33" i="34" s="1"/>
  <c r="L33" i="34" s="1"/>
  <c r="I26" i="34"/>
  <c r="D27" i="34"/>
  <c r="H27" i="34" s="1"/>
  <c r="I27" i="34" s="1"/>
  <c r="I17" i="34"/>
  <c r="E26" i="34"/>
  <c r="I20" i="34"/>
  <c r="I32" i="34"/>
  <c r="D29" i="34"/>
  <c r="D19" i="34"/>
  <c r="E19" i="34" s="1"/>
  <c r="G39" i="33"/>
  <c r="C39" i="33"/>
  <c r="B39" i="33"/>
  <c r="G37" i="33"/>
  <c r="C37" i="33"/>
  <c r="B37" i="33"/>
  <c r="G34" i="33"/>
  <c r="D34" i="33"/>
  <c r="H34" i="33" s="1"/>
  <c r="C34" i="33"/>
  <c r="E34" i="33" s="1"/>
  <c r="B34" i="33"/>
  <c r="G33" i="33"/>
  <c r="D33" i="33"/>
  <c r="H33" i="33" s="1"/>
  <c r="C33" i="33"/>
  <c r="E33" i="33" s="1"/>
  <c r="B33" i="33"/>
  <c r="G32" i="33"/>
  <c r="D32" i="33"/>
  <c r="H32" i="33" s="1"/>
  <c r="C32" i="33"/>
  <c r="B32" i="33"/>
  <c r="D31" i="33"/>
  <c r="H31" i="33" s="1"/>
  <c r="B31" i="33"/>
  <c r="H30" i="33"/>
  <c r="G30" i="33"/>
  <c r="C30" i="33"/>
  <c r="E30" i="33" s="1"/>
  <c r="B30" i="33"/>
  <c r="G29" i="33"/>
  <c r="C29" i="33"/>
  <c r="B29" i="33"/>
  <c r="G28" i="33"/>
  <c r="C28" i="33"/>
  <c r="B28" i="33"/>
  <c r="B26" i="33"/>
  <c r="B25" i="33"/>
  <c r="D23" i="33"/>
  <c r="H23" i="33" s="1"/>
  <c r="C23" i="33"/>
  <c r="B23" i="33"/>
  <c r="D22" i="33"/>
  <c r="H22" i="33" s="1"/>
  <c r="B22" i="33"/>
  <c r="D21" i="33"/>
  <c r="H21" i="33" s="1"/>
  <c r="E21" i="33"/>
  <c r="B21" i="33"/>
  <c r="D20" i="33"/>
  <c r="B20" i="33"/>
  <c r="C19" i="33"/>
  <c r="D17" i="33"/>
  <c r="B17" i="33"/>
  <c r="D16" i="33"/>
  <c r="E16" i="33" s="1"/>
  <c r="B16" i="33"/>
  <c r="D15" i="33"/>
  <c r="E15" i="33" s="1"/>
  <c r="B15" i="33"/>
  <c r="D14" i="33"/>
  <c r="H14" i="33" s="1"/>
  <c r="E14" i="33"/>
  <c r="B14" i="33"/>
  <c r="C9" i="33"/>
  <c r="C5" i="33"/>
  <c r="D25" i="33" s="1"/>
  <c r="D31" i="32"/>
  <c r="H31" i="32" s="1"/>
  <c r="K34" i="35" l="1"/>
  <c r="L34" i="35" s="1"/>
  <c r="K29" i="47"/>
  <c r="L29" i="47" s="1"/>
  <c r="K20" i="49"/>
  <c r="L20" i="49" s="1"/>
  <c r="K19" i="46"/>
  <c r="L19" i="46" s="1"/>
  <c r="K15" i="36"/>
  <c r="L15" i="36" s="1"/>
  <c r="K20" i="41"/>
  <c r="L20" i="41" s="1"/>
  <c r="K23" i="34"/>
  <c r="L23" i="34" s="1"/>
  <c r="K18" i="46"/>
  <c r="L18" i="46" s="1"/>
  <c r="K28" i="46"/>
  <c r="L28" i="46" s="1"/>
  <c r="K14" i="46"/>
  <c r="L14" i="46" s="1"/>
  <c r="K32" i="40"/>
  <c r="L32" i="40" s="1"/>
  <c r="K29" i="40"/>
  <c r="L29" i="40" s="1"/>
  <c r="K32" i="37"/>
  <c r="L32" i="37" s="1"/>
  <c r="K16" i="34"/>
  <c r="L16" i="34" s="1"/>
  <c r="K14" i="34"/>
  <c r="L14" i="34" s="1"/>
  <c r="K32" i="34"/>
  <c r="L32" i="34" s="1"/>
  <c r="K15" i="45"/>
  <c r="L15" i="45" s="1"/>
  <c r="K18" i="45"/>
  <c r="L18" i="45" s="1"/>
  <c r="K28" i="39"/>
  <c r="L28" i="39" s="1"/>
  <c r="K14" i="42"/>
  <c r="L14" i="42" s="1"/>
  <c r="K33" i="36"/>
  <c r="L33" i="36" s="1"/>
  <c r="K31" i="36"/>
  <c r="L31" i="36" s="1"/>
  <c r="H15" i="33"/>
  <c r="I15" i="33" s="1"/>
  <c r="K15" i="33" s="1"/>
  <c r="L15" i="33" s="1"/>
  <c r="H16" i="33"/>
  <c r="I16" i="33" s="1"/>
  <c r="K16" i="33" s="1"/>
  <c r="L16" i="33" s="1"/>
  <c r="E22" i="33"/>
  <c r="E23" i="33"/>
  <c r="K18" i="47"/>
  <c r="L18" i="47" s="1"/>
  <c r="K15" i="47"/>
  <c r="L15" i="47" s="1"/>
  <c r="K14" i="41"/>
  <c r="L14" i="41" s="1"/>
  <c r="K17" i="35"/>
  <c r="L17" i="35" s="1"/>
  <c r="K23" i="35"/>
  <c r="L23" i="35" s="1"/>
  <c r="E30" i="34"/>
  <c r="K30" i="34" s="1"/>
  <c r="L30" i="34" s="1"/>
  <c r="K23" i="42"/>
  <c r="L23" i="42" s="1"/>
  <c r="K27" i="47"/>
  <c r="L27" i="47" s="1"/>
  <c r="K32" i="36"/>
  <c r="L32" i="36" s="1"/>
  <c r="K21" i="36"/>
  <c r="L21" i="36" s="1"/>
  <c r="K20" i="36"/>
  <c r="L20" i="36" s="1"/>
  <c r="K26" i="37"/>
  <c r="L26" i="37" s="1"/>
  <c r="K22" i="45"/>
  <c r="L22" i="45" s="1"/>
  <c r="K19" i="42"/>
  <c r="L19" i="42" s="1"/>
  <c r="E26" i="47"/>
  <c r="K26" i="47" s="1"/>
  <c r="K18" i="43"/>
  <c r="L18" i="43" s="1"/>
  <c r="E26" i="46"/>
  <c r="K26" i="46" s="1"/>
  <c r="L26" i="46" s="1"/>
  <c r="K28" i="45"/>
  <c r="L28" i="45" s="1"/>
  <c r="K22" i="42"/>
  <c r="L22" i="42" s="1"/>
  <c r="K22" i="44"/>
  <c r="L22" i="44" s="1"/>
  <c r="K20" i="43"/>
  <c r="L20" i="43" s="1"/>
  <c r="K34" i="34"/>
  <c r="L34" i="34" s="1"/>
  <c r="K32" i="35"/>
  <c r="L32" i="35" s="1"/>
  <c r="K24" i="37"/>
  <c r="L24" i="37" s="1"/>
  <c r="K14" i="39"/>
  <c r="L14" i="39" s="1"/>
  <c r="K14" i="49"/>
  <c r="L14" i="49" s="1"/>
  <c r="K14" i="38"/>
  <c r="L14" i="38" s="1"/>
  <c r="K29" i="44"/>
  <c r="L29" i="44" s="1"/>
  <c r="K15" i="35"/>
  <c r="L15" i="35" s="1"/>
  <c r="K23" i="43"/>
  <c r="L23" i="43" s="1"/>
  <c r="K22" i="46"/>
  <c r="L22" i="46" s="1"/>
  <c r="K16" i="36"/>
  <c r="L16" i="36" s="1"/>
  <c r="K24" i="45"/>
  <c r="L24" i="45" s="1"/>
  <c r="K16" i="37"/>
  <c r="L16" i="37" s="1"/>
  <c r="K15" i="38"/>
  <c r="L15" i="38" s="1"/>
  <c r="K19" i="49"/>
  <c r="L19" i="49" s="1"/>
  <c r="K35" i="37"/>
  <c r="L35" i="37" s="1"/>
  <c r="K24" i="49"/>
  <c r="L24" i="49" s="1"/>
  <c r="K22" i="36"/>
  <c r="L22" i="36" s="1"/>
  <c r="K15" i="46"/>
  <c r="L15" i="46" s="1"/>
  <c r="K16" i="35"/>
  <c r="L16" i="35" s="1"/>
  <c r="K23" i="49"/>
  <c r="L23" i="49" s="1"/>
  <c r="K19" i="34"/>
  <c r="L19" i="34" s="1"/>
  <c r="K34" i="37"/>
  <c r="L34" i="37" s="1"/>
  <c r="K29" i="42"/>
  <c r="L29" i="42" s="1"/>
  <c r="E25" i="48"/>
  <c r="K25" i="48" s="1"/>
  <c r="L25" i="48" s="1"/>
  <c r="K28" i="48"/>
  <c r="L28" i="48" s="1"/>
  <c r="K15" i="42"/>
  <c r="L15" i="42" s="1"/>
  <c r="K21" i="35"/>
  <c r="L21" i="35" s="1"/>
  <c r="K17" i="34"/>
  <c r="L17" i="34" s="1"/>
  <c r="E27" i="34"/>
  <c r="K27" i="34" s="1"/>
  <c r="L27" i="34" s="1"/>
  <c r="K33" i="35"/>
  <c r="L33" i="35" s="1"/>
  <c r="K23" i="37"/>
  <c r="L23" i="37" s="1"/>
  <c r="K15" i="37"/>
  <c r="L15" i="37" s="1"/>
  <c r="K27" i="39"/>
  <c r="L27" i="39" s="1"/>
  <c r="K26" i="43"/>
  <c r="L26" i="43" s="1"/>
  <c r="E16" i="43"/>
  <c r="E22" i="43" s="1"/>
  <c r="K27" i="45"/>
  <c r="L27" i="45" s="1"/>
  <c r="I16" i="46"/>
  <c r="I21" i="46" s="1"/>
  <c r="K14" i="48"/>
  <c r="L14" i="48" s="1"/>
  <c r="K15" i="49"/>
  <c r="L15" i="49" s="1"/>
  <c r="K14" i="43"/>
  <c r="L14" i="43" s="1"/>
  <c r="K21" i="37"/>
  <c r="L21" i="37" s="1"/>
  <c r="K27" i="41"/>
  <c r="L27" i="41" s="1"/>
  <c r="K22" i="35"/>
  <c r="L22" i="35" s="1"/>
  <c r="E18" i="36"/>
  <c r="E24" i="36" s="1"/>
  <c r="K30" i="40"/>
  <c r="L30" i="40" s="1"/>
  <c r="K17" i="42"/>
  <c r="L17" i="42" s="1"/>
  <c r="K19" i="45"/>
  <c r="L19" i="45" s="1"/>
  <c r="K23" i="48"/>
  <c r="L23" i="48" s="1"/>
  <c r="K28" i="49"/>
  <c r="L28" i="49" s="1"/>
  <c r="K15" i="34"/>
  <c r="L15" i="34" s="1"/>
  <c r="K24" i="43"/>
  <c r="L24" i="43" s="1"/>
  <c r="K15" i="48"/>
  <c r="L15" i="48" s="1"/>
  <c r="E25" i="42"/>
  <c r="K25" i="42" s="1"/>
  <c r="L25" i="42" s="1"/>
  <c r="K22" i="47"/>
  <c r="L22" i="47" s="1"/>
  <c r="K18" i="44"/>
  <c r="L18" i="44" s="1"/>
  <c r="K25" i="44"/>
  <c r="L25" i="44" s="1"/>
  <c r="K28" i="44"/>
  <c r="K18" i="38"/>
  <c r="L18" i="38" s="1"/>
  <c r="K29" i="36"/>
  <c r="L29" i="36" s="1"/>
  <c r="K33" i="37"/>
  <c r="L33" i="37" s="1"/>
  <c r="E25" i="46"/>
  <c r="K25" i="46" s="1"/>
  <c r="L25" i="46" s="1"/>
  <c r="I34" i="33"/>
  <c r="K34" i="33" s="1"/>
  <c r="L34" i="33" s="1"/>
  <c r="E32" i="33"/>
  <c r="E18" i="34"/>
  <c r="E25" i="34" s="1"/>
  <c r="K24" i="34"/>
  <c r="L24" i="34" s="1"/>
  <c r="H25" i="39"/>
  <c r="I25" i="39" s="1"/>
  <c r="K25" i="39" s="1"/>
  <c r="L25" i="39" s="1"/>
  <c r="K23" i="40"/>
  <c r="L23" i="40" s="1"/>
  <c r="I16" i="42"/>
  <c r="I21" i="42" s="1"/>
  <c r="K18" i="42"/>
  <c r="L18" i="42" s="1"/>
  <c r="K30" i="43"/>
  <c r="L30" i="43" s="1"/>
  <c r="E25" i="45"/>
  <c r="K25" i="45" s="1"/>
  <c r="L25" i="45" s="1"/>
  <c r="K28" i="47"/>
  <c r="E26" i="48"/>
  <c r="K26" i="48" s="1"/>
  <c r="L26" i="48" s="1"/>
  <c r="K21" i="49"/>
  <c r="L21" i="49" s="1"/>
  <c r="K30" i="49"/>
  <c r="L30" i="49" s="1"/>
  <c r="K26" i="49"/>
  <c r="L26" i="49" s="1"/>
  <c r="K29" i="46"/>
  <c r="L29" i="46" s="1"/>
  <c r="E26" i="42"/>
  <c r="K26" i="42" s="1"/>
  <c r="L26" i="42" s="1"/>
  <c r="K21" i="34"/>
  <c r="L21" i="34" s="1"/>
  <c r="K20" i="34"/>
  <c r="L20" i="34" s="1"/>
  <c r="K26" i="39"/>
  <c r="L26" i="39" s="1"/>
  <c r="K29" i="38"/>
  <c r="L29" i="38" s="1"/>
  <c r="K23" i="47"/>
  <c r="L23" i="47" s="1"/>
  <c r="K27" i="48"/>
  <c r="L27" i="48" s="1"/>
  <c r="E27" i="49"/>
  <c r="K27" i="49" s="1"/>
  <c r="L27" i="49" s="1"/>
  <c r="I30" i="33"/>
  <c r="K30" i="33" s="1"/>
  <c r="L30" i="33" s="1"/>
  <c r="I16" i="49"/>
  <c r="I22" i="49" s="1"/>
  <c r="K29" i="49"/>
  <c r="L29" i="49" s="1"/>
  <c r="E16" i="49"/>
  <c r="E22" i="49" s="1"/>
  <c r="K17" i="49"/>
  <c r="L17" i="49" s="1"/>
  <c r="K22" i="48"/>
  <c r="L22" i="48" s="1"/>
  <c r="K17" i="48"/>
  <c r="L17" i="48" s="1"/>
  <c r="K18" i="48"/>
  <c r="L18" i="48" s="1"/>
  <c r="K29" i="48"/>
  <c r="L29" i="48" s="1"/>
  <c r="K19" i="48"/>
  <c r="L19" i="48" s="1"/>
  <c r="I16" i="48"/>
  <c r="I21" i="48" s="1"/>
  <c r="E16" i="48"/>
  <c r="K20" i="48"/>
  <c r="L20" i="48" s="1"/>
  <c r="K14" i="47"/>
  <c r="L14" i="47" s="1"/>
  <c r="I16" i="47"/>
  <c r="I21" i="47" s="1"/>
  <c r="K25" i="47"/>
  <c r="K17" i="47"/>
  <c r="L17" i="47" s="1"/>
  <c r="K20" i="47"/>
  <c r="L20" i="47" s="1"/>
  <c r="E16" i="47"/>
  <c r="L25" i="47"/>
  <c r="K19" i="47"/>
  <c r="L19" i="47" s="1"/>
  <c r="K17" i="46"/>
  <c r="L17" i="46" s="1"/>
  <c r="K20" i="46"/>
  <c r="L20" i="46" s="1"/>
  <c r="E16" i="46"/>
  <c r="E16" i="45"/>
  <c r="E20" i="45" s="1"/>
  <c r="K14" i="45"/>
  <c r="L14" i="45" s="1"/>
  <c r="I16" i="45"/>
  <c r="K17" i="45"/>
  <c r="L17" i="45" s="1"/>
  <c r="K23" i="44"/>
  <c r="L23" i="44" s="1"/>
  <c r="E16" i="44"/>
  <c r="E21" i="44" s="1"/>
  <c r="K20" i="44"/>
  <c r="L20" i="44" s="1"/>
  <c r="K19" i="44"/>
  <c r="L19" i="44" s="1"/>
  <c r="K15" i="44"/>
  <c r="L15" i="44" s="1"/>
  <c r="K17" i="44"/>
  <c r="L17" i="44" s="1"/>
  <c r="E26" i="44"/>
  <c r="K14" i="44"/>
  <c r="L14" i="44" s="1"/>
  <c r="I16" i="44"/>
  <c r="K19" i="43"/>
  <c r="L19" i="43" s="1"/>
  <c r="I16" i="43"/>
  <c r="K15" i="43"/>
  <c r="L15" i="43" s="1"/>
  <c r="K29" i="43"/>
  <c r="L29" i="43" s="1"/>
  <c r="K17" i="43"/>
  <c r="L17" i="43" s="1"/>
  <c r="E27" i="43"/>
  <c r="K27" i="43" s="1"/>
  <c r="K20" i="42"/>
  <c r="L20" i="42" s="1"/>
  <c r="E16" i="42"/>
  <c r="E21" i="42" s="1"/>
  <c r="E24" i="42" s="1"/>
  <c r="F11" i="52" s="1"/>
  <c r="K28" i="42"/>
  <c r="L28" i="42" s="1"/>
  <c r="K28" i="41"/>
  <c r="K29" i="41"/>
  <c r="L29" i="41" s="1"/>
  <c r="K26" i="41"/>
  <c r="L26" i="41" s="1"/>
  <c r="K15" i="41"/>
  <c r="L15" i="41" s="1"/>
  <c r="K19" i="41"/>
  <c r="L19" i="41" s="1"/>
  <c r="K17" i="41"/>
  <c r="L17" i="41" s="1"/>
  <c r="I16" i="41"/>
  <c r="I21" i="41" s="1"/>
  <c r="E23" i="41"/>
  <c r="H23" i="41"/>
  <c r="I23" i="41" s="1"/>
  <c r="H22" i="41"/>
  <c r="I22" i="41" s="1"/>
  <c r="E22" i="41"/>
  <c r="E25" i="41"/>
  <c r="K25" i="41" s="1"/>
  <c r="E16" i="41"/>
  <c r="K19" i="40"/>
  <c r="L19" i="40" s="1"/>
  <c r="K18" i="40"/>
  <c r="L18" i="40" s="1"/>
  <c r="K31" i="40"/>
  <c r="L31" i="40" s="1"/>
  <c r="E16" i="40"/>
  <c r="E22" i="40" s="1"/>
  <c r="E24" i="40"/>
  <c r="K15" i="40"/>
  <c r="L15" i="40" s="1"/>
  <c r="K21" i="40"/>
  <c r="L21" i="40" s="1"/>
  <c r="E26" i="40"/>
  <c r="H26" i="40"/>
  <c r="I26" i="40" s="1"/>
  <c r="K14" i="40"/>
  <c r="L14" i="40" s="1"/>
  <c r="I16" i="40"/>
  <c r="E27" i="40"/>
  <c r="H27" i="40"/>
  <c r="I27" i="40" s="1"/>
  <c r="K17" i="40"/>
  <c r="L17" i="40" s="1"/>
  <c r="K19" i="38"/>
  <c r="L19" i="38" s="1"/>
  <c r="E16" i="39"/>
  <c r="E20" i="39" s="1"/>
  <c r="E22" i="39"/>
  <c r="K18" i="39"/>
  <c r="L18" i="39" s="1"/>
  <c r="K19" i="39"/>
  <c r="L19" i="39" s="1"/>
  <c r="E24" i="39"/>
  <c r="H24" i="39"/>
  <c r="I24" i="39" s="1"/>
  <c r="K17" i="39"/>
  <c r="L17" i="39" s="1"/>
  <c r="K21" i="39"/>
  <c r="L21" i="39" s="1"/>
  <c r="I16" i="39"/>
  <c r="E16" i="38"/>
  <c r="E21" i="38" s="1"/>
  <c r="K28" i="38"/>
  <c r="K20" i="38"/>
  <c r="L20" i="38" s="1"/>
  <c r="K26" i="38"/>
  <c r="L26" i="38" s="1"/>
  <c r="K17" i="38"/>
  <c r="L17" i="38" s="1"/>
  <c r="E22" i="38"/>
  <c r="K22" i="38" s="1"/>
  <c r="K27" i="38"/>
  <c r="L27" i="38" s="1"/>
  <c r="I16" i="38"/>
  <c r="E23" i="38"/>
  <c r="H23" i="38"/>
  <c r="I23" i="38" s="1"/>
  <c r="E25" i="38"/>
  <c r="E18" i="37"/>
  <c r="E25" i="37" s="1"/>
  <c r="K20" i="37"/>
  <c r="L20" i="37" s="1"/>
  <c r="E29" i="37"/>
  <c r="H29" i="37"/>
  <c r="I29" i="37" s="1"/>
  <c r="K14" i="37"/>
  <c r="L14" i="37" s="1"/>
  <c r="I18" i="37"/>
  <c r="E27" i="37"/>
  <c r="K27" i="37" s="1"/>
  <c r="E30" i="37"/>
  <c r="H30" i="37"/>
  <c r="I30" i="37" s="1"/>
  <c r="K19" i="37"/>
  <c r="L19" i="37" s="1"/>
  <c r="K14" i="36"/>
  <c r="L14" i="36" s="1"/>
  <c r="I18" i="36"/>
  <c r="E28" i="36"/>
  <c r="H28" i="36"/>
  <c r="I28" i="36" s="1"/>
  <c r="K19" i="36"/>
  <c r="L19" i="36" s="1"/>
  <c r="E26" i="36"/>
  <c r="E25" i="36"/>
  <c r="K25" i="36" s="1"/>
  <c r="I18" i="35"/>
  <c r="I24" i="35" s="1"/>
  <c r="K19" i="35"/>
  <c r="L19" i="35" s="1"/>
  <c r="E18" i="35"/>
  <c r="E24" i="35" s="1"/>
  <c r="E28" i="35"/>
  <c r="H26" i="35"/>
  <c r="I26" i="35" s="1"/>
  <c r="E26" i="35"/>
  <c r="K31" i="35"/>
  <c r="L31" i="35" s="1"/>
  <c r="E29" i="35"/>
  <c r="H25" i="35"/>
  <c r="I25" i="35" s="1"/>
  <c r="E25" i="35"/>
  <c r="K20" i="35"/>
  <c r="L20" i="35" s="1"/>
  <c r="I18" i="34"/>
  <c r="I25" i="34" s="1"/>
  <c r="E29" i="34"/>
  <c r="H29" i="34"/>
  <c r="I29" i="34" s="1"/>
  <c r="K26" i="34"/>
  <c r="L26" i="34" s="1"/>
  <c r="I31" i="33"/>
  <c r="I32" i="33"/>
  <c r="I22" i="33"/>
  <c r="D26" i="33"/>
  <c r="H26" i="33" s="1"/>
  <c r="I26" i="33" s="1"/>
  <c r="I14" i="33"/>
  <c r="K14" i="33" s="1"/>
  <c r="L14" i="33" s="1"/>
  <c r="I21" i="33"/>
  <c r="K21" i="33" s="1"/>
  <c r="L21" i="33" s="1"/>
  <c r="H17" i="33"/>
  <c r="I17" i="33" s="1"/>
  <c r="E17" i="33"/>
  <c r="E18" i="33" s="1"/>
  <c r="H20" i="33"/>
  <c r="I20" i="33" s="1"/>
  <c r="E20" i="33"/>
  <c r="H25" i="33"/>
  <c r="I25" i="33" s="1"/>
  <c r="E25" i="33"/>
  <c r="I23" i="33"/>
  <c r="I33" i="33"/>
  <c r="K33" i="33" s="1"/>
  <c r="L33" i="33" s="1"/>
  <c r="D28" i="33"/>
  <c r="H28" i="33" s="1"/>
  <c r="I28" i="33" s="1"/>
  <c r="E31" i="33"/>
  <c r="H19" i="33"/>
  <c r="I19" i="33" s="1"/>
  <c r="D29" i="33"/>
  <c r="H29" i="33" s="1"/>
  <c r="I29" i="33" s="1"/>
  <c r="D19" i="33"/>
  <c r="E19" i="33" s="1"/>
  <c r="K23" i="33" l="1"/>
  <c r="L23" i="33" s="1"/>
  <c r="K22" i="33"/>
  <c r="L22" i="33" s="1"/>
  <c r="L26" i="47"/>
  <c r="K16" i="43"/>
  <c r="L16" i="43" s="1"/>
  <c r="K23" i="38"/>
  <c r="L23" i="38" s="1"/>
  <c r="K16" i="48"/>
  <c r="L16" i="48" s="1"/>
  <c r="K32" i="33"/>
  <c r="L32" i="33" s="1"/>
  <c r="K29" i="37"/>
  <c r="L29" i="37" s="1"/>
  <c r="K23" i="41"/>
  <c r="K26" i="40"/>
  <c r="L26" i="40" s="1"/>
  <c r="K16" i="49"/>
  <c r="L16" i="49" s="1"/>
  <c r="I25" i="49"/>
  <c r="G14" i="53" s="1"/>
  <c r="K22" i="49"/>
  <c r="L22" i="49" s="1"/>
  <c r="E25" i="49"/>
  <c r="F14" i="53" s="1"/>
  <c r="E21" i="48"/>
  <c r="K21" i="48" s="1"/>
  <c r="I24" i="48"/>
  <c r="G14" i="52" s="1"/>
  <c r="E21" i="47"/>
  <c r="K21" i="47" s="1"/>
  <c r="K16" i="47"/>
  <c r="L16" i="47" s="1"/>
  <c r="I24" i="47"/>
  <c r="G14" i="51" s="1"/>
  <c r="E21" i="46"/>
  <c r="K21" i="46" s="1"/>
  <c r="I24" i="46"/>
  <c r="G13" i="53" s="1"/>
  <c r="K16" i="46"/>
  <c r="L16" i="46" s="1"/>
  <c r="K16" i="45"/>
  <c r="L16" i="45" s="1"/>
  <c r="I20" i="45"/>
  <c r="E23" i="45"/>
  <c r="F13" i="52" s="1"/>
  <c r="K26" i="44"/>
  <c r="L26" i="44" s="1"/>
  <c r="E24" i="44"/>
  <c r="F13" i="51" s="1"/>
  <c r="K16" i="44"/>
  <c r="L16" i="44" s="1"/>
  <c r="I21" i="44"/>
  <c r="I22" i="43"/>
  <c r="K22" i="43" s="1"/>
  <c r="L22" i="43" s="1"/>
  <c r="E25" i="43"/>
  <c r="F11" i="53" s="1"/>
  <c r="L27" i="43"/>
  <c r="K16" i="42"/>
  <c r="L16" i="42" s="1"/>
  <c r="E31" i="42"/>
  <c r="I24" i="42"/>
  <c r="G11" i="52" s="1"/>
  <c r="H11" i="52" s="1"/>
  <c r="I11" i="52" s="1"/>
  <c r="K21" i="42"/>
  <c r="L21" i="42" s="1"/>
  <c r="K16" i="41"/>
  <c r="L16" i="41" s="1"/>
  <c r="E21" i="41"/>
  <c r="K21" i="41" s="1"/>
  <c r="K22" i="41"/>
  <c r="L22" i="41" s="1"/>
  <c r="L25" i="41"/>
  <c r="L23" i="41"/>
  <c r="I24" i="41"/>
  <c r="G11" i="51" s="1"/>
  <c r="K24" i="40"/>
  <c r="L24" i="40" s="1"/>
  <c r="K27" i="40"/>
  <c r="L27" i="40" s="1"/>
  <c r="E25" i="40"/>
  <c r="F12" i="53" s="1"/>
  <c r="I22" i="40"/>
  <c r="K16" i="40"/>
  <c r="L16" i="40" s="1"/>
  <c r="K22" i="39"/>
  <c r="L22" i="39" s="1"/>
  <c r="I20" i="39"/>
  <c r="K16" i="39"/>
  <c r="L16" i="39" s="1"/>
  <c r="E23" i="39"/>
  <c r="F12" i="52" s="1"/>
  <c r="K24" i="39"/>
  <c r="L24" i="39" s="1"/>
  <c r="E24" i="38"/>
  <c r="F12" i="51" s="1"/>
  <c r="L22" i="38"/>
  <c r="I21" i="38"/>
  <c r="K16" i="38"/>
  <c r="L16" i="38" s="1"/>
  <c r="K25" i="38"/>
  <c r="L25" i="38" s="1"/>
  <c r="K30" i="37"/>
  <c r="L30" i="37" s="1"/>
  <c r="L27" i="37"/>
  <c r="E28" i="37"/>
  <c r="F10" i="53" s="1"/>
  <c r="I25" i="37"/>
  <c r="K18" i="37"/>
  <c r="L18" i="37" s="1"/>
  <c r="K26" i="36"/>
  <c r="L26" i="36" s="1"/>
  <c r="E27" i="36"/>
  <c r="F10" i="52" s="1"/>
  <c r="L25" i="36"/>
  <c r="I24" i="36"/>
  <c r="K18" i="36"/>
  <c r="L18" i="36" s="1"/>
  <c r="K28" i="36"/>
  <c r="L28" i="36" s="1"/>
  <c r="K18" i="35"/>
  <c r="L18" i="35" s="1"/>
  <c r="K25" i="35"/>
  <c r="L25" i="35" s="1"/>
  <c r="E27" i="35"/>
  <c r="F10" i="51" s="1"/>
  <c r="K28" i="35"/>
  <c r="L28" i="35" s="1"/>
  <c r="K24" i="35"/>
  <c r="L24" i="35" s="1"/>
  <c r="I27" i="35"/>
  <c r="G10" i="51" s="1"/>
  <c r="K26" i="35"/>
  <c r="L26" i="35" s="1"/>
  <c r="K29" i="35"/>
  <c r="L29" i="35" s="1"/>
  <c r="K18" i="34"/>
  <c r="L18" i="34" s="1"/>
  <c r="K25" i="34"/>
  <c r="I28" i="34"/>
  <c r="G9" i="53" s="1"/>
  <c r="K29" i="34"/>
  <c r="L29" i="34" s="1"/>
  <c r="E28" i="34"/>
  <c r="F9" i="53" s="1"/>
  <c r="L25" i="34"/>
  <c r="K17" i="33"/>
  <c r="L17" i="33" s="1"/>
  <c r="E26" i="33"/>
  <c r="K26" i="33" s="1"/>
  <c r="K31" i="33"/>
  <c r="L31" i="33" s="1"/>
  <c r="K20" i="33"/>
  <c r="L20" i="33" s="1"/>
  <c r="E29" i="33"/>
  <c r="K29" i="33" s="1"/>
  <c r="K25" i="33"/>
  <c r="L25" i="33" s="1"/>
  <c r="E24" i="33"/>
  <c r="E28" i="33"/>
  <c r="K28" i="33" s="1"/>
  <c r="K19" i="33"/>
  <c r="L19" i="33" s="1"/>
  <c r="I18" i="33"/>
  <c r="G34" i="32"/>
  <c r="G33" i="32"/>
  <c r="G32" i="32"/>
  <c r="G31" i="32"/>
  <c r="I31" i="32" s="1"/>
  <c r="G30" i="32"/>
  <c r="G29" i="32"/>
  <c r="G28" i="32"/>
  <c r="G26" i="32"/>
  <c r="G25" i="32"/>
  <c r="G23" i="32"/>
  <c r="G22" i="32"/>
  <c r="G21" i="32"/>
  <c r="G20" i="32"/>
  <c r="G19" i="32"/>
  <c r="G17" i="32"/>
  <c r="G16" i="32"/>
  <c r="G15" i="32"/>
  <c r="G14" i="32"/>
  <c r="H30" i="32"/>
  <c r="D34" i="32"/>
  <c r="H34" i="32" s="1"/>
  <c r="D33" i="32"/>
  <c r="H33" i="32" s="1"/>
  <c r="D32" i="32"/>
  <c r="H32" i="32" s="1"/>
  <c r="D23" i="32"/>
  <c r="H23" i="32" s="1"/>
  <c r="D22" i="32"/>
  <c r="H22" i="32" s="1"/>
  <c r="D21" i="32"/>
  <c r="H21" i="32" s="1"/>
  <c r="D20" i="32"/>
  <c r="H20" i="32" s="1"/>
  <c r="D17" i="32"/>
  <c r="H17" i="32" s="1"/>
  <c r="D16" i="32"/>
  <c r="H16" i="32" s="1"/>
  <c r="D15" i="32"/>
  <c r="H15" i="32" s="1"/>
  <c r="D14" i="32"/>
  <c r="H14" i="32" s="1"/>
  <c r="G39" i="32"/>
  <c r="G37" i="32"/>
  <c r="C39" i="32"/>
  <c r="C37" i="32"/>
  <c r="C33" i="32"/>
  <c r="C34" i="32"/>
  <c r="C32" i="32"/>
  <c r="C31" i="32"/>
  <c r="E31" i="32" s="1"/>
  <c r="L31" i="32" s="1"/>
  <c r="C29" i="32"/>
  <c r="C30" i="32"/>
  <c r="E30" i="32" s="1"/>
  <c r="C28" i="32"/>
  <c r="C26" i="32"/>
  <c r="C25" i="32"/>
  <c r="C23" i="32"/>
  <c r="E23" i="32" s="1"/>
  <c r="C22" i="32"/>
  <c r="C21" i="32"/>
  <c r="C20" i="32"/>
  <c r="E20" i="32" s="1"/>
  <c r="C19" i="32"/>
  <c r="C17" i="32"/>
  <c r="C16" i="32"/>
  <c r="C15" i="32"/>
  <c r="E15" i="32" s="1"/>
  <c r="C14" i="32"/>
  <c r="B39" i="32"/>
  <c r="B37" i="32"/>
  <c r="B33" i="32"/>
  <c r="B34" i="32"/>
  <c r="B32" i="32"/>
  <c r="B31" i="32"/>
  <c r="B29" i="32"/>
  <c r="B30" i="32"/>
  <c r="B28" i="32"/>
  <c r="B26" i="32"/>
  <c r="B25" i="32"/>
  <c r="B23" i="32"/>
  <c r="B22" i="32"/>
  <c r="B21" i="32"/>
  <c r="B20" i="32"/>
  <c r="B16" i="32"/>
  <c r="B17" i="32"/>
  <c r="B15" i="32"/>
  <c r="B14" i="32"/>
  <c r="C9" i="32"/>
  <c r="C5" i="32"/>
  <c r="D19" i="32" s="1"/>
  <c r="E16" i="32" l="1"/>
  <c r="E22" i="32"/>
  <c r="E32" i="32"/>
  <c r="I23" i="32"/>
  <c r="K23" i="32" s="1"/>
  <c r="L23" i="32" s="1"/>
  <c r="E14" i="32"/>
  <c r="I30" i="32"/>
  <c r="K30" i="32" s="1"/>
  <c r="L30" i="32" s="1"/>
  <c r="H10" i="51"/>
  <c r="I10" i="51" s="1"/>
  <c r="H9" i="53"/>
  <c r="I9" i="53" s="1"/>
  <c r="I25" i="43"/>
  <c r="G11" i="53" s="1"/>
  <c r="H11" i="53" s="1"/>
  <c r="I11" i="53" s="1"/>
  <c r="H14" i="53"/>
  <c r="I14" i="53" s="1"/>
  <c r="I16" i="32"/>
  <c r="I33" i="32"/>
  <c r="I17" i="32"/>
  <c r="I34" i="32"/>
  <c r="E34" i="32"/>
  <c r="I14" i="32"/>
  <c r="I20" i="32"/>
  <c r="K20" i="32" s="1"/>
  <c r="L20" i="32" s="1"/>
  <c r="E17" i="32"/>
  <c r="E18" i="32" s="1"/>
  <c r="E21" i="32"/>
  <c r="E33" i="32"/>
  <c r="I15" i="32"/>
  <c r="K15" i="32" s="1"/>
  <c r="L15" i="32" s="1"/>
  <c r="I21" i="32"/>
  <c r="I22" i="32"/>
  <c r="I32" i="32"/>
  <c r="K32" i="32" s="1"/>
  <c r="L32" i="32" s="1"/>
  <c r="E32" i="49"/>
  <c r="I32" i="49"/>
  <c r="K25" i="49"/>
  <c r="L25" i="49" s="1"/>
  <c r="E24" i="48"/>
  <c r="L21" i="48"/>
  <c r="I31" i="48"/>
  <c r="I31" i="47"/>
  <c r="E24" i="47"/>
  <c r="L21" i="47"/>
  <c r="I31" i="46"/>
  <c r="L21" i="46"/>
  <c r="E24" i="46"/>
  <c r="F13" i="53" s="1"/>
  <c r="H13" i="53" s="1"/>
  <c r="I13" i="53" s="1"/>
  <c r="I23" i="45"/>
  <c r="G13" i="52" s="1"/>
  <c r="H13" i="52" s="1"/>
  <c r="I13" i="52" s="1"/>
  <c r="K20" i="45"/>
  <c r="L20" i="45" s="1"/>
  <c r="E30" i="45"/>
  <c r="I24" i="44"/>
  <c r="G13" i="51" s="1"/>
  <c r="H13" i="51" s="1"/>
  <c r="I13" i="51" s="1"/>
  <c r="K21" i="44"/>
  <c r="L21" i="44" s="1"/>
  <c r="E31" i="44"/>
  <c r="E32" i="43"/>
  <c r="I31" i="42"/>
  <c r="K24" i="42"/>
  <c r="L24" i="42" s="1"/>
  <c r="E32" i="42"/>
  <c r="E33" i="42" s="1"/>
  <c r="I31" i="41"/>
  <c r="L21" i="41"/>
  <c r="E24" i="41"/>
  <c r="F11" i="51" s="1"/>
  <c r="H11" i="51" s="1"/>
  <c r="I11" i="51" s="1"/>
  <c r="E34" i="40"/>
  <c r="K22" i="40"/>
  <c r="L22" i="40" s="1"/>
  <c r="I25" i="40"/>
  <c r="G12" i="53" s="1"/>
  <c r="H12" i="53" s="1"/>
  <c r="I12" i="53" s="1"/>
  <c r="K20" i="39"/>
  <c r="L20" i="39" s="1"/>
  <c r="I23" i="39"/>
  <c r="G12" i="52" s="1"/>
  <c r="H12" i="52" s="1"/>
  <c r="I12" i="52" s="1"/>
  <c r="E30" i="39"/>
  <c r="I24" i="38"/>
  <c r="G12" i="51" s="1"/>
  <c r="H12" i="51" s="1"/>
  <c r="I12" i="51" s="1"/>
  <c r="K21" i="38"/>
  <c r="L21" i="38" s="1"/>
  <c r="E31" i="38"/>
  <c r="K25" i="37"/>
  <c r="L25" i="37" s="1"/>
  <c r="I28" i="37"/>
  <c r="G10" i="53" s="1"/>
  <c r="H10" i="53" s="1"/>
  <c r="I10" i="53" s="1"/>
  <c r="E37" i="37"/>
  <c r="E36" i="36"/>
  <c r="I27" i="36"/>
  <c r="G10" i="52" s="1"/>
  <c r="H10" i="52" s="1"/>
  <c r="I10" i="52" s="1"/>
  <c r="K24" i="36"/>
  <c r="L24" i="36" s="1"/>
  <c r="E36" i="35"/>
  <c r="I36" i="35"/>
  <c r="K27" i="35"/>
  <c r="L27" i="35" s="1"/>
  <c r="I37" i="34"/>
  <c r="K28" i="34"/>
  <c r="L28" i="34" s="1"/>
  <c r="E37" i="34"/>
  <c r="L26" i="33"/>
  <c r="E19" i="32"/>
  <c r="K31" i="32"/>
  <c r="D25" i="32"/>
  <c r="D29" i="32"/>
  <c r="H29" i="32" s="1"/>
  <c r="I29" i="32" s="1"/>
  <c r="D26" i="32"/>
  <c r="H26" i="32" s="1"/>
  <c r="I26" i="32" s="1"/>
  <c r="H19" i="32"/>
  <c r="I19" i="32" s="1"/>
  <c r="D28" i="32"/>
  <c r="I24" i="33"/>
  <c r="K18" i="33"/>
  <c r="L18" i="33" s="1"/>
  <c r="E27" i="33"/>
  <c r="F9" i="52" s="1"/>
  <c r="L28" i="33"/>
  <c r="L29" i="33"/>
  <c r="I215" i="1"/>
  <c r="I211" i="1"/>
  <c r="I210" i="1"/>
  <c r="K21" i="32" l="1"/>
  <c r="L21" i="32" s="1"/>
  <c r="I32" i="43"/>
  <c r="I33" i="43" s="1"/>
  <c r="K16" i="32"/>
  <c r="L16" i="32" s="1"/>
  <c r="K22" i="32"/>
  <c r="L22" i="32" s="1"/>
  <c r="K14" i="32"/>
  <c r="L14" i="32" s="1"/>
  <c r="K34" i="32"/>
  <c r="L34" i="32" s="1"/>
  <c r="K25" i="43"/>
  <c r="L25" i="43" s="1"/>
  <c r="K24" i="47"/>
  <c r="L24" i="47" s="1"/>
  <c r="F14" i="51"/>
  <c r="H14" i="51" s="1"/>
  <c r="I14" i="51" s="1"/>
  <c r="K24" i="48"/>
  <c r="L24" i="48" s="1"/>
  <c r="F14" i="52"/>
  <c r="H14" i="52" s="1"/>
  <c r="I14" i="52" s="1"/>
  <c r="K33" i="32"/>
  <c r="L33" i="32" s="1"/>
  <c r="K17" i="32"/>
  <c r="L17" i="32" s="1"/>
  <c r="I18" i="32"/>
  <c r="I24" i="32" s="1"/>
  <c r="K19" i="32"/>
  <c r="L19" i="32" s="1"/>
  <c r="I33" i="49"/>
  <c r="K32" i="49"/>
  <c r="L32" i="49" s="1"/>
  <c r="E33" i="49"/>
  <c r="E34" i="49" s="1"/>
  <c r="I32" i="48"/>
  <c r="E31" i="48"/>
  <c r="K31" i="48" s="1"/>
  <c r="E31" i="47"/>
  <c r="K31" i="47" s="1"/>
  <c r="I32" i="47"/>
  <c r="I33" i="47" s="1"/>
  <c r="E31" i="46"/>
  <c r="K31" i="46" s="1"/>
  <c r="K24" i="46"/>
  <c r="L24" i="46" s="1"/>
  <c r="I32" i="46"/>
  <c r="I33" i="46" s="1"/>
  <c r="I30" i="45"/>
  <c r="K23" i="45"/>
  <c r="L23" i="45" s="1"/>
  <c r="E31" i="45"/>
  <c r="E32" i="45" s="1"/>
  <c r="E32" i="44"/>
  <c r="I31" i="44"/>
  <c r="K24" i="44"/>
  <c r="L24" i="44" s="1"/>
  <c r="K32" i="43"/>
  <c r="L32" i="43" s="1"/>
  <c r="E33" i="43"/>
  <c r="E34" i="43" s="1"/>
  <c r="E34" i="42"/>
  <c r="E35" i="42" s="1"/>
  <c r="F21" i="52" s="1"/>
  <c r="I32" i="42"/>
  <c r="K32" i="42" s="1"/>
  <c r="L32" i="42" s="1"/>
  <c r="K31" i="42"/>
  <c r="L31" i="42" s="1"/>
  <c r="E31" i="41"/>
  <c r="K31" i="41" s="1"/>
  <c r="I32" i="41"/>
  <c r="K24" i="41"/>
  <c r="L24" i="41" s="1"/>
  <c r="E35" i="40"/>
  <c r="E36" i="40" s="1"/>
  <c r="I34" i="40"/>
  <c r="K25" i="40"/>
  <c r="L25" i="40" s="1"/>
  <c r="E31" i="39"/>
  <c r="I30" i="39"/>
  <c r="K23" i="39"/>
  <c r="L23" i="39" s="1"/>
  <c r="K24" i="38"/>
  <c r="L24" i="38" s="1"/>
  <c r="I31" i="38"/>
  <c r="E32" i="38"/>
  <c r="E33" i="38" s="1"/>
  <c r="E38" i="37"/>
  <c r="E39" i="37" s="1"/>
  <c r="I37" i="37"/>
  <c r="K28" i="37"/>
  <c r="L28" i="37" s="1"/>
  <c r="E37" i="36"/>
  <c r="K27" i="36"/>
  <c r="L27" i="36" s="1"/>
  <c r="I36" i="36"/>
  <c r="I37" i="35"/>
  <c r="K36" i="35"/>
  <c r="L36" i="35" s="1"/>
  <c r="E37" i="35"/>
  <c r="E38" i="35" s="1"/>
  <c r="E38" i="34"/>
  <c r="I38" i="34"/>
  <c r="I39" i="34" s="1"/>
  <c r="K37" i="34"/>
  <c r="L37" i="34" s="1"/>
  <c r="E24" i="32"/>
  <c r="E26" i="32"/>
  <c r="E29" i="32"/>
  <c r="E25" i="32"/>
  <c r="H25" i="32"/>
  <c r="I25" i="32" s="1"/>
  <c r="E28" i="32"/>
  <c r="H28" i="32"/>
  <c r="I28" i="32" s="1"/>
  <c r="E36" i="33"/>
  <c r="K24" i="33"/>
  <c r="L24" i="33" s="1"/>
  <c r="I27" i="33"/>
  <c r="G9" i="52" s="1"/>
  <c r="H9" i="52" s="1"/>
  <c r="I9" i="52" s="1"/>
  <c r="K18" i="32" l="1"/>
  <c r="L18" i="32" s="1"/>
  <c r="K25" i="32"/>
  <c r="L25" i="32" s="1"/>
  <c r="E35" i="49"/>
  <c r="E36" i="49" s="1"/>
  <c r="F24" i="53" s="1"/>
  <c r="K33" i="49"/>
  <c r="L33" i="49" s="1"/>
  <c r="I34" i="49"/>
  <c r="I33" i="48"/>
  <c r="L31" i="48"/>
  <c r="E32" i="48"/>
  <c r="I34" i="47"/>
  <c r="I35" i="47" s="1"/>
  <c r="G24" i="51" s="1"/>
  <c r="L31" i="47"/>
  <c r="E32" i="47"/>
  <c r="K32" i="47" s="1"/>
  <c r="I34" i="46"/>
  <c r="L31" i="46"/>
  <c r="E32" i="46"/>
  <c r="K32" i="46" s="1"/>
  <c r="E33" i="45"/>
  <c r="E34" i="45" s="1"/>
  <c r="F23" i="52" s="1"/>
  <c r="I31" i="45"/>
  <c r="K31" i="45" s="1"/>
  <c r="L31" i="45" s="1"/>
  <c r="K30" i="45"/>
  <c r="L30" i="45" s="1"/>
  <c r="I32" i="44"/>
  <c r="K32" i="44" s="1"/>
  <c r="L32" i="44" s="1"/>
  <c r="K31" i="44"/>
  <c r="L31" i="44" s="1"/>
  <c r="E33" i="44"/>
  <c r="E35" i="43"/>
  <c r="E36" i="43" s="1"/>
  <c r="F21" i="53" s="1"/>
  <c r="K33" i="43"/>
  <c r="L33" i="43" s="1"/>
  <c r="I34" i="43"/>
  <c r="I33" i="42"/>
  <c r="I34" i="42" s="1"/>
  <c r="I33" i="41"/>
  <c r="L31" i="41"/>
  <c r="E32" i="41"/>
  <c r="E33" i="41" s="1"/>
  <c r="E37" i="40"/>
  <c r="I35" i="40"/>
  <c r="K35" i="40" s="1"/>
  <c r="L35" i="40" s="1"/>
  <c r="K34" i="40"/>
  <c r="L34" i="40" s="1"/>
  <c r="I31" i="39"/>
  <c r="K31" i="39" s="1"/>
  <c r="L31" i="39" s="1"/>
  <c r="K30" i="39"/>
  <c r="L30" i="39" s="1"/>
  <c r="E32" i="39"/>
  <c r="E34" i="38"/>
  <c r="I32" i="38"/>
  <c r="K32" i="38" s="1"/>
  <c r="L32" i="38" s="1"/>
  <c r="K31" i="38"/>
  <c r="L31" i="38" s="1"/>
  <c r="E40" i="37"/>
  <c r="E41" i="37" s="1"/>
  <c r="F20" i="53" s="1"/>
  <c r="I38" i="37"/>
  <c r="K38" i="37" s="1"/>
  <c r="L38" i="37" s="1"/>
  <c r="K37" i="37"/>
  <c r="L37" i="37" s="1"/>
  <c r="I37" i="36"/>
  <c r="K37" i="36" s="1"/>
  <c r="L37" i="36" s="1"/>
  <c r="K36" i="36"/>
  <c r="L36" i="36" s="1"/>
  <c r="E38" i="36"/>
  <c r="E39" i="35"/>
  <c r="E40" i="35" s="1"/>
  <c r="F20" i="51" s="1"/>
  <c r="K37" i="35"/>
  <c r="L37" i="35" s="1"/>
  <c r="I38" i="35"/>
  <c r="I40" i="34"/>
  <c r="I41" i="34" s="1"/>
  <c r="G19" i="53" s="1"/>
  <c r="K38" i="34"/>
  <c r="L38" i="34" s="1"/>
  <c r="E39" i="34"/>
  <c r="E27" i="32"/>
  <c r="K29" i="32"/>
  <c r="L29" i="32" s="1"/>
  <c r="K28" i="32"/>
  <c r="L28" i="32" s="1"/>
  <c r="K26" i="32"/>
  <c r="L26" i="32" s="1"/>
  <c r="I36" i="33"/>
  <c r="K27" i="33"/>
  <c r="L27" i="33" s="1"/>
  <c r="E37" i="33"/>
  <c r="E38" i="33" s="1"/>
  <c r="K24" i="32"/>
  <c r="L24" i="32" s="1"/>
  <c r="I27" i="32"/>
  <c r="G9" i="51" s="1"/>
  <c r="E36" i="32" l="1"/>
  <c r="F9" i="51"/>
  <c r="H9" i="51" s="1"/>
  <c r="I9" i="51" s="1"/>
  <c r="K34" i="49"/>
  <c r="L34" i="49" s="1"/>
  <c r="I35" i="49"/>
  <c r="K35" i="49" s="1"/>
  <c r="L35" i="49" s="1"/>
  <c r="K32" i="48"/>
  <c r="L32" i="48" s="1"/>
  <c r="E33" i="48"/>
  <c r="K33" i="48" s="1"/>
  <c r="I34" i="48"/>
  <c r="L32" i="47"/>
  <c r="E33" i="47"/>
  <c r="L32" i="46"/>
  <c r="I35" i="46"/>
  <c r="G23" i="53" s="1"/>
  <c r="E33" i="46"/>
  <c r="I32" i="45"/>
  <c r="I33" i="44"/>
  <c r="K33" i="44" s="1"/>
  <c r="L33" i="44" s="1"/>
  <c r="E34" i="44"/>
  <c r="K34" i="43"/>
  <c r="L34" i="43" s="1"/>
  <c r="I35" i="43"/>
  <c r="K35" i="43" s="1"/>
  <c r="L35" i="43" s="1"/>
  <c r="K33" i="42"/>
  <c r="L33" i="42" s="1"/>
  <c r="K34" i="42"/>
  <c r="L34" i="42" s="1"/>
  <c r="I35" i="42"/>
  <c r="E34" i="41"/>
  <c r="I34" i="41"/>
  <c r="I35" i="41" s="1"/>
  <c r="G21" i="51" s="1"/>
  <c r="K33" i="41"/>
  <c r="L33" i="41" s="1"/>
  <c r="K32" i="41"/>
  <c r="L32" i="41" s="1"/>
  <c r="I36" i="40"/>
  <c r="E38" i="40"/>
  <c r="F22" i="53" s="1"/>
  <c r="I32" i="39"/>
  <c r="I33" i="39" s="1"/>
  <c r="E33" i="39"/>
  <c r="I33" i="38"/>
  <c r="K33" i="38" s="1"/>
  <c r="L33" i="38" s="1"/>
  <c r="E35" i="38"/>
  <c r="F22" i="51" s="1"/>
  <c r="I39" i="37"/>
  <c r="I38" i="36"/>
  <c r="K38" i="36" s="1"/>
  <c r="L38" i="36" s="1"/>
  <c r="E39" i="36"/>
  <c r="E40" i="36" s="1"/>
  <c r="F20" i="52" s="1"/>
  <c r="K38" i="35"/>
  <c r="L38" i="35" s="1"/>
  <c r="I39" i="35"/>
  <c r="K39" i="35" s="1"/>
  <c r="L39" i="35" s="1"/>
  <c r="E40" i="34"/>
  <c r="E41" i="34" s="1"/>
  <c r="F19" i="53" s="1"/>
  <c r="H19" i="53" s="1"/>
  <c r="I19" i="53" s="1"/>
  <c r="K39" i="34"/>
  <c r="L39" i="34" s="1"/>
  <c r="E39" i="33"/>
  <c r="E40" i="33" s="1"/>
  <c r="F19" i="52" s="1"/>
  <c r="I37" i="33"/>
  <c r="K37" i="33" s="1"/>
  <c r="L37" i="33" s="1"/>
  <c r="K36" i="33"/>
  <c r="L36" i="33" s="1"/>
  <c r="E37" i="32"/>
  <c r="E38" i="32" s="1"/>
  <c r="I36" i="32"/>
  <c r="K27" i="32"/>
  <c r="L27" i="32" s="1"/>
  <c r="K35" i="42" l="1"/>
  <c r="L35" i="42" s="1"/>
  <c r="G21" i="52"/>
  <c r="H21" i="52" s="1"/>
  <c r="I21" i="52" s="1"/>
  <c r="I34" i="38"/>
  <c r="K34" i="38" s="1"/>
  <c r="L34" i="38" s="1"/>
  <c r="I36" i="49"/>
  <c r="E34" i="48"/>
  <c r="K34" i="48" s="1"/>
  <c r="L33" i="48"/>
  <c r="I35" i="48"/>
  <c r="G24" i="52" s="1"/>
  <c r="E34" i="47"/>
  <c r="E35" i="47" s="1"/>
  <c r="F24" i="51" s="1"/>
  <c r="H24" i="51" s="1"/>
  <c r="I24" i="51" s="1"/>
  <c r="K33" i="47"/>
  <c r="L33" i="47" s="1"/>
  <c r="E34" i="46"/>
  <c r="E35" i="46" s="1"/>
  <c r="F23" i="53" s="1"/>
  <c r="H23" i="53" s="1"/>
  <c r="I23" i="53" s="1"/>
  <c r="K33" i="46"/>
  <c r="L33" i="46" s="1"/>
  <c r="K32" i="45"/>
  <c r="L32" i="45" s="1"/>
  <c r="I33" i="45"/>
  <c r="K33" i="45" s="1"/>
  <c r="L33" i="45" s="1"/>
  <c r="I34" i="44"/>
  <c r="K34" i="44" s="1"/>
  <c r="L34" i="44" s="1"/>
  <c r="E35" i="44"/>
  <c r="F23" i="51" s="1"/>
  <c r="I36" i="43"/>
  <c r="K34" i="41"/>
  <c r="L34" i="41" s="1"/>
  <c r="E35" i="41"/>
  <c r="K36" i="40"/>
  <c r="L36" i="40" s="1"/>
  <c r="I37" i="40"/>
  <c r="K37" i="40" s="1"/>
  <c r="L37" i="40" s="1"/>
  <c r="K32" i="39"/>
  <c r="L32" i="39" s="1"/>
  <c r="K33" i="39"/>
  <c r="L33" i="39" s="1"/>
  <c r="I34" i="39"/>
  <c r="G22" i="52" s="1"/>
  <c r="E34" i="39"/>
  <c r="F22" i="52" s="1"/>
  <c r="K39" i="37"/>
  <c r="L39" i="37" s="1"/>
  <c r="I40" i="37"/>
  <c r="K40" i="37" s="1"/>
  <c r="L40" i="37" s="1"/>
  <c r="I39" i="36"/>
  <c r="K39" i="36" s="1"/>
  <c r="L39" i="36" s="1"/>
  <c r="I40" i="35"/>
  <c r="K40" i="34"/>
  <c r="L40" i="34" s="1"/>
  <c r="K41" i="34"/>
  <c r="L41" i="34" s="1"/>
  <c r="I38" i="33"/>
  <c r="E39" i="32"/>
  <c r="E40" i="32" s="1"/>
  <c r="F19" i="51" s="1"/>
  <c r="K36" i="32"/>
  <c r="L36" i="32" s="1"/>
  <c r="I37" i="32"/>
  <c r="K37" i="32" s="1"/>
  <c r="L37" i="32" s="1"/>
  <c r="K35" i="41" l="1"/>
  <c r="L35" i="41" s="1"/>
  <c r="F21" i="51"/>
  <c r="H21" i="51" s="1"/>
  <c r="I21" i="51" s="1"/>
  <c r="K36" i="43"/>
  <c r="L36" i="43" s="1"/>
  <c r="G21" i="53"/>
  <c r="H21" i="53" s="1"/>
  <c r="I21" i="53" s="1"/>
  <c r="K36" i="49"/>
  <c r="L36" i="49" s="1"/>
  <c r="G24" i="53"/>
  <c r="H24" i="53" s="1"/>
  <c r="I24" i="53" s="1"/>
  <c r="H22" i="52"/>
  <c r="I22" i="52" s="1"/>
  <c r="K40" i="35"/>
  <c r="L40" i="35" s="1"/>
  <c r="G20" i="51"/>
  <c r="H20" i="51" s="1"/>
  <c r="I20" i="51" s="1"/>
  <c r="I35" i="38"/>
  <c r="E35" i="48"/>
  <c r="L34" i="48"/>
  <c r="K35" i="47"/>
  <c r="L35" i="47" s="1"/>
  <c r="K34" i="47"/>
  <c r="L34" i="47" s="1"/>
  <c r="K35" i="46"/>
  <c r="L35" i="46" s="1"/>
  <c r="K34" i="46"/>
  <c r="L34" i="46" s="1"/>
  <c r="I34" i="45"/>
  <c r="I35" i="44"/>
  <c r="I41" i="37"/>
  <c r="I38" i="40"/>
  <c r="K34" i="39"/>
  <c r="L34" i="39" s="1"/>
  <c r="I40" i="36"/>
  <c r="K38" i="33"/>
  <c r="L38" i="33" s="1"/>
  <c r="I39" i="33"/>
  <c r="K39" i="33" s="1"/>
  <c r="L39" i="33" s="1"/>
  <c r="I38" i="32"/>
  <c r="K38" i="32" s="1"/>
  <c r="L38" i="32" s="1"/>
  <c r="K40" i="36" l="1"/>
  <c r="L40" i="36" s="1"/>
  <c r="G20" i="52"/>
  <c r="H20" i="52" s="1"/>
  <c r="I20" i="52" s="1"/>
  <c r="K35" i="48"/>
  <c r="F24" i="52"/>
  <c r="H24" i="52" s="1"/>
  <c r="I24" i="52" s="1"/>
  <c r="K35" i="44"/>
  <c r="L35" i="44" s="1"/>
  <c r="G23" i="51"/>
  <c r="H23" i="51" s="1"/>
  <c r="I23" i="51" s="1"/>
  <c r="K35" i="38"/>
  <c r="L35" i="38" s="1"/>
  <c r="G22" i="51"/>
  <c r="H22" i="51" s="1"/>
  <c r="I22" i="51" s="1"/>
  <c r="K38" i="40"/>
  <c r="L38" i="40" s="1"/>
  <c r="G22" i="53"/>
  <c r="H22" i="53" s="1"/>
  <c r="I22" i="53" s="1"/>
  <c r="K34" i="45"/>
  <c r="L34" i="45" s="1"/>
  <c r="G23" i="52"/>
  <c r="H23" i="52" s="1"/>
  <c r="I23" i="52" s="1"/>
  <c r="K41" i="37"/>
  <c r="L41" i="37" s="1"/>
  <c r="G20" i="53"/>
  <c r="H20" i="53" s="1"/>
  <c r="I20" i="53" s="1"/>
  <c r="L35" i="48"/>
  <c r="I40" i="33"/>
  <c r="I39" i="32"/>
  <c r="K39" i="32" s="1"/>
  <c r="L39" i="32" s="1"/>
  <c r="K40" i="33" l="1"/>
  <c r="L40" i="33" s="1"/>
  <c r="G19" i="52"/>
  <c r="H19" i="52" s="1"/>
  <c r="I19" i="52" s="1"/>
  <c r="I40" i="32"/>
  <c r="K40" i="32" l="1"/>
  <c r="L40" i="32" s="1"/>
  <c r="G19" i="51"/>
  <c r="H19" i="51" s="1"/>
  <c r="I19" i="51" s="1"/>
</calcChain>
</file>

<file path=xl/sharedStrings.xml><?xml version="1.0" encoding="utf-8"?>
<sst xmlns="http://schemas.openxmlformats.org/spreadsheetml/2006/main" count="1018" uniqueCount="99">
  <si>
    <t>Monthly Rates and Charges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</si>
  <si>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</si>
  <si>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</si>
  <si>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</si>
  <si>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</si>
  <si>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</si>
  <si>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</si>
  <si>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Street Lighting</t>
  </si>
  <si>
    <t>$</t>
  </si>
  <si>
    <t>$/kWh</t>
  </si>
  <si>
    <t>$/kW</t>
  </si>
  <si>
    <t>Debt Retirement Charge</t>
  </si>
  <si>
    <t>%</t>
  </si>
  <si>
    <t>Loss Factor</t>
  </si>
  <si>
    <t>Metric</t>
  </si>
  <si>
    <t>Rate</t>
  </si>
  <si>
    <t>Charge</t>
  </si>
  <si>
    <t>Current Approved Rates</t>
  </si>
  <si>
    <t>General Service Less Than 50kW</t>
  </si>
  <si>
    <t>Standard Supply Service - Administrative Charge (if applicable)</t>
  </si>
  <si>
    <t>General Service 50kW to 4,999kW</t>
  </si>
  <si>
    <t xml:space="preserve">Unmetered Scattered Load </t>
  </si>
  <si>
    <t xml:space="preserve">Sentinel Lighting </t>
  </si>
  <si>
    <t>Service Charge</t>
  </si>
  <si>
    <t>Transformer Allowance for Ownership - per kW of billing demand/month</t>
  </si>
  <si>
    <t>Primary Metering Allowance for transformer losses - applied to measured demand and energy</t>
  </si>
  <si>
    <t>Total Loss Factor - Secondary Metered Customer &lt;5,000 kW</t>
  </si>
  <si>
    <t>Total Loss Factor - Primary Metered Customer &lt;5,000 kW</t>
  </si>
  <si>
    <t>Residential</t>
  </si>
  <si>
    <t>Allowances</t>
  </si>
  <si>
    <t>Volume / Demand</t>
  </si>
  <si>
    <t>Proposed Rates</t>
  </si>
  <si>
    <t>HST</t>
  </si>
  <si>
    <t>OCEB</t>
  </si>
  <si>
    <t>Change</t>
  </si>
  <si>
    <t>Proposed</t>
  </si>
  <si>
    <t>Low Voltage Service Rate</t>
  </si>
  <si>
    <t>CNPI - Fort Erie Existing and Proposed Rates</t>
  </si>
  <si>
    <t>Rate Rider for Deferral/Variance Account Disposition (2013) - effective until December 31, 2014</t>
  </si>
  <si>
    <t>Rate Rider for Global Adjustment Sub-Account Disposition (2013) - effective until December 31, 2014 Applicable only for Non-RPP Customers</t>
  </si>
  <si>
    <t>Sub-Total A (excluding pass through)</t>
  </si>
  <si>
    <t>Line Losses on Cost of Power</t>
  </si>
  <si>
    <t>TOU - Off Peak</t>
  </si>
  <si>
    <t>TOU - Mid Peak</t>
  </si>
  <si>
    <t>TOU - On Peak</t>
  </si>
  <si>
    <t>Common Tariffs</t>
  </si>
  <si>
    <t>Fort Erie</t>
  </si>
  <si>
    <t>Gananoque</t>
  </si>
  <si>
    <t>Port Colborne</t>
  </si>
  <si>
    <t>Smart Meter Entity Charge</t>
  </si>
  <si>
    <t>micro FIT Generator</t>
  </si>
  <si>
    <t>Rate Rider for Recovery of Stranded Meter Assets - effective until December 31, 2014</t>
  </si>
  <si>
    <t>Rate Rider for Disposition of Residual Historical Smart meter Costs - effective until December 31, 2014</t>
  </si>
  <si>
    <t>Monthly Service Charge (per customer)</t>
  </si>
  <si>
    <t>Monthly Service Charge (per connection)</t>
  </si>
  <si>
    <t>CNPI - Gananoque Existing and Proposed Rates</t>
  </si>
  <si>
    <t>CNPI - Port Colborne Existing and Proposed Rates</t>
  </si>
  <si>
    <t>Rate Rider for the Disposition of Deferred PILs Variance Account 1562 - effective until December 31, 2016</t>
  </si>
  <si>
    <t>Rate Rider for Deferral/Variance Account Disposition (2014) - effective until December 31, 2014</t>
  </si>
  <si>
    <t>2014 Bill Impact</t>
  </si>
  <si>
    <t>CNPI - Fort Erie</t>
  </si>
  <si>
    <t>Total Loss factor</t>
  </si>
  <si>
    <t>Current Board Approved</t>
  </si>
  <si>
    <t>Impact</t>
  </si>
  <si>
    <t>Sub-Total B - Distribution (includes Sub-Total A)</t>
  </si>
  <si>
    <t>Sub-Total C  (includes Sub-Total B)</t>
  </si>
  <si>
    <t>Total Bill on TOU (before taxes)</t>
  </si>
  <si>
    <t>Total Bill including HST</t>
  </si>
  <si>
    <t>Total Bill on TOU (including OCEB)</t>
  </si>
  <si>
    <t>Rate Rider for Disposition of Residual Historical Smart Meter Costs - effective until December 31, 2014</t>
  </si>
  <si>
    <t>Number of Customers/Connections - Input Required</t>
  </si>
  <si>
    <t>Consumption - kWh - Input Required</t>
  </si>
  <si>
    <t>Demand - kW - Input Required</t>
  </si>
  <si>
    <t>Load Factor - % - Calculated</t>
  </si>
  <si>
    <t>Billing Component</t>
  </si>
  <si>
    <t>CNPI - Eastern Ontario Power</t>
  </si>
  <si>
    <t>CNPI - Port Colborne</t>
  </si>
  <si>
    <t>Energy Price</t>
  </si>
  <si>
    <t>Customer Classification and Billing Type</t>
  </si>
  <si>
    <t>Energy</t>
  </si>
  <si>
    <t>Demand</t>
  </si>
  <si>
    <t>Monthly Delivery Charge</t>
  </si>
  <si>
    <t>kWh</t>
  </si>
  <si>
    <t>kW</t>
  </si>
  <si>
    <t>Current</t>
  </si>
  <si>
    <t>Per Application</t>
  </si>
  <si>
    <t xml:space="preserve">Residential  </t>
  </si>
  <si>
    <t>GS&lt;50 kW</t>
  </si>
  <si>
    <t>GS&gt;50 kW</t>
  </si>
  <si>
    <t>USL</t>
  </si>
  <si>
    <t>Total Bill</t>
  </si>
  <si>
    <t>Selected Delivery Charge and Bill Impacts Per Application                                                                                                                                        Port Colborne 2014</t>
  </si>
  <si>
    <t>Selected Delivery Charge and Bill Impacts Per Application                                                                                                                                        Gananoque 2014</t>
  </si>
  <si>
    <t>Selected Delivery Charge and Bill Impacts Per Application                                                                                                                                        Fort Erie 2014</t>
  </si>
  <si>
    <t>2014 Distribution Rate Impact Module</t>
  </si>
  <si>
    <t>EB-2013-0117</t>
  </si>
  <si>
    <t>August 16, 2013</t>
  </si>
  <si>
    <t>Canadian Niagara Power Inc.</t>
  </si>
  <si>
    <t>2014 4th Generation Incentive Rate-Setting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</si>
</sst>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0.0%"/>
    <numFmt numFmtId="167" formatCode="0.0000"/>
    <numFmt numFmtId="168" formatCode="_(* #,##0_);_(* \(#,##0\);_(* &quot;-&quot;??_);_(@_)"/>
    <numFmt numFmtId="169" formatCode="_-* #,##0_-;\-* #,##0_-;_-* &quot;-&quot;??_-;_-@_-"/>
    <numFmt numFmtId="170" formatCode="_(* #,##0.0_);_(* \(#,##0.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165" fontId="0" fillId="0" borderId="0" xfId="1" applyNumberFormat="1" applyFont="1"/>
    <xf numFmtId="166" fontId="0" fillId="0" borderId="0" xfId="2" applyNumberFormat="1" applyFont="1"/>
    <xf numFmtId="166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0" fontId="0" fillId="0" borderId="0" xfId="2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1" applyFont="1" applyFill="1"/>
    <xf numFmtId="165" fontId="0" fillId="0" borderId="0" xfId="1" applyNumberFormat="1" applyFont="1" applyFill="1"/>
    <xf numFmtId="0" fontId="0" fillId="0" borderId="0" xfId="0" applyFill="1"/>
    <xf numFmtId="9" fontId="0" fillId="0" borderId="0" xfId="2" applyFont="1" applyFill="1"/>
    <xf numFmtId="0" fontId="1" fillId="0" borderId="0" xfId="0" applyFont="1" applyAlignment="1">
      <alignment wrapText="1"/>
    </xf>
    <xf numFmtId="164" fontId="0" fillId="0" borderId="0" xfId="1" applyNumberFormat="1" applyFont="1"/>
    <xf numFmtId="167" fontId="0" fillId="0" borderId="0" xfId="0" applyNumberFormat="1"/>
    <xf numFmtId="9" fontId="0" fillId="0" borderId="0" xfId="2" applyFont="1"/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vertical="center"/>
    </xf>
    <xf numFmtId="10" fontId="0" fillId="0" borderId="0" xfId="2" applyNumberFormat="1" applyFont="1" applyAlignment="1">
      <alignment vertical="center"/>
    </xf>
    <xf numFmtId="0" fontId="3" fillId="0" borderId="3" xfId="0" applyFont="1" applyBorder="1"/>
    <xf numFmtId="0" fontId="6" fillId="0" borderId="0" xfId="0" applyFont="1"/>
    <xf numFmtId="165" fontId="0" fillId="0" borderId="1" xfId="1" applyNumberFormat="1" applyFont="1" applyBorder="1"/>
    <xf numFmtId="0" fontId="1" fillId="0" borderId="10" xfId="0" applyFont="1" applyBorder="1"/>
    <xf numFmtId="165" fontId="0" fillId="0" borderId="12" xfId="1" applyNumberFormat="1" applyFont="1" applyBorder="1"/>
    <xf numFmtId="0" fontId="1" fillId="0" borderId="3" xfId="0" applyFont="1" applyBorder="1"/>
    <xf numFmtId="168" fontId="0" fillId="2" borderId="2" xfId="1" applyNumberFormat="1" applyFont="1" applyFill="1" applyBorder="1"/>
    <xf numFmtId="0" fontId="1" fillId="0" borderId="6" xfId="0" applyFont="1" applyBorder="1"/>
    <xf numFmtId="9" fontId="0" fillId="0" borderId="9" xfId="2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8" fontId="0" fillId="0" borderId="1" xfId="0" applyNumberFormat="1" applyBorder="1"/>
    <xf numFmtId="168" fontId="0" fillId="0" borderId="1" xfId="0" applyNumberFormat="1" applyFill="1" applyBorder="1"/>
    <xf numFmtId="164" fontId="0" fillId="0" borderId="1" xfId="0" applyNumberFormat="1" applyBorder="1"/>
    <xf numFmtId="169" fontId="0" fillId="0" borderId="1" xfId="0" applyNumberFormat="1" applyBorder="1"/>
    <xf numFmtId="9" fontId="0" fillId="0" borderId="1" xfId="0" applyNumberFormat="1" applyBorder="1"/>
    <xf numFmtId="43" fontId="0" fillId="0" borderId="1" xfId="0" applyNumberFormat="1" applyBorder="1"/>
    <xf numFmtId="0" fontId="0" fillId="0" borderId="4" xfId="0" applyBorder="1"/>
    <xf numFmtId="0" fontId="0" fillId="0" borderId="3" xfId="0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166" fontId="0" fillId="0" borderId="2" xfId="2" applyNumberFormat="1" applyFont="1" applyBorder="1"/>
    <xf numFmtId="0" fontId="0" fillId="0" borderId="3" xfId="0" applyBorder="1" applyAlignment="1">
      <alignment wrapText="1"/>
    </xf>
    <xf numFmtId="0" fontId="3" fillId="3" borderId="3" xfId="0" applyFont="1" applyFill="1" applyBorder="1"/>
    <xf numFmtId="165" fontId="0" fillId="3" borderId="1" xfId="1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0" xfId="0" applyFill="1" applyBorder="1"/>
    <xf numFmtId="164" fontId="0" fillId="3" borderId="1" xfId="1" applyNumberFormat="1" applyFont="1" applyFill="1" applyBorder="1"/>
    <xf numFmtId="166" fontId="0" fillId="3" borderId="2" xfId="2" applyNumberFormat="1" applyFont="1" applyFill="1" applyBorder="1"/>
    <xf numFmtId="0" fontId="0" fillId="3" borderId="3" xfId="0" applyFill="1" applyBorder="1"/>
    <xf numFmtId="0" fontId="1" fillId="0" borderId="8" xfId="0" applyFont="1" applyBorder="1"/>
    <xf numFmtId="43" fontId="1" fillId="0" borderId="8" xfId="0" applyNumberFormat="1" applyFont="1" applyBorder="1"/>
    <xf numFmtId="0" fontId="1" fillId="0" borderId="7" xfId="0" applyFont="1" applyBorder="1"/>
    <xf numFmtId="164" fontId="1" fillId="0" borderId="8" xfId="1" applyNumberFormat="1" applyFont="1" applyBorder="1"/>
    <xf numFmtId="166" fontId="1" fillId="0" borderId="9" xfId="2" applyNumberFormat="1" applyFont="1" applyBorder="1"/>
    <xf numFmtId="170" fontId="0" fillId="2" borderId="2" xfId="1" applyNumberFormat="1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0" fillId="0" borderId="0" xfId="3" applyFont="1"/>
    <xf numFmtId="0" fontId="10" fillId="0" borderId="14" xfId="3" applyFont="1" applyBorder="1" applyAlignment="1">
      <alignment horizontal="center"/>
    </xf>
    <xf numFmtId="0" fontId="10" fillId="4" borderId="4" xfId="3" applyFont="1" applyFill="1" applyBorder="1"/>
    <xf numFmtId="0" fontId="10" fillId="0" borderId="16" xfId="3" applyFont="1" applyBorder="1" applyAlignment="1">
      <alignment horizontal="center"/>
    </xf>
    <xf numFmtId="0" fontId="10" fillId="4" borderId="0" xfId="3" applyFont="1" applyFill="1" applyBorder="1"/>
    <xf numFmtId="0" fontId="10" fillId="0" borderId="5" xfId="3" applyFont="1" applyBorder="1"/>
    <xf numFmtId="0" fontId="10" fillId="0" borderId="17" xfId="3" applyFont="1" applyBorder="1"/>
    <xf numFmtId="0" fontId="10" fillId="4" borderId="18" xfId="3" applyFont="1" applyFill="1" applyBorder="1"/>
    <xf numFmtId="0" fontId="10" fillId="0" borderId="1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0" fontId="10" fillId="0" borderId="3" xfId="3" applyFont="1" applyBorder="1"/>
    <xf numFmtId="168" fontId="10" fillId="0" borderId="1" xfId="1" applyNumberFormat="1" applyFont="1" applyBorder="1"/>
    <xf numFmtId="0" fontId="10" fillId="4" borderId="1" xfId="3" applyFont="1" applyFill="1" applyBorder="1"/>
    <xf numFmtId="44" fontId="10" fillId="0" borderId="1" xfId="3" applyNumberFormat="1" applyFont="1" applyBorder="1"/>
    <xf numFmtId="166" fontId="10" fillId="0" borderId="2" xfId="3" applyNumberFormat="1" applyFont="1" applyBorder="1" applyAlignment="1">
      <alignment horizontal="center"/>
    </xf>
    <xf numFmtId="168" fontId="10" fillId="4" borderId="1" xfId="1" applyNumberFormat="1" applyFont="1" applyFill="1" applyBorder="1"/>
    <xf numFmtId="0" fontId="10" fillId="4" borderId="19" xfId="3" applyFont="1" applyFill="1" applyBorder="1"/>
    <xf numFmtId="168" fontId="10" fillId="4" borderId="0" xfId="1" applyNumberFormat="1" applyFont="1" applyFill="1" applyBorder="1"/>
    <xf numFmtId="44" fontId="10" fillId="4" borderId="0" xfId="3" applyNumberFormat="1" applyFont="1" applyFill="1" applyBorder="1"/>
    <xf numFmtId="166" fontId="10" fillId="4" borderId="20" xfId="3" applyNumberFormat="1" applyFont="1" applyFill="1" applyBorder="1" applyAlignment="1">
      <alignment horizontal="center"/>
    </xf>
    <xf numFmtId="0" fontId="10" fillId="0" borderId="6" xfId="3" applyFont="1" applyBorder="1"/>
    <xf numFmtId="168" fontId="10" fillId="0" borderId="8" xfId="1" applyNumberFormat="1" applyFont="1" applyBorder="1"/>
    <xf numFmtId="0" fontId="10" fillId="4" borderId="7" xfId="3" applyFont="1" applyFill="1" applyBorder="1"/>
    <xf numFmtId="44" fontId="10" fillId="0" borderId="8" xfId="3" applyNumberFormat="1" applyFont="1" applyBorder="1"/>
    <xf numFmtId="166" fontId="10" fillId="0" borderId="9" xfId="3" applyNumberFormat="1" applyFont="1" applyBorder="1" applyAlignment="1">
      <alignment horizontal="center"/>
    </xf>
    <xf numFmtId="170" fontId="0" fillId="0" borderId="1" xfId="0" applyNumberFormat="1" applyBorder="1"/>
    <xf numFmtId="170" fontId="0" fillId="3" borderId="1" xfId="0" applyNumberFormat="1" applyFill="1" applyBorder="1"/>
    <xf numFmtId="170" fontId="0" fillId="0" borderId="1" xfId="0" applyNumberFormat="1" applyFill="1" applyBorder="1"/>
    <xf numFmtId="49" fontId="5" fillId="0" borderId="0" xfId="0" applyNumberFormat="1" applyFont="1" applyAlignment="1">
      <alignment horizontal="center"/>
    </xf>
    <xf numFmtId="49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13" xfId="3" applyFont="1" applyBorder="1" applyAlignment="1">
      <alignment horizontal="center" wrapText="1"/>
    </xf>
    <xf numFmtId="0" fontId="10" fillId="0" borderId="15" xfId="3" applyFont="1" applyBorder="1" applyAlignment="1">
      <alignment horizontal="center" wrapText="1"/>
    </xf>
    <xf numFmtId="0" fontId="8" fillId="0" borderId="11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9</xdr:row>
      <xdr:rowOff>142875</xdr:rowOff>
    </xdr:from>
    <xdr:to>
      <xdr:col>8</xdr:col>
      <xdr:colOff>1085850</xdr:colOff>
      <xdr:row>15</xdr:row>
      <xdr:rowOff>123825</xdr:rowOff>
    </xdr:to>
    <xdr:pic>
      <xdr:nvPicPr>
        <xdr:cNvPr id="1052" name="Picture 2" descr="CNP FORTIS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1600200"/>
          <a:ext cx="3543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0:I27"/>
  <sheetViews>
    <sheetView showGridLines="0" workbookViewId="0">
      <selection activeCell="M26" sqref="M25:M26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96" t="s">
        <v>97</v>
      </c>
      <c r="C20" s="96"/>
      <c r="D20" s="96"/>
      <c r="E20" s="96"/>
      <c r="F20" s="96"/>
      <c r="G20" s="96"/>
      <c r="H20" s="96"/>
      <c r="I20" s="96"/>
    </row>
    <row r="21" spans="2:9" ht="33.75" x14ac:dyDescent="0.5">
      <c r="B21" s="96" t="s">
        <v>94</v>
      </c>
      <c r="C21" s="96"/>
      <c r="D21" s="96"/>
      <c r="E21" s="96"/>
      <c r="F21" s="96"/>
      <c r="G21" s="96"/>
      <c r="H21" s="96"/>
      <c r="I21" s="96"/>
    </row>
    <row r="22" spans="2:9" ht="33.75" x14ac:dyDescent="0.5">
      <c r="B22" s="96" t="s">
        <v>98</v>
      </c>
      <c r="C22" s="96"/>
      <c r="D22" s="96"/>
      <c r="E22" s="96"/>
      <c r="F22" s="96"/>
      <c r="G22" s="96"/>
      <c r="H22" s="96"/>
      <c r="I22" s="96"/>
    </row>
    <row r="23" spans="2:9" ht="26.25" x14ac:dyDescent="0.4">
      <c r="B23" s="98"/>
      <c r="C23" s="98"/>
      <c r="D23" s="98"/>
      <c r="E23" s="98"/>
      <c r="F23" s="98"/>
      <c r="G23" s="98"/>
      <c r="H23" s="98"/>
      <c r="I23" s="98"/>
    </row>
    <row r="25" spans="2:9" ht="33.75" x14ac:dyDescent="0.5">
      <c r="B25" s="96" t="s">
        <v>95</v>
      </c>
      <c r="C25" s="96"/>
      <c r="D25" s="96"/>
      <c r="E25" s="96"/>
      <c r="F25" s="96"/>
      <c r="G25" s="96"/>
      <c r="H25" s="96"/>
      <c r="I25" s="96"/>
    </row>
    <row r="26" spans="2:9" ht="33.75" x14ac:dyDescent="0.5">
      <c r="B26" s="96"/>
      <c r="C26" s="97"/>
      <c r="D26" s="97"/>
      <c r="E26" s="97"/>
      <c r="F26" s="97"/>
      <c r="G26" s="97"/>
      <c r="H26" s="97"/>
      <c r="I26" s="97"/>
    </row>
    <row r="27" spans="2:9" ht="33.75" x14ac:dyDescent="0.5">
      <c r="B27" s="94" t="s">
        <v>96</v>
      </c>
      <c r="C27" s="95"/>
      <c r="D27" s="95"/>
      <c r="E27" s="95"/>
      <c r="F27" s="95"/>
      <c r="G27" s="95"/>
      <c r="H27" s="95"/>
      <c r="I27" s="95"/>
    </row>
  </sheetData>
  <mergeCells count="7">
    <mergeCell ref="B27:I27"/>
    <mergeCell ref="B26:I26"/>
    <mergeCell ref="B20:I20"/>
    <mergeCell ref="B21:I21"/>
    <mergeCell ref="B22:I22"/>
    <mergeCell ref="B25:I25"/>
    <mergeCell ref="B23:I23"/>
  </mergeCells>
  <phoneticPr fontId="2" type="noConversion"/>
  <pageMargins left="0.75" right="0.75" top="1" bottom="1" header="0.5" footer="0.5"/>
  <pageSetup scale="7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0"/>
  <sheetViews>
    <sheetView showGridLines="0" topLeftCell="A4" workbookViewId="0">
      <selection activeCell="J47" sqref="J47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Rates!B68</f>
        <v>CNPI - Eastern Ontario Power</v>
      </c>
    </row>
    <row r="3" spans="2:12" ht="15.75" x14ac:dyDescent="0.25">
      <c r="B3" s="24" t="str">
        <f>Rates!B80</f>
        <v>General Service Less Than 50kW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2000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Rates!E81</f>
        <v>22.52</v>
      </c>
      <c r="D14" s="37">
        <f>C6</f>
        <v>1</v>
      </c>
      <c r="E14" s="36">
        <f>C14*D14</f>
        <v>22.52</v>
      </c>
      <c r="F14" s="45"/>
      <c r="G14" s="36">
        <f>Rates!I81</f>
        <v>24.18</v>
      </c>
      <c r="H14" s="37">
        <f>D14</f>
        <v>1</v>
      </c>
      <c r="I14" s="36">
        <f>G14*H14</f>
        <v>24.18</v>
      </c>
      <c r="J14" s="45"/>
      <c r="K14" s="36">
        <f>I14-E14</f>
        <v>1.6600000000000001</v>
      </c>
      <c r="L14" s="47">
        <f>IF((E14)=0," ",K14/E14)</f>
        <v>7.3712255772646548E-2</v>
      </c>
    </row>
    <row r="15" spans="2:12" x14ac:dyDescent="0.2">
      <c r="B15" s="44" t="str">
        <f>Rates!B7</f>
        <v>Distribution Volumetric Rate</v>
      </c>
      <c r="C15" s="25">
        <f>Rates!E82</f>
        <v>2.4799999999999999E-2</v>
      </c>
      <c r="D15" s="38">
        <f>C7</f>
        <v>2000</v>
      </c>
      <c r="E15" s="36">
        <f t="shared" ref="E15:E17" si="0">C15*D15</f>
        <v>49.6</v>
      </c>
      <c r="F15" s="45"/>
      <c r="G15" s="25">
        <f>Rates!I82</f>
        <v>2.3800000000000002E-2</v>
      </c>
      <c r="H15" s="37">
        <f>D15</f>
        <v>2000</v>
      </c>
      <c r="I15" s="36">
        <f t="shared" ref="I15:I17" si="1">G15*H15</f>
        <v>47.6</v>
      </c>
      <c r="J15" s="45"/>
      <c r="K15" s="36">
        <f t="shared" ref="K15:K40" si="2">I15-E15</f>
        <v>-2</v>
      </c>
      <c r="L15" s="47">
        <f t="shared" ref="L15:L40" si="3">IF((E15)=0," ",K15/E15)</f>
        <v>-4.0322580645161289E-2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Rates!E83</f>
        <v>3.38</v>
      </c>
      <c r="D16" s="37">
        <f>C6</f>
        <v>1</v>
      </c>
      <c r="E16" s="36">
        <f t="shared" si="0"/>
        <v>3.38</v>
      </c>
      <c r="F16" s="45"/>
      <c r="G16" s="36">
        <f>Rates!I83</f>
        <v>3.38</v>
      </c>
      <c r="H16" s="37">
        <f t="shared" ref="H16:H17" si="4">D16</f>
        <v>1</v>
      </c>
      <c r="I16" s="36">
        <f t="shared" si="1"/>
        <v>3.38</v>
      </c>
      <c r="J16" s="45"/>
      <c r="K16" s="36">
        <f t="shared" si="2"/>
        <v>0</v>
      </c>
      <c r="L16" s="47">
        <f t="shared" si="3"/>
        <v>0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Rates!E84</f>
        <v>3.04</v>
      </c>
      <c r="D17" s="37">
        <f>C6</f>
        <v>1</v>
      </c>
      <c r="E17" s="36">
        <f t="shared" si="0"/>
        <v>3.04</v>
      </c>
      <c r="F17" s="45"/>
      <c r="G17" s="36">
        <f>Rates!I84</f>
        <v>3.04</v>
      </c>
      <c r="H17" s="37">
        <f t="shared" si="4"/>
        <v>1</v>
      </c>
      <c r="I17" s="36">
        <f t="shared" si="1"/>
        <v>3.04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9" t="s">
        <v>40</v>
      </c>
      <c r="C18" s="50"/>
      <c r="D18" s="51"/>
      <c r="E18" s="52">
        <f>SUM(E14:E17)</f>
        <v>78.540000000000006</v>
      </c>
      <c r="F18" s="53"/>
      <c r="G18" s="50"/>
      <c r="H18" s="51"/>
      <c r="I18" s="52">
        <f>SUM(I14:I17)</f>
        <v>78.2</v>
      </c>
      <c r="J18" s="53"/>
      <c r="K18" s="54">
        <f t="shared" si="2"/>
        <v>-0.34000000000000341</v>
      </c>
      <c r="L18" s="55">
        <f t="shared" si="3"/>
        <v>-4.3290043290043724E-3</v>
      </c>
    </row>
    <row r="19" spans="2:12" x14ac:dyDescent="0.2">
      <c r="B19" s="28" t="s">
        <v>41</v>
      </c>
      <c r="C19" s="25">
        <f>Rates!E221</f>
        <v>8.3900000000000002E-2</v>
      </c>
      <c r="D19" s="40">
        <f>(C5-1)*C7</f>
        <v>108.40000000000005</v>
      </c>
      <c r="E19" s="36">
        <f t="shared" ref="E19:E23" si="5">C19*D19</f>
        <v>9.0947600000000044</v>
      </c>
      <c r="F19" s="45"/>
      <c r="G19" s="25">
        <f>Rates!I221</f>
        <v>8.3900000000000002E-2</v>
      </c>
      <c r="H19" s="40">
        <f>(C5-1)*C7</f>
        <v>108.40000000000005</v>
      </c>
      <c r="I19" s="36">
        <f t="shared" ref="I19:I23" si="6">G19*H19</f>
        <v>9.0947600000000044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Rates!E86</f>
        <v>-8.9999999999999998E-4</v>
      </c>
      <c r="D20" s="37">
        <f>C7</f>
        <v>2000</v>
      </c>
      <c r="E20" s="36">
        <f t="shared" si="5"/>
        <v>-1.8</v>
      </c>
      <c r="F20" s="45"/>
      <c r="G20" s="25">
        <f>Rates!I86</f>
        <v>-8.9999999999999998E-4</v>
      </c>
      <c r="H20" s="37">
        <f t="shared" ref="H20:H23" si="7">D20</f>
        <v>2000</v>
      </c>
      <c r="I20" s="36">
        <f t="shared" si="6"/>
        <v>-1.8</v>
      </c>
      <c r="J20" s="45"/>
      <c r="K20" s="36">
        <f t="shared" si="2"/>
        <v>0</v>
      </c>
      <c r="L20" s="47">
        <f t="shared" si="3"/>
        <v>0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Rates!E87</f>
        <v>2.0999999999999999E-3</v>
      </c>
      <c r="D21" s="37">
        <f>C7</f>
        <v>2000</v>
      </c>
      <c r="E21" s="36">
        <f t="shared" si="5"/>
        <v>4.2</v>
      </c>
      <c r="F21" s="45"/>
      <c r="G21" s="25">
        <f>Rates!I87</f>
        <v>2.0999999999999999E-3</v>
      </c>
      <c r="H21" s="37">
        <f t="shared" si="7"/>
        <v>2000</v>
      </c>
      <c r="I21" s="36">
        <f t="shared" si="6"/>
        <v>4.2</v>
      </c>
      <c r="J21" s="45"/>
      <c r="K21" s="36">
        <f t="shared" si="2"/>
        <v>0</v>
      </c>
      <c r="L21" s="47">
        <f t="shared" si="3"/>
        <v>0</v>
      </c>
    </row>
    <row r="22" spans="2:12" x14ac:dyDescent="0.2">
      <c r="B22" s="44" t="str">
        <f>Rates!B10</f>
        <v>Low Voltage Service Rate</v>
      </c>
      <c r="C22" s="25">
        <f>Rates!E85</f>
        <v>2.0000000000000001E-4</v>
      </c>
      <c r="D22" s="37">
        <f>C7</f>
        <v>2000</v>
      </c>
      <c r="E22" s="36">
        <f t="shared" si="5"/>
        <v>0.4</v>
      </c>
      <c r="F22" s="45"/>
      <c r="G22" s="25">
        <f>Rates!I85</f>
        <v>2.0000000000000001E-4</v>
      </c>
      <c r="H22" s="37">
        <f t="shared" si="7"/>
        <v>2000</v>
      </c>
      <c r="I22" s="36">
        <f t="shared" si="6"/>
        <v>0.4</v>
      </c>
      <c r="J22" s="45"/>
      <c r="K22" s="36">
        <f t="shared" si="2"/>
        <v>0</v>
      </c>
      <c r="L22" s="47">
        <f t="shared" si="3"/>
        <v>0</v>
      </c>
    </row>
    <row r="23" spans="2:12" x14ac:dyDescent="0.2">
      <c r="B23" s="44" t="str">
        <f>Rates!B202</f>
        <v>Smart Meter Entity Charge</v>
      </c>
      <c r="C23" s="36">
        <f>Rates!E202</f>
        <v>0.79</v>
      </c>
      <c r="D23" s="37">
        <f>C6</f>
        <v>1</v>
      </c>
      <c r="E23" s="36">
        <f t="shared" si="5"/>
        <v>0.79</v>
      </c>
      <c r="F23" s="45"/>
      <c r="G23" s="36">
        <f>Rates!I202</f>
        <v>0.79</v>
      </c>
      <c r="H23" s="37">
        <f t="shared" si="7"/>
        <v>1</v>
      </c>
      <c r="I23" s="36">
        <f t="shared" si="6"/>
        <v>0.79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64</v>
      </c>
      <c r="C24" s="50"/>
      <c r="D24" s="51"/>
      <c r="E24" s="52">
        <f>SUM(E18:E23)</f>
        <v>91.224760000000032</v>
      </c>
      <c r="F24" s="53"/>
      <c r="G24" s="50"/>
      <c r="H24" s="51"/>
      <c r="I24" s="52">
        <f>SUM(I18:I23)</f>
        <v>90.884760000000028</v>
      </c>
      <c r="J24" s="53"/>
      <c r="K24" s="54">
        <f t="shared" si="2"/>
        <v>-0.34000000000000341</v>
      </c>
      <c r="L24" s="55">
        <f t="shared" si="3"/>
        <v>-3.7270583118004727E-3</v>
      </c>
    </row>
    <row r="25" spans="2:12" x14ac:dyDescent="0.2">
      <c r="B25" s="44" t="str">
        <f>Rates!B13</f>
        <v>Retail Transmission Rate - Network Service Rate</v>
      </c>
      <c r="C25" s="25">
        <f>Rates!E89</f>
        <v>5.7000000000000002E-3</v>
      </c>
      <c r="D25" s="37">
        <f>C7*C5</f>
        <v>2108.4</v>
      </c>
      <c r="E25" s="36">
        <f>C25*D25</f>
        <v>12.017880000000002</v>
      </c>
      <c r="F25" s="45"/>
      <c r="G25" s="25">
        <f>Rates!I89</f>
        <v>6.0000000000000001E-3</v>
      </c>
      <c r="H25" s="37">
        <f>D25</f>
        <v>2108.4</v>
      </c>
      <c r="I25" s="36">
        <f>G25*H25</f>
        <v>12.650400000000001</v>
      </c>
      <c r="J25" s="45"/>
      <c r="K25" s="36">
        <f t="shared" si="2"/>
        <v>0.63251999999999953</v>
      </c>
      <c r="L25" s="47">
        <f t="shared" si="3"/>
        <v>5.2631578947368376E-2</v>
      </c>
    </row>
    <row r="26" spans="2:12" x14ac:dyDescent="0.2">
      <c r="B26" s="44" t="str">
        <f>Rates!B14</f>
        <v>Retail Transmission Rate - Line and Transformation Connection Service Rate</v>
      </c>
      <c r="C26" s="25">
        <f>Rates!E90</f>
        <v>4.5999999999999999E-3</v>
      </c>
      <c r="D26" s="37">
        <f>C7*C5</f>
        <v>2108.4</v>
      </c>
      <c r="E26" s="36">
        <f>C26*D26</f>
        <v>9.698640000000001</v>
      </c>
      <c r="F26" s="45"/>
      <c r="G26" s="25">
        <f>Rates!I90</f>
        <v>4.7000000000000002E-3</v>
      </c>
      <c r="H26" s="37">
        <f>D26</f>
        <v>2108.4</v>
      </c>
      <c r="I26" s="36">
        <f>G26*H26</f>
        <v>9.9094800000000003</v>
      </c>
      <c r="J26" s="45"/>
      <c r="K26" s="36">
        <f t="shared" si="2"/>
        <v>0.21083999999999925</v>
      </c>
      <c r="L26" s="47">
        <f t="shared" si="3"/>
        <v>2.1739130434782528E-2</v>
      </c>
    </row>
    <row r="27" spans="2:12" x14ac:dyDescent="0.2">
      <c r="B27" s="49" t="s">
        <v>65</v>
      </c>
      <c r="C27" s="50"/>
      <c r="D27" s="51"/>
      <c r="E27" s="52">
        <f>SUM(E24:E26)</f>
        <v>112.94128000000003</v>
      </c>
      <c r="F27" s="53"/>
      <c r="G27" s="50"/>
      <c r="H27" s="52"/>
      <c r="I27" s="52">
        <f>SUM(I24:I26)</f>
        <v>113.44464000000004</v>
      </c>
      <c r="J27" s="53"/>
      <c r="K27" s="54">
        <f t="shared" si="2"/>
        <v>0.5033600000000007</v>
      </c>
      <c r="L27" s="55">
        <f t="shared" si="3"/>
        <v>4.4568292479065276E-3</v>
      </c>
    </row>
    <row r="28" spans="2:12" x14ac:dyDescent="0.2">
      <c r="B28" s="44" t="str">
        <f>Rates!B199</f>
        <v>Wholesale Market Service Rate</v>
      </c>
      <c r="C28" s="25">
        <f>Rates!E199</f>
        <v>4.4000000000000003E-3</v>
      </c>
      <c r="D28" s="37">
        <f>C5*C7</f>
        <v>2108.4</v>
      </c>
      <c r="E28" s="36">
        <f t="shared" ref="E28:E34" si="8">C28*D28</f>
        <v>9.2769600000000008</v>
      </c>
      <c r="F28" s="45"/>
      <c r="G28" s="25">
        <f>Rates!I199</f>
        <v>4.4000000000000003E-3</v>
      </c>
      <c r="H28" s="37">
        <f>D28</f>
        <v>2108.4</v>
      </c>
      <c r="I28" s="36">
        <f t="shared" ref="I28:I34" si="9">G28*H28</f>
        <v>9.2769600000000008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Rates!B200</f>
        <v>Rural Rate Protection Charge</v>
      </c>
      <c r="C29" s="25">
        <f>Rates!E200</f>
        <v>1.1999999999999999E-3</v>
      </c>
      <c r="D29" s="37">
        <f>C5*C7</f>
        <v>2108.4</v>
      </c>
      <c r="E29" s="36">
        <f t="shared" si="8"/>
        <v>2.5300799999999999</v>
      </c>
      <c r="F29" s="45"/>
      <c r="G29" s="25">
        <f>Rates!I200</f>
        <v>1.1999999999999999E-3</v>
      </c>
      <c r="H29" s="37">
        <f t="shared" ref="H29:H30" si="10">D29</f>
        <v>2108.4</v>
      </c>
      <c r="I29" s="36">
        <f t="shared" si="9"/>
        <v>2.5300799999999999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Rates!B201</f>
        <v>Standard Supply Service - Administrative Charge (if applicable)</v>
      </c>
      <c r="C30" s="36">
        <f>Rates!E201</f>
        <v>0.25</v>
      </c>
      <c r="D30" s="37">
        <v>1</v>
      </c>
      <c r="E30" s="36">
        <f t="shared" si="8"/>
        <v>0.25</v>
      </c>
      <c r="F30" s="45"/>
      <c r="G30" s="36">
        <f>Rates!I201</f>
        <v>0.25</v>
      </c>
      <c r="H30" s="37">
        <f t="shared" si="10"/>
        <v>1</v>
      </c>
      <c r="I30" s="36">
        <f t="shared" si="9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Rates!B204</f>
        <v>Debt Retirement Charge</v>
      </c>
      <c r="C31" s="25">
        <f>Rates!E206</f>
        <v>5.1000000000000004E-3</v>
      </c>
      <c r="D31" s="37">
        <f>C7</f>
        <v>2000</v>
      </c>
      <c r="E31" s="36">
        <f t="shared" si="8"/>
        <v>10.200000000000001</v>
      </c>
      <c r="F31" s="45"/>
      <c r="G31" s="25">
        <f>Rates!I206</f>
        <v>5.1000000000000004E-3</v>
      </c>
      <c r="H31" s="37">
        <f>D31</f>
        <v>2000</v>
      </c>
      <c r="I31" s="36">
        <f t="shared" si="9"/>
        <v>10.200000000000001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Rates!B217</f>
        <v>TOU - Off Peak</v>
      </c>
      <c r="C32" s="25">
        <f>Rates!E217</f>
        <v>6.7000000000000004E-2</v>
      </c>
      <c r="D32" s="37">
        <f>C7*0.64</f>
        <v>1280</v>
      </c>
      <c r="E32" s="36">
        <f t="shared" si="8"/>
        <v>85.76</v>
      </c>
      <c r="F32" s="45"/>
      <c r="G32" s="25">
        <f>Rates!I217</f>
        <v>6.7000000000000004E-2</v>
      </c>
      <c r="H32" s="37">
        <f>D32</f>
        <v>1280</v>
      </c>
      <c r="I32" s="36">
        <f t="shared" si="9"/>
        <v>85.76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Rates!B218</f>
        <v>TOU - Mid Peak</v>
      </c>
      <c r="C33" s="25">
        <f>Rates!E218</f>
        <v>0.104</v>
      </c>
      <c r="D33" s="37">
        <f>C7*0.18</f>
        <v>360</v>
      </c>
      <c r="E33" s="36">
        <f t="shared" si="8"/>
        <v>37.44</v>
      </c>
      <c r="F33" s="45"/>
      <c r="G33" s="25">
        <f>Rates!I218</f>
        <v>0.104</v>
      </c>
      <c r="H33" s="37">
        <f t="shared" ref="H33:H34" si="11">D33</f>
        <v>360</v>
      </c>
      <c r="I33" s="36">
        <f t="shared" si="9"/>
        <v>37.44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Rates!B219</f>
        <v>TOU - On Peak</v>
      </c>
      <c r="C34" s="25">
        <f>Rates!E219</f>
        <v>0.124</v>
      </c>
      <c r="D34" s="37">
        <f>C7*0.18</f>
        <v>360</v>
      </c>
      <c r="E34" s="36">
        <f t="shared" si="8"/>
        <v>44.64</v>
      </c>
      <c r="F34" s="45"/>
      <c r="G34" s="25">
        <f>Rates!I219</f>
        <v>0.124</v>
      </c>
      <c r="H34" s="37">
        <f t="shared" si="11"/>
        <v>360</v>
      </c>
      <c r="I34" s="36">
        <f t="shared" si="9"/>
        <v>44.64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56"/>
      <c r="C35" s="51"/>
      <c r="D35" s="51"/>
      <c r="E35" s="51"/>
      <c r="F35" s="53"/>
      <c r="G35" s="51"/>
      <c r="H35" s="51"/>
      <c r="I35" s="51"/>
      <c r="J35" s="53"/>
      <c r="K35" s="54"/>
      <c r="L35" s="55"/>
    </row>
    <row r="36" spans="2:12" x14ac:dyDescent="0.2">
      <c r="B36" s="23" t="s">
        <v>66</v>
      </c>
      <c r="C36" s="35"/>
      <c r="D36" s="35"/>
      <c r="E36" s="39">
        <f>SUM(E27:E34)</f>
        <v>303.03832</v>
      </c>
      <c r="F36" s="45"/>
      <c r="G36" s="35"/>
      <c r="H36" s="39"/>
      <c r="I36" s="39">
        <f>SUM(I27:I34)</f>
        <v>303.54168000000004</v>
      </c>
      <c r="J36" s="45"/>
      <c r="K36" s="36">
        <f t="shared" si="2"/>
        <v>0.50336000000004333</v>
      </c>
      <c r="L36" s="47">
        <f t="shared" si="3"/>
        <v>1.6610440554186128E-3</v>
      </c>
    </row>
    <row r="37" spans="2:12" x14ac:dyDescent="0.2">
      <c r="B37" s="44" t="str">
        <f>Rates!B223</f>
        <v>HST</v>
      </c>
      <c r="C37" s="41">
        <f>Rates!E223</f>
        <v>0.13</v>
      </c>
      <c r="D37" s="35"/>
      <c r="E37" s="42">
        <f>E36*C37</f>
        <v>39.394981600000001</v>
      </c>
      <c r="F37" s="45"/>
      <c r="G37" s="41">
        <f>Rates!I223</f>
        <v>0.13</v>
      </c>
      <c r="H37" s="35"/>
      <c r="I37" s="42">
        <f>I36*G37</f>
        <v>39.460418400000009</v>
      </c>
      <c r="J37" s="45"/>
      <c r="K37" s="36">
        <f t="shared" si="2"/>
        <v>6.5436800000007622E-2</v>
      </c>
      <c r="L37" s="47">
        <f t="shared" si="3"/>
        <v>1.6610440554186633E-3</v>
      </c>
    </row>
    <row r="38" spans="2:12" x14ac:dyDescent="0.2">
      <c r="B38" s="23" t="s">
        <v>67</v>
      </c>
      <c r="C38" s="35"/>
      <c r="D38" s="35"/>
      <c r="E38" s="42">
        <f>E36+E37</f>
        <v>342.43330159999999</v>
      </c>
      <c r="F38" s="45"/>
      <c r="G38" s="35"/>
      <c r="H38" s="35"/>
      <c r="I38" s="42">
        <f>I36+I37</f>
        <v>343.00209840000002</v>
      </c>
      <c r="J38" s="45"/>
      <c r="K38" s="36">
        <f t="shared" si="2"/>
        <v>0.56879680000002963</v>
      </c>
      <c r="L38" s="47">
        <f t="shared" si="3"/>
        <v>1.6610440554185564E-3</v>
      </c>
    </row>
    <row r="39" spans="2:12" x14ac:dyDescent="0.2">
      <c r="B39" s="44" t="str">
        <f>Rates!B225</f>
        <v>OCEB</v>
      </c>
      <c r="C39" s="41">
        <f>Rates!E225</f>
        <v>-0.1</v>
      </c>
      <c r="D39" s="35"/>
      <c r="E39" s="42">
        <f>E38*C39</f>
        <v>-34.243330159999999</v>
      </c>
      <c r="F39" s="45"/>
      <c r="G39" s="41">
        <f>Rates!I225</f>
        <v>-0.1</v>
      </c>
      <c r="H39" s="35"/>
      <c r="I39" s="42">
        <f>I38*G39</f>
        <v>-34.300209840000001</v>
      </c>
      <c r="J39" s="45"/>
      <c r="K39" s="36">
        <f t="shared" si="2"/>
        <v>-5.6879680000001542E-2</v>
      </c>
      <c r="L39" s="47">
        <f t="shared" si="3"/>
        <v>1.661044055418515E-3</v>
      </c>
    </row>
    <row r="40" spans="2:12" ht="13.5" thickBot="1" x14ac:dyDescent="0.25">
      <c r="B40" s="30" t="s">
        <v>68</v>
      </c>
      <c r="C40" s="57"/>
      <c r="D40" s="57"/>
      <c r="E40" s="58">
        <f>E38+E39</f>
        <v>308.18997144000002</v>
      </c>
      <c r="F40" s="59"/>
      <c r="G40" s="57"/>
      <c r="H40" s="57"/>
      <c r="I40" s="58">
        <f>I38+I39</f>
        <v>308.70188856000004</v>
      </c>
      <c r="J40" s="59"/>
      <c r="K40" s="60">
        <f t="shared" si="2"/>
        <v>0.51191712000002099</v>
      </c>
      <c r="L40" s="61">
        <f t="shared" si="3"/>
        <v>1.6610440554185378E-3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5"/>
  <sheetViews>
    <sheetView showGridLines="0" workbookViewId="0">
      <selection activeCell="A20" sqref="A20:XFD2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Rates!B68</f>
        <v>CNPI - Eastern Ontario Power</v>
      </c>
    </row>
    <row r="3" spans="2:12" ht="15.75" x14ac:dyDescent="0.25">
      <c r="B3" s="24" t="str">
        <f>Rates!B92</f>
        <v>General Service 50kW to 4,999kW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68620</v>
      </c>
    </row>
    <row r="8" spans="2:12" x14ac:dyDescent="0.2">
      <c r="B8" s="28" t="s">
        <v>72</v>
      </c>
      <c r="C8" s="29">
        <v>200</v>
      </c>
    </row>
    <row r="9" spans="2:12" ht="13.5" thickBot="1" x14ac:dyDescent="0.25">
      <c r="B9" s="30" t="s">
        <v>73</v>
      </c>
      <c r="C9" s="31">
        <f>IF(C8=0,"n/a",C7/(C8*24*365/12))</f>
        <v>0.47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Rates!E93</f>
        <v>137.72999999999999</v>
      </c>
      <c r="D14" s="37">
        <f>C6</f>
        <v>1</v>
      </c>
      <c r="E14" s="36">
        <f>C14*D14</f>
        <v>137.72999999999999</v>
      </c>
      <c r="F14" s="45"/>
      <c r="G14" s="36">
        <f>Rates!I28</f>
        <v>142.47</v>
      </c>
      <c r="H14" s="37">
        <f>D14</f>
        <v>1</v>
      </c>
      <c r="I14" s="36">
        <f>G14*H14</f>
        <v>142.47</v>
      </c>
      <c r="J14" s="45"/>
      <c r="K14" s="36">
        <f>I14-E14</f>
        <v>4.7400000000000091</v>
      </c>
      <c r="L14" s="47">
        <f>IF((E14)=0," ",K14/E14)</f>
        <v>3.4415160095839753E-2</v>
      </c>
    </row>
    <row r="15" spans="2:12" x14ac:dyDescent="0.2">
      <c r="B15" s="44" t="str">
        <f>Rates!B7</f>
        <v>Distribution Volumetric Rate</v>
      </c>
      <c r="C15" s="25">
        <f>Rates!E94</f>
        <v>7.3987999999999996</v>
      </c>
      <c r="D15" s="38">
        <f>C8</f>
        <v>200</v>
      </c>
      <c r="E15" s="36">
        <f t="shared" ref="E15" si="0">C15*D15</f>
        <v>1479.76</v>
      </c>
      <c r="F15" s="45"/>
      <c r="G15" s="25">
        <f>Rates!I29</f>
        <v>6.8696999999999999</v>
      </c>
      <c r="H15" s="38">
        <f>D15</f>
        <v>200</v>
      </c>
      <c r="I15" s="36">
        <f t="shared" ref="I15" si="1">G15*H15</f>
        <v>1373.94</v>
      </c>
      <c r="J15" s="45"/>
      <c r="K15" s="36">
        <f t="shared" ref="K15:K35" si="2">I15-E15</f>
        <v>-105.81999999999994</v>
      </c>
      <c r="L15" s="47">
        <f t="shared" ref="L15:L35" si="3">IF((E15)=0," ",K15/E15)</f>
        <v>-7.1511596475104022E-2</v>
      </c>
    </row>
    <row r="16" spans="2:12" x14ac:dyDescent="0.2">
      <c r="B16" s="49" t="s">
        <v>40</v>
      </c>
      <c r="C16" s="50"/>
      <c r="D16" s="51"/>
      <c r="E16" s="52">
        <f>SUM(E14:E15)</f>
        <v>1617.49</v>
      </c>
      <c r="F16" s="53"/>
      <c r="G16" s="50"/>
      <c r="H16" s="51"/>
      <c r="I16" s="52">
        <f>SUM(I14:I15)</f>
        <v>1516.41</v>
      </c>
      <c r="J16" s="53"/>
      <c r="K16" s="54">
        <f t="shared" si="2"/>
        <v>-101.07999999999993</v>
      </c>
      <c r="L16" s="55">
        <f t="shared" si="3"/>
        <v>-6.2491885575799495E-2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3719.204000000002</v>
      </c>
      <c r="E17" s="36">
        <f t="shared" ref="E17:E20" si="4">C17*D17</f>
        <v>312.04121560000016</v>
      </c>
      <c r="F17" s="45"/>
      <c r="G17" s="25">
        <f>Rates!I221</f>
        <v>8.3900000000000002E-2</v>
      </c>
      <c r="H17" s="40">
        <f>(C5-1)*C7</f>
        <v>3719.204000000002</v>
      </c>
      <c r="I17" s="36">
        <f t="shared" ref="I17:I20" si="5">G17*H17</f>
        <v>312.04121560000016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Rates!E96</f>
        <v>-0.31369999999999998</v>
      </c>
      <c r="D18" s="37">
        <f>C8</f>
        <v>200</v>
      </c>
      <c r="E18" s="36">
        <f t="shared" si="4"/>
        <v>-62.739999999999995</v>
      </c>
      <c r="F18" s="45"/>
      <c r="G18" s="25">
        <f>Rates!I96</f>
        <v>-0.31369999999999998</v>
      </c>
      <c r="H18" s="37">
        <f t="shared" ref="H18:H20" si="6">D18</f>
        <v>200</v>
      </c>
      <c r="I18" s="36">
        <f t="shared" si="5"/>
        <v>-62.739999999999995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Rates!E97</f>
        <v>0.77270000000000005</v>
      </c>
      <c r="D19" s="37">
        <f>C8</f>
        <v>200</v>
      </c>
      <c r="E19" s="36">
        <f t="shared" si="4"/>
        <v>154.54000000000002</v>
      </c>
      <c r="F19" s="45"/>
      <c r="G19" s="25">
        <f>Rates!I97</f>
        <v>0.77270000000000005</v>
      </c>
      <c r="H19" s="37">
        <f t="shared" si="6"/>
        <v>200</v>
      </c>
      <c r="I19" s="36">
        <f t="shared" si="5"/>
        <v>154.54000000000002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Rates!B10</f>
        <v>Low Voltage Service Rate</v>
      </c>
      <c r="C20" s="25">
        <f>Rates!E95</f>
        <v>7.3499999999999996E-2</v>
      </c>
      <c r="D20" s="37">
        <f>C8</f>
        <v>200</v>
      </c>
      <c r="E20" s="36">
        <f t="shared" si="4"/>
        <v>14.7</v>
      </c>
      <c r="F20" s="45"/>
      <c r="G20" s="25">
        <f>Rates!I95</f>
        <v>7.3499999999999996E-2</v>
      </c>
      <c r="H20" s="37">
        <f t="shared" si="6"/>
        <v>200</v>
      </c>
      <c r="I20" s="36">
        <f t="shared" si="5"/>
        <v>14.7</v>
      </c>
      <c r="J20" s="45"/>
      <c r="K20" s="36">
        <f t="shared" si="2"/>
        <v>0</v>
      </c>
      <c r="L20" s="47">
        <f t="shared" si="3"/>
        <v>0</v>
      </c>
    </row>
    <row r="21" spans="2:12" x14ac:dyDescent="0.2">
      <c r="B21" s="49" t="s">
        <v>64</v>
      </c>
      <c r="C21" s="50"/>
      <c r="D21" s="51"/>
      <c r="E21" s="52">
        <f>SUM(E16:E20)</f>
        <v>2036.0312156000002</v>
      </c>
      <c r="F21" s="53"/>
      <c r="G21" s="50"/>
      <c r="H21" s="51"/>
      <c r="I21" s="52">
        <f>SUM(I16:I20)</f>
        <v>1934.9512156000003</v>
      </c>
      <c r="J21" s="53"/>
      <c r="K21" s="54">
        <f t="shared" si="2"/>
        <v>-101.07999999999993</v>
      </c>
      <c r="L21" s="55">
        <f t="shared" si="3"/>
        <v>-4.9645604264575358E-2</v>
      </c>
    </row>
    <row r="22" spans="2:12" x14ac:dyDescent="0.2">
      <c r="B22" s="44" t="str">
        <f>Rates!B13</f>
        <v>Retail Transmission Rate - Network Service Rate</v>
      </c>
      <c r="C22" s="25">
        <f>Rates!E99</f>
        <v>2.4072</v>
      </c>
      <c r="D22" s="37">
        <f>C8</f>
        <v>200</v>
      </c>
      <c r="E22" s="36">
        <f>C22*D22</f>
        <v>481.44</v>
      </c>
      <c r="F22" s="45"/>
      <c r="G22" s="25">
        <f>Rates!I99</f>
        <v>2.5400999999999998</v>
      </c>
      <c r="H22" s="37">
        <f>D22</f>
        <v>200</v>
      </c>
      <c r="I22" s="36">
        <f>G22*H22</f>
        <v>508.02</v>
      </c>
      <c r="J22" s="45"/>
      <c r="K22" s="36">
        <f t="shared" si="2"/>
        <v>26.579999999999984</v>
      </c>
      <c r="L22" s="47">
        <f t="shared" si="3"/>
        <v>5.5209371884346929E-2</v>
      </c>
    </row>
    <row r="23" spans="2:12" x14ac:dyDescent="0.2">
      <c r="B23" s="44" t="str">
        <f>Rates!B14</f>
        <v>Retail Transmission Rate - Line and Transformation Connection Service Rate</v>
      </c>
      <c r="C23" s="25">
        <f>Rates!E100</f>
        <v>1.9064000000000001</v>
      </c>
      <c r="D23" s="37">
        <f>C8</f>
        <v>200</v>
      </c>
      <c r="E23" s="36">
        <f>C23*D23</f>
        <v>381.28000000000003</v>
      </c>
      <c r="F23" s="45"/>
      <c r="G23" s="25">
        <f>Rates!I34</f>
        <v>1.9351</v>
      </c>
      <c r="H23" s="37">
        <f>D23</f>
        <v>200</v>
      </c>
      <c r="I23" s="36">
        <f>G23*H23</f>
        <v>387.02</v>
      </c>
      <c r="J23" s="45"/>
      <c r="K23" s="36">
        <f t="shared" si="2"/>
        <v>5.7399999999999523</v>
      </c>
      <c r="L23" s="47">
        <f t="shared" si="3"/>
        <v>1.5054553084347335E-2</v>
      </c>
    </row>
    <row r="24" spans="2:12" x14ac:dyDescent="0.2">
      <c r="B24" s="49" t="s">
        <v>65</v>
      </c>
      <c r="C24" s="50"/>
      <c r="D24" s="51"/>
      <c r="E24" s="52">
        <f>SUM(E21:E23)</f>
        <v>2898.7512156000003</v>
      </c>
      <c r="F24" s="53"/>
      <c r="G24" s="50"/>
      <c r="H24" s="52"/>
      <c r="I24" s="52">
        <f>SUM(I21:I23)</f>
        <v>2829.9912156000005</v>
      </c>
      <c r="J24" s="53"/>
      <c r="K24" s="54">
        <f t="shared" si="2"/>
        <v>-68.759999999999764</v>
      </c>
      <c r="L24" s="55">
        <f t="shared" si="3"/>
        <v>-2.3720559263574959E-2</v>
      </c>
    </row>
    <row r="25" spans="2:12" x14ac:dyDescent="0.2">
      <c r="B25" s="44" t="str">
        <f>Rates!B199</f>
        <v>Wholesale Market Service Rate</v>
      </c>
      <c r="C25" s="25">
        <f>Rates!E199</f>
        <v>4.4000000000000003E-3</v>
      </c>
      <c r="D25" s="37">
        <f>C5*C7</f>
        <v>72339.203999999998</v>
      </c>
      <c r="E25" s="36">
        <f t="shared" ref="E25:E29" si="7">C25*D25</f>
        <v>318.29249759999999</v>
      </c>
      <c r="F25" s="45"/>
      <c r="G25" s="25">
        <f>Rates!I199</f>
        <v>4.4000000000000003E-3</v>
      </c>
      <c r="H25" s="37">
        <f>D25</f>
        <v>72339.203999999998</v>
      </c>
      <c r="I25" s="36">
        <f t="shared" ref="I25:I29" si="8">G25*H25</f>
        <v>318.29249759999999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Rates!B200</f>
        <v>Rural Rate Protection Charge</v>
      </c>
      <c r="C26" s="25">
        <f>Rates!E200</f>
        <v>1.1999999999999999E-3</v>
      </c>
      <c r="D26" s="37">
        <f>C5*C7</f>
        <v>72339.203999999998</v>
      </c>
      <c r="E26" s="36">
        <f t="shared" si="7"/>
        <v>86.807044799999986</v>
      </c>
      <c r="F26" s="45"/>
      <c r="G26" s="25">
        <f>Rates!I200</f>
        <v>1.1999999999999999E-3</v>
      </c>
      <c r="H26" s="37">
        <f t="shared" ref="H26:H27" si="9">D26</f>
        <v>72339.203999999998</v>
      </c>
      <c r="I26" s="36">
        <f t="shared" si="8"/>
        <v>86.807044799999986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Rates!B201</f>
        <v>Standard Supply Service - Administrative Charge (if applicable)</v>
      </c>
      <c r="C27" s="36">
        <f>Rates!E201</f>
        <v>0.25</v>
      </c>
      <c r="D27" s="37">
        <v>1</v>
      </c>
      <c r="E27" s="36">
        <f t="shared" si="7"/>
        <v>0.25</v>
      </c>
      <c r="F27" s="45"/>
      <c r="G27" s="36">
        <f>Rates!I201</f>
        <v>0.25</v>
      </c>
      <c r="H27" s="37">
        <f t="shared" si="9"/>
        <v>1</v>
      </c>
      <c r="I27" s="36">
        <f t="shared" si="8"/>
        <v>0.25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Rates!B204</f>
        <v>Debt Retirement Charge</v>
      </c>
      <c r="C28" s="25">
        <f>Rates!E206</f>
        <v>5.1000000000000004E-3</v>
      </c>
      <c r="D28" s="37">
        <f>C7</f>
        <v>68620</v>
      </c>
      <c r="E28" s="36">
        <f t="shared" si="7"/>
        <v>349.96200000000005</v>
      </c>
      <c r="F28" s="45"/>
      <c r="G28" s="25">
        <f>Rates!I206</f>
        <v>5.1000000000000004E-3</v>
      </c>
      <c r="H28" s="37">
        <f>D28</f>
        <v>68620</v>
      </c>
      <c r="I28" s="36">
        <f t="shared" si="8"/>
        <v>349.96200000000005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Rates!B221</f>
        <v>Energy Price</v>
      </c>
      <c r="C29" s="25">
        <f>Rates!E221</f>
        <v>8.3900000000000002E-2</v>
      </c>
      <c r="D29" s="37">
        <f>C7</f>
        <v>68620</v>
      </c>
      <c r="E29" s="36">
        <f t="shared" si="7"/>
        <v>5757.2179999999998</v>
      </c>
      <c r="F29" s="45"/>
      <c r="G29" s="25">
        <f>Rates!I221</f>
        <v>8.3900000000000002E-2</v>
      </c>
      <c r="H29" s="37">
        <f>D29</f>
        <v>68620</v>
      </c>
      <c r="I29" s="36">
        <f t="shared" si="8"/>
        <v>5757.2179999999998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56"/>
      <c r="C30" s="51"/>
      <c r="D30" s="51"/>
      <c r="E30" s="51"/>
      <c r="F30" s="53"/>
      <c r="G30" s="51"/>
      <c r="H30" s="51"/>
      <c r="I30" s="51"/>
      <c r="J30" s="53"/>
      <c r="K30" s="54"/>
      <c r="L30" s="55"/>
    </row>
    <row r="31" spans="2:12" x14ac:dyDescent="0.2">
      <c r="B31" s="23" t="s">
        <v>66</v>
      </c>
      <c r="C31" s="35"/>
      <c r="D31" s="35"/>
      <c r="E31" s="39">
        <f>SUM(E24:E29)</f>
        <v>9411.2807580000008</v>
      </c>
      <c r="F31" s="45"/>
      <c r="G31" s="35"/>
      <c r="H31" s="39"/>
      <c r="I31" s="39">
        <f>SUM(I24:I29)</f>
        <v>9342.5207580000006</v>
      </c>
      <c r="J31" s="45"/>
      <c r="K31" s="36">
        <f t="shared" si="2"/>
        <v>-68.760000000000218</v>
      </c>
      <c r="L31" s="47">
        <f t="shared" si="3"/>
        <v>-7.3061256770552939E-3</v>
      </c>
    </row>
    <row r="32" spans="2:12" x14ac:dyDescent="0.2">
      <c r="B32" s="44" t="str">
        <f>Rates!B223</f>
        <v>HST</v>
      </c>
      <c r="C32" s="41">
        <f>Rates!E223</f>
        <v>0.13</v>
      </c>
      <c r="D32" s="35"/>
      <c r="E32" s="42">
        <f>E31*C32</f>
        <v>1223.4664985400002</v>
      </c>
      <c r="F32" s="45"/>
      <c r="G32" s="41">
        <f>Rates!I223</f>
        <v>0.13</v>
      </c>
      <c r="H32" s="35"/>
      <c r="I32" s="42">
        <f>I31*G32</f>
        <v>1214.5276985400001</v>
      </c>
      <c r="J32" s="45"/>
      <c r="K32" s="36">
        <f t="shared" si="2"/>
        <v>-8.9388000000001284</v>
      </c>
      <c r="L32" s="47">
        <f t="shared" si="3"/>
        <v>-7.3061256770553754E-3</v>
      </c>
    </row>
    <row r="33" spans="2:12" x14ac:dyDescent="0.2">
      <c r="B33" s="23" t="s">
        <v>67</v>
      </c>
      <c r="C33" s="35"/>
      <c r="D33" s="35"/>
      <c r="E33" s="42">
        <f>E31+E32</f>
        <v>10634.74725654</v>
      </c>
      <c r="F33" s="45"/>
      <c r="G33" s="35"/>
      <c r="H33" s="35"/>
      <c r="I33" s="42">
        <f>I31+I32</f>
        <v>10557.04845654</v>
      </c>
      <c r="J33" s="45"/>
      <c r="K33" s="36">
        <f t="shared" si="2"/>
        <v>-77.698800000000119</v>
      </c>
      <c r="L33" s="47">
        <f t="shared" si="3"/>
        <v>-7.3061256770552826E-3</v>
      </c>
    </row>
    <row r="34" spans="2:12" x14ac:dyDescent="0.2">
      <c r="B34" s="44" t="str">
        <f>Rates!B225</f>
        <v>OCEB</v>
      </c>
      <c r="C34" s="41">
        <f>Rates!E225</f>
        <v>-0.1</v>
      </c>
      <c r="D34" s="35"/>
      <c r="E34" s="42">
        <f>E33*C34</f>
        <v>-1063.4747256540002</v>
      </c>
      <c r="F34" s="45"/>
      <c r="G34" s="41">
        <f>Rates!I225</f>
        <v>-0.1</v>
      </c>
      <c r="H34" s="35"/>
      <c r="I34" s="42">
        <f>I33*G34</f>
        <v>-1055.7048456540001</v>
      </c>
      <c r="J34" s="45"/>
      <c r="K34" s="36">
        <f t="shared" si="2"/>
        <v>7.7698800000000574</v>
      </c>
      <c r="L34" s="47">
        <f t="shared" si="3"/>
        <v>-7.3061256770553243E-3</v>
      </c>
    </row>
    <row r="35" spans="2:12" ht="13.5" thickBot="1" x14ac:dyDescent="0.25">
      <c r="B35" s="30" t="s">
        <v>68</v>
      </c>
      <c r="C35" s="57"/>
      <c r="D35" s="57"/>
      <c r="E35" s="58">
        <f>E33+E34</f>
        <v>9571.2725308860008</v>
      </c>
      <c r="F35" s="59"/>
      <c r="G35" s="57"/>
      <c r="H35" s="57"/>
      <c r="I35" s="58">
        <f>I33+I34</f>
        <v>9501.3436108860005</v>
      </c>
      <c r="J35" s="59"/>
      <c r="K35" s="60">
        <f t="shared" si="2"/>
        <v>-69.928920000000289</v>
      </c>
      <c r="L35" s="61">
        <f t="shared" si="3"/>
        <v>-7.3061256770553008E-3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4"/>
  <sheetViews>
    <sheetView showGridLines="0" workbookViewId="0">
      <selection activeCell="K39" sqref="K39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Rates!B68</f>
        <v>CNPI - Eastern Ontario Power</v>
      </c>
    </row>
    <row r="3" spans="2:12" ht="15.75" x14ac:dyDescent="0.25">
      <c r="B3" s="24" t="str">
        <f>Rates!B102</f>
        <v xml:space="preserve">Unmetered Scattered Load 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800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Rates!E103</f>
        <v>60.47</v>
      </c>
      <c r="D14" s="37">
        <f>C6</f>
        <v>1</v>
      </c>
      <c r="E14" s="36">
        <f>C14*D14</f>
        <v>60.47</v>
      </c>
      <c r="F14" s="45"/>
      <c r="G14" s="36">
        <f>Rates!I103</f>
        <v>51.1</v>
      </c>
      <c r="H14" s="37">
        <f>D14</f>
        <v>1</v>
      </c>
      <c r="I14" s="36">
        <f>G14*H14</f>
        <v>51.1</v>
      </c>
      <c r="J14" s="45"/>
      <c r="K14" s="36">
        <f>I14-E14</f>
        <v>-9.3699999999999974</v>
      </c>
      <c r="L14" s="47">
        <f>IF((E14)=0," ",K14/E14)</f>
        <v>-0.1549528691913345</v>
      </c>
    </row>
    <row r="15" spans="2:12" x14ac:dyDescent="0.2">
      <c r="B15" s="44" t="str">
        <f>Rates!B7</f>
        <v>Distribution Volumetric Rate</v>
      </c>
      <c r="C15" s="25">
        <f>Rates!E104</f>
        <v>0.04</v>
      </c>
      <c r="D15" s="38">
        <f>C7</f>
        <v>800</v>
      </c>
      <c r="E15" s="36">
        <f t="shared" ref="E15" si="0">C15*D15</f>
        <v>32</v>
      </c>
      <c r="F15" s="45"/>
      <c r="G15" s="25">
        <f>Rates!I104</f>
        <v>3.2199999999999999E-2</v>
      </c>
      <c r="H15" s="38">
        <f>D15</f>
        <v>800</v>
      </c>
      <c r="I15" s="36">
        <f t="shared" ref="I15" si="1">G15*H15</f>
        <v>25.759999999999998</v>
      </c>
      <c r="J15" s="45"/>
      <c r="K15" s="36">
        <f t="shared" ref="K15:K34" si="2">I15-E15</f>
        <v>-6.240000000000002</v>
      </c>
      <c r="L15" s="47">
        <f t="shared" ref="L15:L34" si="3">IF((E15)=0," ",K15/E15)</f>
        <v>-0.19500000000000006</v>
      </c>
    </row>
    <row r="16" spans="2:12" x14ac:dyDescent="0.2">
      <c r="B16" s="49" t="s">
        <v>40</v>
      </c>
      <c r="C16" s="50"/>
      <c r="D16" s="51"/>
      <c r="E16" s="52">
        <f>SUM(E14:E15)</f>
        <v>92.47</v>
      </c>
      <c r="F16" s="53"/>
      <c r="G16" s="50"/>
      <c r="H16" s="51"/>
      <c r="I16" s="52">
        <f>SUM(I14:I15)</f>
        <v>76.86</v>
      </c>
      <c r="J16" s="53"/>
      <c r="K16" s="54">
        <f t="shared" si="2"/>
        <v>-15.61</v>
      </c>
      <c r="L16" s="55">
        <f t="shared" si="3"/>
        <v>-0.16881150643451931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43.360000000000021</v>
      </c>
      <c r="E17" s="36">
        <f t="shared" ref="E17:E19" si="4">C17*D17</f>
        <v>3.637904000000002</v>
      </c>
      <c r="F17" s="45"/>
      <c r="G17" s="25">
        <f>Rates!I221</f>
        <v>8.3900000000000002E-2</v>
      </c>
      <c r="H17" s="40">
        <f>(C5-1)*C7</f>
        <v>43.360000000000021</v>
      </c>
      <c r="I17" s="36">
        <f t="shared" ref="I17:I19" si="5">G17*H17</f>
        <v>3.637904000000002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Rates!E106</f>
        <v>-8.9999999999999998E-4</v>
      </c>
      <c r="D18" s="37">
        <f>C7</f>
        <v>800</v>
      </c>
      <c r="E18" s="36">
        <f t="shared" si="4"/>
        <v>-0.72</v>
      </c>
      <c r="F18" s="45"/>
      <c r="G18" s="25">
        <f>Rates!I106</f>
        <v>-8.9999999999999998E-4</v>
      </c>
      <c r="H18" s="37">
        <f t="shared" ref="H18:H19" si="6">D18</f>
        <v>800</v>
      </c>
      <c r="I18" s="36">
        <f t="shared" si="5"/>
        <v>-0.72</v>
      </c>
      <c r="J18" s="45"/>
      <c r="K18" s="36">
        <f t="shared" si="2"/>
        <v>0</v>
      </c>
      <c r="L18" s="47">
        <f t="shared" si="3"/>
        <v>0</v>
      </c>
    </row>
    <row r="19" spans="2:12" x14ac:dyDescent="0.2">
      <c r="B19" s="44" t="str">
        <f>Rates!B10</f>
        <v>Low Voltage Service Rate</v>
      </c>
      <c r="C19" s="25">
        <f>Rates!E105</f>
        <v>2.0000000000000001E-4</v>
      </c>
      <c r="D19" s="37">
        <f>C7</f>
        <v>800</v>
      </c>
      <c r="E19" s="36">
        <f t="shared" si="4"/>
        <v>0.16</v>
      </c>
      <c r="F19" s="45"/>
      <c r="G19" s="25">
        <f>Rates!I105</f>
        <v>2.0000000000000001E-4</v>
      </c>
      <c r="H19" s="37">
        <f t="shared" si="6"/>
        <v>800</v>
      </c>
      <c r="I19" s="36">
        <f t="shared" si="5"/>
        <v>0.16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9" t="s">
        <v>64</v>
      </c>
      <c r="C20" s="50"/>
      <c r="D20" s="51"/>
      <c r="E20" s="52">
        <f>SUM(E16:E19)</f>
        <v>95.547904000000003</v>
      </c>
      <c r="F20" s="53"/>
      <c r="G20" s="50"/>
      <c r="H20" s="51"/>
      <c r="I20" s="52">
        <f>SUM(I16:I19)</f>
        <v>79.937904000000003</v>
      </c>
      <c r="J20" s="53"/>
      <c r="K20" s="54">
        <f t="shared" si="2"/>
        <v>-15.61</v>
      </c>
      <c r="L20" s="55">
        <f t="shared" si="3"/>
        <v>-0.16337354715808311</v>
      </c>
    </row>
    <row r="21" spans="2:12" x14ac:dyDescent="0.2">
      <c r="B21" s="44" t="str">
        <f>Rates!B13</f>
        <v>Retail Transmission Rate - Network Service Rate</v>
      </c>
      <c r="C21" s="25">
        <f>Rates!E107</f>
        <v>5.8999999999999999E-3</v>
      </c>
      <c r="D21" s="37">
        <f>C7*C5</f>
        <v>843.36</v>
      </c>
      <c r="E21" s="36">
        <f>C21*D21</f>
        <v>4.9758240000000002</v>
      </c>
      <c r="F21" s="45"/>
      <c r="G21" s="25">
        <f>Rates!I107</f>
        <v>6.1999999999999998E-3</v>
      </c>
      <c r="H21" s="37">
        <f>D21</f>
        <v>843.36</v>
      </c>
      <c r="I21" s="36">
        <f>G21*H21</f>
        <v>5.2288319999999997</v>
      </c>
      <c r="J21" s="45"/>
      <c r="K21" s="36">
        <f t="shared" si="2"/>
        <v>0.25300799999999946</v>
      </c>
      <c r="L21" s="47">
        <f t="shared" si="3"/>
        <v>5.0847457627118529E-2</v>
      </c>
    </row>
    <row r="22" spans="2:12" x14ac:dyDescent="0.2">
      <c r="B22" s="44" t="str">
        <f>Rates!B14</f>
        <v>Retail Transmission Rate - Line and Transformation Connection Service Rate</v>
      </c>
      <c r="C22" s="25">
        <f>Rates!E108</f>
        <v>4.7000000000000002E-3</v>
      </c>
      <c r="D22" s="37">
        <f>C7*C5</f>
        <v>843.36</v>
      </c>
      <c r="E22" s="36">
        <f>C22*D22</f>
        <v>3.9637920000000002</v>
      </c>
      <c r="F22" s="45"/>
      <c r="G22" s="25">
        <f>Rates!I108</f>
        <v>4.7999999999999996E-3</v>
      </c>
      <c r="H22" s="37">
        <f>D22</f>
        <v>843.36</v>
      </c>
      <c r="I22" s="36">
        <f>G22*H22</f>
        <v>4.0481279999999993</v>
      </c>
      <c r="J22" s="45"/>
      <c r="K22" s="36">
        <f t="shared" si="2"/>
        <v>8.4335999999999078E-2</v>
      </c>
      <c r="L22" s="47">
        <f t="shared" si="3"/>
        <v>2.1276595744680618E-2</v>
      </c>
    </row>
    <row r="23" spans="2:12" x14ac:dyDescent="0.2">
      <c r="B23" s="49" t="s">
        <v>65</v>
      </c>
      <c r="C23" s="50"/>
      <c r="D23" s="51"/>
      <c r="E23" s="52">
        <f>SUM(E20:E22)</f>
        <v>104.48752</v>
      </c>
      <c r="F23" s="53"/>
      <c r="G23" s="50"/>
      <c r="H23" s="52"/>
      <c r="I23" s="52">
        <f>SUM(I20:I22)</f>
        <v>89.214864000000006</v>
      </c>
      <c r="J23" s="53"/>
      <c r="K23" s="54">
        <f t="shared" si="2"/>
        <v>-15.272655999999998</v>
      </c>
      <c r="L23" s="55">
        <f t="shared" si="3"/>
        <v>-0.14616727433094401</v>
      </c>
    </row>
    <row r="24" spans="2:12" x14ac:dyDescent="0.2">
      <c r="B24" s="44" t="str">
        <f>Rates!B199</f>
        <v>Wholesale Market Service Rate</v>
      </c>
      <c r="C24" s="25">
        <f>Rates!E199</f>
        <v>4.4000000000000003E-3</v>
      </c>
      <c r="D24" s="37">
        <f>C5*C7</f>
        <v>843.36</v>
      </c>
      <c r="E24" s="36">
        <f t="shared" ref="E24:E28" si="7">C24*D24</f>
        <v>3.7107840000000003</v>
      </c>
      <c r="F24" s="45"/>
      <c r="G24" s="25">
        <f>Rates!I199</f>
        <v>4.4000000000000003E-3</v>
      </c>
      <c r="H24" s="37">
        <f>D24</f>
        <v>843.36</v>
      </c>
      <c r="I24" s="36">
        <f t="shared" ref="I24:I28" si="8">G24*H24</f>
        <v>3.7107840000000003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4" t="str">
        <f>Rates!B200</f>
        <v>Rural Rate Protection Charge</v>
      </c>
      <c r="C25" s="25">
        <f>Rates!E200</f>
        <v>1.1999999999999999E-3</v>
      </c>
      <c r="D25" s="37">
        <f>C5*C7</f>
        <v>843.36</v>
      </c>
      <c r="E25" s="36">
        <f t="shared" si="7"/>
        <v>1.0120319999999998</v>
      </c>
      <c r="F25" s="45"/>
      <c r="G25" s="25">
        <f>Rates!I200</f>
        <v>1.1999999999999999E-3</v>
      </c>
      <c r="H25" s="37">
        <f t="shared" ref="H25:H26" si="9">D25</f>
        <v>843.36</v>
      </c>
      <c r="I25" s="36">
        <f t="shared" si="8"/>
        <v>1.0120319999999998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Rates!B201</f>
        <v>Standard Supply Service - Administrative Charge (if applicable)</v>
      </c>
      <c r="C26" s="36">
        <f>Rates!E201</f>
        <v>0.25</v>
      </c>
      <c r="D26" s="37">
        <v>1</v>
      </c>
      <c r="E26" s="36">
        <f t="shared" si="7"/>
        <v>0.25</v>
      </c>
      <c r="F26" s="45"/>
      <c r="G26" s="36">
        <f>Rates!I201</f>
        <v>0.25</v>
      </c>
      <c r="H26" s="37">
        <f t="shared" si="9"/>
        <v>1</v>
      </c>
      <c r="I26" s="36">
        <f t="shared" si="8"/>
        <v>0.25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Rates!B204</f>
        <v>Debt Retirement Charge</v>
      </c>
      <c r="C27" s="25">
        <f>Rates!E206</f>
        <v>5.1000000000000004E-3</v>
      </c>
      <c r="D27" s="37">
        <f>C7</f>
        <v>800</v>
      </c>
      <c r="E27" s="36">
        <f t="shared" si="7"/>
        <v>4.08</v>
      </c>
      <c r="F27" s="45"/>
      <c r="G27" s="25">
        <f>Rates!I206</f>
        <v>5.1000000000000004E-3</v>
      </c>
      <c r="H27" s="37">
        <f>D27</f>
        <v>800</v>
      </c>
      <c r="I27" s="36">
        <f t="shared" si="8"/>
        <v>4.08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Rates!B221</f>
        <v>Energy Price</v>
      </c>
      <c r="C28" s="25">
        <f>Rates!E221</f>
        <v>8.3900000000000002E-2</v>
      </c>
      <c r="D28" s="37">
        <f>C7</f>
        <v>800</v>
      </c>
      <c r="E28" s="36">
        <f t="shared" si="7"/>
        <v>67.12</v>
      </c>
      <c r="F28" s="45"/>
      <c r="G28" s="25">
        <f>Rates!I221</f>
        <v>8.3900000000000002E-2</v>
      </c>
      <c r="H28" s="37">
        <f>D28</f>
        <v>800</v>
      </c>
      <c r="I28" s="36">
        <f t="shared" si="8"/>
        <v>67.12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56"/>
      <c r="C29" s="51"/>
      <c r="D29" s="51"/>
      <c r="E29" s="51"/>
      <c r="F29" s="53"/>
      <c r="G29" s="51"/>
      <c r="H29" s="51"/>
      <c r="I29" s="51"/>
      <c r="J29" s="53"/>
      <c r="K29" s="54"/>
      <c r="L29" s="55"/>
    </row>
    <row r="30" spans="2:12" x14ac:dyDescent="0.2">
      <c r="B30" s="23" t="s">
        <v>66</v>
      </c>
      <c r="C30" s="35"/>
      <c r="D30" s="35"/>
      <c r="E30" s="39">
        <f>SUM(E23:E28)</f>
        <v>180.66033600000003</v>
      </c>
      <c r="F30" s="45"/>
      <c r="G30" s="35"/>
      <c r="H30" s="39"/>
      <c r="I30" s="39">
        <f>SUM(I23:I28)</f>
        <v>165.38768000000002</v>
      </c>
      <c r="J30" s="45"/>
      <c r="K30" s="36">
        <f t="shared" si="2"/>
        <v>-15.272656000000012</v>
      </c>
      <c r="L30" s="47">
        <f t="shared" si="3"/>
        <v>-8.4537958569943158E-2</v>
      </c>
    </row>
    <row r="31" spans="2:12" x14ac:dyDescent="0.2">
      <c r="B31" s="44" t="str">
        <f>Rates!B223</f>
        <v>HST</v>
      </c>
      <c r="C31" s="41">
        <f>Rates!E223</f>
        <v>0.13</v>
      </c>
      <c r="D31" s="35"/>
      <c r="E31" s="42">
        <f>E30*C31</f>
        <v>23.485843680000006</v>
      </c>
      <c r="F31" s="45"/>
      <c r="G31" s="41">
        <f>Rates!I223</f>
        <v>0.13</v>
      </c>
      <c r="H31" s="35"/>
      <c r="I31" s="42">
        <f>I30*G31</f>
        <v>21.500398400000002</v>
      </c>
      <c r="J31" s="45"/>
      <c r="K31" s="36">
        <f t="shared" si="2"/>
        <v>-1.985445280000004</v>
      </c>
      <c r="L31" s="47">
        <f t="shared" si="3"/>
        <v>-8.4537958569943256E-2</v>
      </c>
    </row>
    <row r="32" spans="2:12" x14ac:dyDescent="0.2">
      <c r="B32" s="23" t="s">
        <v>67</v>
      </c>
      <c r="C32" s="35"/>
      <c r="D32" s="35"/>
      <c r="E32" s="42">
        <f>E30+E31</f>
        <v>204.14617968000005</v>
      </c>
      <c r="F32" s="45"/>
      <c r="G32" s="35"/>
      <c r="H32" s="35"/>
      <c r="I32" s="42">
        <f>I30+I31</f>
        <v>186.88807840000001</v>
      </c>
      <c r="J32" s="45"/>
      <c r="K32" s="36">
        <f t="shared" si="2"/>
        <v>-17.258101280000034</v>
      </c>
      <c r="L32" s="47">
        <f t="shared" si="3"/>
        <v>-8.4537958569943242E-2</v>
      </c>
    </row>
    <row r="33" spans="2:12" x14ac:dyDescent="0.2">
      <c r="B33" s="44" t="str">
        <f>Rates!B225</f>
        <v>OCEB</v>
      </c>
      <c r="C33" s="41">
        <f>Rates!E225</f>
        <v>-0.1</v>
      </c>
      <c r="D33" s="35"/>
      <c r="E33" s="42">
        <f>E32*C33</f>
        <v>-20.414617968000005</v>
      </c>
      <c r="F33" s="45"/>
      <c r="G33" s="41">
        <f>Rates!I225</f>
        <v>-0.1</v>
      </c>
      <c r="H33" s="35"/>
      <c r="I33" s="42">
        <f>I32*G33</f>
        <v>-18.688807840000003</v>
      </c>
      <c r="J33" s="45"/>
      <c r="K33" s="36">
        <f t="shared" si="2"/>
        <v>1.7258101280000027</v>
      </c>
      <c r="L33" s="47">
        <f t="shared" si="3"/>
        <v>-8.4537958569943214E-2</v>
      </c>
    </row>
    <row r="34" spans="2:12" ht="13.5" thickBot="1" x14ac:dyDescent="0.25">
      <c r="B34" s="30" t="s">
        <v>68</v>
      </c>
      <c r="C34" s="57"/>
      <c r="D34" s="57"/>
      <c r="E34" s="58">
        <f>E32+E33</f>
        <v>183.73156171200003</v>
      </c>
      <c r="F34" s="59"/>
      <c r="G34" s="57"/>
      <c r="H34" s="57"/>
      <c r="I34" s="58">
        <f>I32+I33</f>
        <v>168.19927056</v>
      </c>
      <c r="J34" s="59"/>
      <c r="K34" s="60">
        <f t="shared" si="2"/>
        <v>-15.532291152000028</v>
      </c>
      <c r="L34" s="61">
        <f t="shared" si="3"/>
        <v>-8.4537958569943242E-2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4"/>
  <sheetViews>
    <sheetView showGridLines="0" workbookViewId="0">
      <selection activeCell="H18" sqref="H18:H2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Rates!B68</f>
        <v>CNPI - Eastern Ontario Power</v>
      </c>
    </row>
    <row r="3" spans="2:12" ht="15.75" x14ac:dyDescent="0.25">
      <c r="B3" s="24" t="str">
        <f>Rates!B110</f>
        <v xml:space="preserve">Sentinel Lighting 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60</v>
      </c>
    </row>
    <row r="8" spans="2:12" x14ac:dyDescent="0.2">
      <c r="B8" s="28" t="s">
        <v>72</v>
      </c>
      <c r="C8" s="62">
        <v>0.2</v>
      </c>
    </row>
    <row r="9" spans="2:12" ht="13.5" thickBot="1" x14ac:dyDescent="0.25">
      <c r="B9" s="30" t="s">
        <v>73</v>
      </c>
      <c r="C9" s="31">
        <f>IF(C8=0,"n/a",C7/(C8*24*365/12))</f>
        <v>0.41095890410958896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Rates!E111</f>
        <v>5</v>
      </c>
      <c r="D14" s="37">
        <f>C6</f>
        <v>1</v>
      </c>
      <c r="E14" s="36">
        <f>C14*D14</f>
        <v>5</v>
      </c>
      <c r="F14" s="45"/>
      <c r="G14" s="36">
        <f>Rates!I111</f>
        <v>5.04</v>
      </c>
      <c r="H14" s="37">
        <f>D14</f>
        <v>1</v>
      </c>
      <c r="I14" s="36">
        <f>G14*H14</f>
        <v>5.04</v>
      </c>
      <c r="J14" s="45"/>
      <c r="K14" s="36">
        <f>I14-E14</f>
        <v>4.0000000000000036E-2</v>
      </c>
      <c r="L14" s="47">
        <f>IF((E14)=0," ",K14/E14)</f>
        <v>8.0000000000000071E-3</v>
      </c>
    </row>
    <row r="15" spans="2:12" x14ac:dyDescent="0.2">
      <c r="B15" s="44" t="str">
        <f>Rates!B7</f>
        <v>Distribution Volumetric Rate</v>
      </c>
      <c r="C15" s="25">
        <f>Rates!E112</f>
        <v>5.0088999999999997</v>
      </c>
      <c r="D15" s="93">
        <f>C8</f>
        <v>0.2</v>
      </c>
      <c r="E15" s="36">
        <f t="shared" ref="E15" si="0">C15*D15</f>
        <v>1.0017799999999999</v>
      </c>
      <c r="F15" s="45"/>
      <c r="G15" s="25">
        <f>Rates!I112</f>
        <v>4.9728000000000003</v>
      </c>
      <c r="H15" s="93">
        <f>D15</f>
        <v>0.2</v>
      </c>
      <c r="I15" s="36">
        <f t="shared" ref="I15" si="1">G15*H15</f>
        <v>0.99456000000000011</v>
      </c>
      <c r="J15" s="45"/>
      <c r="K15" s="36">
        <f t="shared" ref="K15:K34" si="2">I15-E15</f>
        <v>-7.2199999999997821E-3</v>
      </c>
      <c r="L15" s="47">
        <f t="shared" ref="L15:L34" si="3">IF((E15)=0," ",K15/E15)</f>
        <v>-7.2071712352011251E-3</v>
      </c>
    </row>
    <row r="16" spans="2:12" x14ac:dyDescent="0.2">
      <c r="B16" s="49" t="s">
        <v>40</v>
      </c>
      <c r="C16" s="50"/>
      <c r="D16" s="51"/>
      <c r="E16" s="52">
        <f>SUM(E14:E15)</f>
        <v>6.0017800000000001</v>
      </c>
      <c r="F16" s="53"/>
      <c r="G16" s="50"/>
      <c r="H16" s="51"/>
      <c r="I16" s="52">
        <f>SUM(I14:I15)</f>
        <v>6.0345599999999999</v>
      </c>
      <c r="J16" s="53"/>
      <c r="K16" s="54">
        <f t="shared" si="2"/>
        <v>3.2779999999999809E-2</v>
      </c>
      <c r="L16" s="55">
        <f t="shared" si="3"/>
        <v>5.4617130251358448E-3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3.2520000000000016</v>
      </c>
      <c r="E17" s="36">
        <f t="shared" ref="E17:E19" si="4">C17*D17</f>
        <v>0.27284280000000016</v>
      </c>
      <c r="F17" s="45"/>
      <c r="G17" s="25">
        <f>Rates!I221</f>
        <v>8.3900000000000002E-2</v>
      </c>
      <c r="H17" s="40">
        <f>(C5-1)*C7</f>
        <v>3.2520000000000016</v>
      </c>
      <c r="I17" s="36">
        <f t="shared" ref="I17:I19" si="5">G17*H17</f>
        <v>0.27284280000000016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Rates!E114</f>
        <v>-0.40139999999999998</v>
      </c>
      <c r="D18" s="91">
        <f>C8</f>
        <v>0.2</v>
      </c>
      <c r="E18" s="36">
        <f t="shared" si="4"/>
        <v>-8.0280000000000004E-2</v>
      </c>
      <c r="F18" s="45"/>
      <c r="G18" s="25">
        <f>Rates!I114</f>
        <v>-0.40139999999999998</v>
      </c>
      <c r="H18" s="91">
        <f t="shared" ref="H18:H19" si="6">D18</f>
        <v>0.2</v>
      </c>
      <c r="I18" s="36">
        <f t="shared" si="5"/>
        <v>-8.0280000000000004E-2</v>
      </c>
      <c r="J18" s="45"/>
      <c r="K18" s="36">
        <f t="shared" si="2"/>
        <v>0</v>
      </c>
      <c r="L18" s="47">
        <f t="shared" si="3"/>
        <v>0</v>
      </c>
    </row>
    <row r="19" spans="2:12" x14ac:dyDescent="0.2">
      <c r="B19" s="44" t="str">
        <f>Rates!B10</f>
        <v>Low Voltage Service Rate</v>
      </c>
      <c r="C19" s="25">
        <f>Rates!E113</f>
        <v>5.4199999999999998E-2</v>
      </c>
      <c r="D19" s="91">
        <f>C8</f>
        <v>0.2</v>
      </c>
      <c r="E19" s="36">
        <f t="shared" si="4"/>
        <v>1.0840000000000001E-2</v>
      </c>
      <c r="F19" s="45"/>
      <c r="G19" s="25">
        <f>Rates!I113</f>
        <v>5.4199999999999998E-2</v>
      </c>
      <c r="H19" s="91">
        <f t="shared" si="6"/>
        <v>0.2</v>
      </c>
      <c r="I19" s="36">
        <f t="shared" si="5"/>
        <v>1.0840000000000001E-2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9" t="s">
        <v>64</v>
      </c>
      <c r="C20" s="50"/>
      <c r="D20" s="92"/>
      <c r="E20" s="52">
        <f>SUM(E16:E19)</f>
        <v>6.2051828000000002</v>
      </c>
      <c r="F20" s="53"/>
      <c r="G20" s="50"/>
      <c r="H20" s="92"/>
      <c r="I20" s="52">
        <f>SUM(I16:I19)</f>
        <v>6.2379628</v>
      </c>
      <c r="J20" s="53"/>
      <c r="K20" s="54">
        <f t="shared" si="2"/>
        <v>3.2779999999999809E-2</v>
      </c>
      <c r="L20" s="55">
        <f t="shared" si="3"/>
        <v>5.2826807938679598E-3</v>
      </c>
    </row>
    <row r="21" spans="2:12" x14ac:dyDescent="0.2">
      <c r="B21" s="44" t="str">
        <f>Rates!B13</f>
        <v>Retail Transmission Rate - Network Service Rate</v>
      </c>
      <c r="C21" s="25">
        <f>Rates!E115</f>
        <v>2.0514000000000001</v>
      </c>
      <c r="D21" s="91">
        <f>C8</f>
        <v>0.2</v>
      </c>
      <c r="E21" s="36">
        <f>C21*D21</f>
        <v>0.41028000000000003</v>
      </c>
      <c r="F21" s="45"/>
      <c r="G21" s="25">
        <f>Rates!I115</f>
        <v>2.1646999999999998</v>
      </c>
      <c r="H21" s="91">
        <f>D21</f>
        <v>0.2</v>
      </c>
      <c r="I21" s="36">
        <f>G21*H21</f>
        <v>0.43293999999999999</v>
      </c>
      <c r="J21" s="45"/>
      <c r="K21" s="36">
        <f t="shared" si="2"/>
        <v>2.2659999999999958E-2</v>
      </c>
      <c r="L21" s="47">
        <f t="shared" si="3"/>
        <v>5.5230574241980981E-2</v>
      </c>
    </row>
    <row r="22" spans="2:12" x14ac:dyDescent="0.2">
      <c r="B22" s="44" t="str">
        <f>Rates!B14</f>
        <v>Retail Transmission Rate - Line and Transformation Connection Service Rate</v>
      </c>
      <c r="C22" s="25">
        <f>Rates!E116</f>
        <v>1.5559000000000001</v>
      </c>
      <c r="D22" s="91">
        <f>C8</f>
        <v>0.2</v>
      </c>
      <c r="E22" s="36">
        <f>C22*D22</f>
        <v>0.31118000000000001</v>
      </c>
      <c r="F22" s="45"/>
      <c r="G22" s="25">
        <f>Rates!I116</f>
        <v>1.5792999999999999</v>
      </c>
      <c r="H22" s="91">
        <f>D22</f>
        <v>0.2</v>
      </c>
      <c r="I22" s="36">
        <f>G22*H22</f>
        <v>0.31586000000000003</v>
      </c>
      <c r="J22" s="45"/>
      <c r="K22" s="36">
        <f t="shared" si="2"/>
        <v>4.6800000000000175E-3</v>
      </c>
      <c r="L22" s="47">
        <f t="shared" si="3"/>
        <v>1.5039526961887066E-2</v>
      </c>
    </row>
    <row r="23" spans="2:12" x14ac:dyDescent="0.2">
      <c r="B23" s="49" t="s">
        <v>65</v>
      </c>
      <c r="C23" s="50"/>
      <c r="D23" s="51"/>
      <c r="E23" s="52">
        <f>SUM(E20:E22)</f>
        <v>6.9266428000000007</v>
      </c>
      <c r="F23" s="53"/>
      <c r="G23" s="50"/>
      <c r="H23" s="52"/>
      <c r="I23" s="52">
        <f>SUM(I20:I22)</f>
        <v>6.9867628000000002</v>
      </c>
      <c r="J23" s="53"/>
      <c r="K23" s="54">
        <f t="shared" si="2"/>
        <v>6.0119999999999507E-2</v>
      </c>
      <c r="L23" s="55">
        <f t="shared" si="3"/>
        <v>8.6795294251350019E-3</v>
      </c>
    </row>
    <row r="24" spans="2:12" x14ac:dyDescent="0.2">
      <c r="B24" s="44" t="str">
        <f>Rates!B199</f>
        <v>Wholesale Market Service Rate</v>
      </c>
      <c r="C24" s="25">
        <f>Rates!E199</f>
        <v>4.4000000000000003E-3</v>
      </c>
      <c r="D24" s="37">
        <f>C5*C7</f>
        <v>63.252000000000002</v>
      </c>
      <c r="E24" s="36">
        <f t="shared" ref="E24:E28" si="7">C24*D24</f>
        <v>0.27830880000000002</v>
      </c>
      <c r="F24" s="45"/>
      <c r="G24" s="25">
        <f>Rates!I199</f>
        <v>4.4000000000000003E-3</v>
      </c>
      <c r="H24" s="37">
        <f>D24</f>
        <v>63.252000000000002</v>
      </c>
      <c r="I24" s="36">
        <f t="shared" ref="I24:I28" si="8">G24*H24</f>
        <v>0.27830880000000002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4" t="str">
        <f>Rates!B200</f>
        <v>Rural Rate Protection Charge</v>
      </c>
      <c r="C25" s="25">
        <f>Rates!E200</f>
        <v>1.1999999999999999E-3</v>
      </c>
      <c r="D25" s="37">
        <f>C5*C7</f>
        <v>63.252000000000002</v>
      </c>
      <c r="E25" s="36">
        <f t="shared" si="7"/>
        <v>7.5902399999999995E-2</v>
      </c>
      <c r="F25" s="45"/>
      <c r="G25" s="25">
        <f>Rates!I200</f>
        <v>1.1999999999999999E-3</v>
      </c>
      <c r="H25" s="37">
        <f t="shared" ref="H25:H26" si="9">D25</f>
        <v>63.252000000000002</v>
      </c>
      <c r="I25" s="36">
        <f t="shared" si="8"/>
        <v>7.5902399999999995E-2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Rates!B201</f>
        <v>Standard Supply Service - Administrative Charge (if applicable)</v>
      </c>
      <c r="C26" s="36">
        <f>Rates!E201</f>
        <v>0.25</v>
      </c>
      <c r="D26" s="37">
        <v>1</v>
      </c>
      <c r="E26" s="36">
        <f t="shared" si="7"/>
        <v>0.25</v>
      </c>
      <c r="F26" s="45"/>
      <c r="G26" s="36">
        <f>Rates!I201</f>
        <v>0.25</v>
      </c>
      <c r="H26" s="37">
        <f t="shared" si="9"/>
        <v>1</v>
      </c>
      <c r="I26" s="36">
        <f t="shared" si="8"/>
        <v>0.25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Rates!B204</f>
        <v>Debt Retirement Charge</v>
      </c>
      <c r="C27" s="25">
        <f>Rates!E206</f>
        <v>5.1000000000000004E-3</v>
      </c>
      <c r="D27" s="37">
        <f>C7</f>
        <v>60</v>
      </c>
      <c r="E27" s="36">
        <f t="shared" si="7"/>
        <v>0.30600000000000005</v>
      </c>
      <c r="F27" s="45"/>
      <c r="G27" s="25">
        <f>Rates!I206</f>
        <v>5.1000000000000004E-3</v>
      </c>
      <c r="H27" s="37">
        <f>D27</f>
        <v>60</v>
      </c>
      <c r="I27" s="36">
        <f t="shared" si="8"/>
        <v>0.30600000000000005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Rates!B221</f>
        <v>Energy Price</v>
      </c>
      <c r="C28" s="25">
        <f>Rates!E221</f>
        <v>8.3900000000000002E-2</v>
      </c>
      <c r="D28" s="37">
        <f>C7*0.64</f>
        <v>38.4</v>
      </c>
      <c r="E28" s="36">
        <f t="shared" si="7"/>
        <v>3.2217600000000002</v>
      </c>
      <c r="F28" s="45"/>
      <c r="G28" s="25">
        <f>Rates!I221</f>
        <v>8.3900000000000002E-2</v>
      </c>
      <c r="H28" s="37">
        <f>D28</f>
        <v>38.4</v>
      </c>
      <c r="I28" s="36">
        <f t="shared" si="8"/>
        <v>3.2217600000000002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56"/>
      <c r="C29" s="51"/>
      <c r="D29" s="51"/>
      <c r="E29" s="51"/>
      <c r="F29" s="53"/>
      <c r="G29" s="51"/>
      <c r="H29" s="51"/>
      <c r="I29" s="51"/>
      <c r="J29" s="53"/>
      <c r="K29" s="54"/>
      <c r="L29" s="55"/>
    </row>
    <row r="30" spans="2:12" x14ac:dyDescent="0.2">
      <c r="B30" s="23" t="s">
        <v>66</v>
      </c>
      <c r="C30" s="35"/>
      <c r="D30" s="35"/>
      <c r="E30" s="39">
        <f>SUM(E23:E28)</f>
        <v>11.058614000000002</v>
      </c>
      <c r="F30" s="45"/>
      <c r="G30" s="35"/>
      <c r="H30" s="39"/>
      <c r="I30" s="39">
        <f>SUM(I23:I28)</f>
        <v>11.118734000000002</v>
      </c>
      <c r="J30" s="45"/>
      <c r="K30" s="36">
        <f t="shared" si="2"/>
        <v>6.0119999999999507E-2</v>
      </c>
      <c r="L30" s="47">
        <f t="shared" si="3"/>
        <v>5.4364859827822449E-3</v>
      </c>
    </row>
    <row r="31" spans="2:12" x14ac:dyDescent="0.2">
      <c r="B31" s="44" t="str">
        <f>Rates!B223</f>
        <v>HST</v>
      </c>
      <c r="C31" s="41">
        <f>Rates!E223</f>
        <v>0.13</v>
      </c>
      <c r="D31" s="35"/>
      <c r="E31" s="42">
        <f>E30*C31</f>
        <v>1.4376198200000003</v>
      </c>
      <c r="F31" s="45"/>
      <c r="G31" s="41">
        <f>Rates!I223</f>
        <v>0.13</v>
      </c>
      <c r="H31" s="35"/>
      <c r="I31" s="42">
        <f>I30*G31</f>
        <v>1.4454354200000004</v>
      </c>
      <c r="J31" s="45"/>
      <c r="K31" s="36">
        <f t="shared" si="2"/>
        <v>7.8156000000000336E-3</v>
      </c>
      <c r="L31" s="47">
        <f t="shared" si="3"/>
        <v>5.4364859827823126E-3</v>
      </c>
    </row>
    <row r="32" spans="2:12" x14ac:dyDescent="0.2">
      <c r="B32" s="23" t="s">
        <v>67</v>
      </c>
      <c r="C32" s="35"/>
      <c r="D32" s="35"/>
      <c r="E32" s="42">
        <f>E30+E31</f>
        <v>12.496233820000002</v>
      </c>
      <c r="F32" s="45"/>
      <c r="G32" s="35"/>
      <c r="H32" s="35"/>
      <c r="I32" s="42">
        <f>I30+I31</f>
        <v>12.564169420000002</v>
      </c>
      <c r="J32" s="45"/>
      <c r="K32" s="36">
        <f t="shared" si="2"/>
        <v>6.7935600000000207E-2</v>
      </c>
      <c r="L32" s="47">
        <f t="shared" si="3"/>
        <v>5.4364859827823065E-3</v>
      </c>
    </row>
    <row r="33" spans="2:12" x14ac:dyDescent="0.2">
      <c r="B33" s="44" t="str">
        <f>Rates!B225</f>
        <v>OCEB</v>
      </c>
      <c r="C33" s="41">
        <f>Rates!E225</f>
        <v>-0.1</v>
      </c>
      <c r="D33" s="35"/>
      <c r="E33" s="42">
        <f>E32*C33</f>
        <v>-1.2496233820000002</v>
      </c>
      <c r="F33" s="45"/>
      <c r="G33" s="41">
        <f>Rates!I225</f>
        <v>-0.1</v>
      </c>
      <c r="H33" s="35"/>
      <c r="I33" s="42">
        <f>I32*G33</f>
        <v>-1.2564169420000004</v>
      </c>
      <c r="J33" s="45"/>
      <c r="K33" s="36">
        <f t="shared" si="2"/>
        <v>-6.7935600000001983E-3</v>
      </c>
      <c r="L33" s="47">
        <f t="shared" si="3"/>
        <v>5.4364859827824488E-3</v>
      </c>
    </row>
    <row r="34" spans="2:12" ht="13.5" thickBot="1" x14ac:dyDescent="0.25">
      <c r="B34" s="30" t="s">
        <v>68</v>
      </c>
      <c r="C34" s="57"/>
      <c r="D34" s="57"/>
      <c r="E34" s="58">
        <f>E32+E33</f>
        <v>11.246610438000001</v>
      </c>
      <c r="F34" s="59"/>
      <c r="G34" s="57"/>
      <c r="H34" s="57"/>
      <c r="I34" s="58">
        <f>I32+I33</f>
        <v>11.307752478000001</v>
      </c>
      <c r="J34" s="59"/>
      <c r="K34" s="60">
        <f t="shared" si="2"/>
        <v>6.1142040000000009E-2</v>
      </c>
      <c r="L34" s="61">
        <f t="shared" si="3"/>
        <v>5.4364859827822909E-3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5"/>
  <sheetViews>
    <sheetView showGridLines="0" workbookViewId="0">
      <selection activeCell="B19" sqref="B19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Rates!B68</f>
        <v>CNPI - Eastern Ontario Power</v>
      </c>
    </row>
    <row r="3" spans="2:12" ht="15.75" x14ac:dyDescent="0.25">
      <c r="B3" s="24" t="str">
        <f>Rates!B118</f>
        <v>Street Lighting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900</v>
      </c>
    </row>
    <row r="7" spans="2:12" x14ac:dyDescent="0.2">
      <c r="B7" s="28" t="s">
        <v>71</v>
      </c>
      <c r="C7" s="29">
        <v>46000</v>
      </c>
    </row>
    <row r="8" spans="2:12" x14ac:dyDescent="0.2">
      <c r="B8" s="28" t="s">
        <v>72</v>
      </c>
      <c r="C8" s="62">
        <v>129</v>
      </c>
    </row>
    <row r="9" spans="2:12" ht="13.5" thickBot="1" x14ac:dyDescent="0.25">
      <c r="B9" s="30" t="s">
        <v>73</v>
      </c>
      <c r="C9" s="31">
        <f>IF(C8=0,"n/a",C7/(C8*24*365/12))</f>
        <v>0.48847828395455029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Rates!E119</f>
        <v>5.53</v>
      </c>
      <c r="D14" s="37">
        <f>C6</f>
        <v>900</v>
      </c>
      <c r="E14" s="36">
        <f>C14*D14</f>
        <v>4977</v>
      </c>
      <c r="F14" s="45"/>
      <c r="G14" s="36">
        <f>Rates!I119</f>
        <v>5.31</v>
      </c>
      <c r="H14" s="37">
        <f>D14</f>
        <v>900</v>
      </c>
      <c r="I14" s="36">
        <f>G14*H14</f>
        <v>4779</v>
      </c>
      <c r="J14" s="45"/>
      <c r="K14" s="36">
        <f>I14-E14</f>
        <v>-198</v>
      </c>
      <c r="L14" s="47">
        <f>IF((E14)=0," ",K14/E14)</f>
        <v>-3.9783001808318265E-2</v>
      </c>
    </row>
    <row r="15" spans="2:12" x14ac:dyDescent="0.2">
      <c r="B15" s="44" t="str">
        <f>Rates!B7</f>
        <v>Distribution Volumetric Rate</v>
      </c>
      <c r="C15" s="25">
        <f>Rates!E120</f>
        <v>9.8094000000000001</v>
      </c>
      <c r="D15" s="38">
        <f>C8</f>
        <v>129</v>
      </c>
      <c r="E15" s="36">
        <f t="shared" ref="E15" si="0">C15*D15</f>
        <v>1265.4126000000001</v>
      </c>
      <c r="F15" s="45"/>
      <c r="G15" s="25">
        <f>Rates!I120</f>
        <v>10.0427</v>
      </c>
      <c r="H15" s="38">
        <f>D15</f>
        <v>129</v>
      </c>
      <c r="I15" s="36">
        <f t="shared" ref="I15" si="1">G15*H15</f>
        <v>1295.5083</v>
      </c>
      <c r="J15" s="45"/>
      <c r="K15" s="36">
        <f t="shared" ref="K15:K35" si="2">I15-E15</f>
        <v>30.095699999999852</v>
      </c>
      <c r="L15" s="47">
        <f t="shared" ref="L15:L35" si="3">IF((E15)=0," ",K15/E15)</f>
        <v>2.3783309886435341E-2</v>
      </c>
    </row>
    <row r="16" spans="2:12" x14ac:dyDescent="0.2">
      <c r="B16" s="49" t="s">
        <v>40</v>
      </c>
      <c r="C16" s="50"/>
      <c r="D16" s="51"/>
      <c r="E16" s="52">
        <f>SUM(E14:E15)</f>
        <v>6242.4125999999997</v>
      </c>
      <c r="F16" s="53"/>
      <c r="G16" s="50"/>
      <c r="H16" s="51"/>
      <c r="I16" s="52">
        <f>SUM(I14:I15)</f>
        <v>6074.5082999999995</v>
      </c>
      <c r="J16" s="53"/>
      <c r="K16" s="54">
        <f t="shared" si="2"/>
        <v>-167.90430000000015</v>
      </c>
      <c r="L16" s="55">
        <f t="shared" si="3"/>
        <v>-2.6897340941545608E-2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2493.2000000000012</v>
      </c>
      <c r="E17" s="36">
        <f t="shared" ref="E17:E20" si="4">C17*D17</f>
        <v>209.1794800000001</v>
      </c>
      <c r="F17" s="45"/>
      <c r="G17" s="25">
        <f>Rates!I221</f>
        <v>8.3900000000000002E-2</v>
      </c>
      <c r="H17" s="40">
        <f>(C5-1)*C7</f>
        <v>2493.2000000000012</v>
      </c>
      <c r="I17" s="36">
        <f t="shared" ref="I17:I20" si="5">G17*H17</f>
        <v>209.1794800000001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Rates!E122</f>
        <v>-0.29089999999999999</v>
      </c>
      <c r="D18" s="37">
        <f>C8</f>
        <v>129</v>
      </c>
      <c r="E18" s="36">
        <f t="shared" si="4"/>
        <v>-37.5261</v>
      </c>
      <c r="F18" s="45"/>
      <c r="G18" s="25">
        <f>Rates!I122</f>
        <v>-0.29089999999999999</v>
      </c>
      <c r="H18" s="37">
        <f t="shared" ref="H18:H20" si="6">D18</f>
        <v>129</v>
      </c>
      <c r="I18" s="36">
        <f t="shared" si="5"/>
        <v>-37.5261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Rates!E123</f>
        <v>0.70679999999999998</v>
      </c>
      <c r="D19" s="37">
        <f>C8</f>
        <v>129</v>
      </c>
      <c r="E19" s="36">
        <f t="shared" si="4"/>
        <v>91.177199999999999</v>
      </c>
      <c r="F19" s="45"/>
      <c r="G19" s="25">
        <f>Rates!I123</f>
        <v>0.70679999999999998</v>
      </c>
      <c r="H19" s="37">
        <f t="shared" si="6"/>
        <v>129</v>
      </c>
      <c r="I19" s="36">
        <f t="shared" si="5"/>
        <v>91.177199999999999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Rates!B10</f>
        <v>Low Voltage Service Rate</v>
      </c>
      <c r="C20" s="25">
        <f>Rates!E121</f>
        <v>5.0700000000000002E-2</v>
      </c>
      <c r="D20" s="37">
        <f>C8</f>
        <v>129</v>
      </c>
      <c r="E20" s="36">
        <f t="shared" si="4"/>
        <v>6.5403000000000002</v>
      </c>
      <c r="F20" s="45"/>
      <c r="G20" s="25">
        <f>Rates!I121</f>
        <v>5.0700000000000002E-2</v>
      </c>
      <c r="H20" s="37">
        <f t="shared" si="6"/>
        <v>129</v>
      </c>
      <c r="I20" s="36">
        <f t="shared" si="5"/>
        <v>6.5403000000000002</v>
      </c>
      <c r="J20" s="45"/>
      <c r="K20" s="36">
        <f t="shared" si="2"/>
        <v>0</v>
      </c>
      <c r="L20" s="47">
        <f t="shared" si="3"/>
        <v>0</v>
      </c>
    </row>
    <row r="21" spans="2:12" x14ac:dyDescent="0.2">
      <c r="B21" s="49" t="s">
        <v>64</v>
      </c>
      <c r="C21" s="50"/>
      <c r="D21" s="51"/>
      <c r="E21" s="52">
        <f>SUM(E16:E20)</f>
        <v>6511.7834799999991</v>
      </c>
      <c r="F21" s="53"/>
      <c r="G21" s="50"/>
      <c r="H21" s="51"/>
      <c r="I21" s="52">
        <f>SUM(I16:I20)</f>
        <v>6343.879179999999</v>
      </c>
      <c r="J21" s="53"/>
      <c r="K21" s="54">
        <f t="shared" si="2"/>
        <v>-167.90430000000015</v>
      </c>
      <c r="L21" s="55">
        <f t="shared" si="3"/>
        <v>-2.5784687177590273E-2</v>
      </c>
    </row>
    <row r="22" spans="2:12" x14ac:dyDescent="0.2">
      <c r="B22" s="44" t="str">
        <f>Rates!B13</f>
        <v>Retail Transmission Rate - Network Service Rate</v>
      </c>
      <c r="C22" s="25">
        <f>Rates!E125</f>
        <v>1.7817000000000001</v>
      </c>
      <c r="D22" s="37">
        <f>C8</f>
        <v>129</v>
      </c>
      <c r="E22" s="36">
        <f>C22*D22</f>
        <v>229.83930000000001</v>
      </c>
      <c r="F22" s="45"/>
      <c r="G22" s="25">
        <f>Rates!I125</f>
        <v>1.8801000000000001</v>
      </c>
      <c r="H22" s="37">
        <f>D22</f>
        <v>129</v>
      </c>
      <c r="I22" s="36">
        <f>G22*H22</f>
        <v>242.53290000000001</v>
      </c>
      <c r="J22" s="45"/>
      <c r="K22" s="36">
        <f t="shared" si="2"/>
        <v>12.693600000000004</v>
      </c>
      <c r="L22" s="47">
        <f t="shared" si="3"/>
        <v>5.5228152887691541E-2</v>
      </c>
    </row>
    <row r="23" spans="2:12" x14ac:dyDescent="0.2">
      <c r="B23" s="44" t="str">
        <f>Rates!B14</f>
        <v>Retail Transmission Rate - Line and Transformation Connection Service Rate</v>
      </c>
      <c r="C23" s="25">
        <f>Rates!E126</f>
        <v>1.4547000000000001</v>
      </c>
      <c r="D23" s="37">
        <f>C8</f>
        <v>129</v>
      </c>
      <c r="E23" s="36">
        <f>C23*D23</f>
        <v>187.65630000000002</v>
      </c>
      <c r="F23" s="45"/>
      <c r="G23" s="25">
        <f>Rates!I126</f>
        <v>1.4765999999999999</v>
      </c>
      <c r="H23" s="37">
        <f>D23</f>
        <v>129</v>
      </c>
      <c r="I23" s="36">
        <f>G23*H23</f>
        <v>190.48139999999998</v>
      </c>
      <c r="J23" s="45"/>
      <c r="K23" s="36">
        <f t="shared" si="2"/>
        <v>2.8250999999999635</v>
      </c>
      <c r="L23" s="47">
        <f t="shared" si="3"/>
        <v>1.5054650443390194E-2</v>
      </c>
    </row>
    <row r="24" spans="2:12" x14ac:dyDescent="0.2">
      <c r="B24" s="49" t="s">
        <v>65</v>
      </c>
      <c r="C24" s="50"/>
      <c r="D24" s="51"/>
      <c r="E24" s="52">
        <f>SUM(E21:E23)</f>
        <v>6929.2790799999984</v>
      </c>
      <c r="F24" s="53"/>
      <c r="G24" s="50"/>
      <c r="H24" s="52"/>
      <c r="I24" s="52">
        <f>SUM(I21:I23)</f>
        <v>6776.8934799999988</v>
      </c>
      <c r="J24" s="53"/>
      <c r="K24" s="54">
        <f t="shared" si="2"/>
        <v>-152.38559999999961</v>
      </c>
      <c r="L24" s="55">
        <f t="shared" si="3"/>
        <v>-2.1991551825330673E-2</v>
      </c>
    </row>
    <row r="25" spans="2:12" x14ac:dyDescent="0.2">
      <c r="B25" s="44" t="str">
        <f>Rates!B199</f>
        <v>Wholesale Market Service Rate</v>
      </c>
      <c r="C25" s="25">
        <f>Rates!E199</f>
        <v>4.4000000000000003E-3</v>
      </c>
      <c r="D25" s="37">
        <f>C5*C7</f>
        <v>48493.200000000004</v>
      </c>
      <c r="E25" s="36">
        <f t="shared" ref="E25:E29" si="7">C25*D25</f>
        <v>213.37008000000003</v>
      </c>
      <c r="F25" s="45"/>
      <c r="G25" s="25">
        <f>Rates!I199</f>
        <v>4.4000000000000003E-3</v>
      </c>
      <c r="H25" s="37">
        <f>D25</f>
        <v>48493.200000000004</v>
      </c>
      <c r="I25" s="36">
        <f t="shared" ref="I25:I29" si="8">G25*H25</f>
        <v>213.37008000000003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Rates!B200</f>
        <v>Rural Rate Protection Charge</v>
      </c>
      <c r="C26" s="25">
        <f>Rates!E200</f>
        <v>1.1999999999999999E-3</v>
      </c>
      <c r="D26" s="37">
        <f>C5*C7</f>
        <v>48493.200000000004</v>
      </c>
      <c r="E26" s="36">
        <f t="shared" si="7"/>
        <v>58.191839999999999</v>
      </c>
      <c r="F26" s="45"/>
      <c r="G26" s="25">
        <f>Rates!I200</f>
        <v>1.1999999999999999E-3</v>
      </c>
      <c r="H26" s="37">
        <f t="shared" ref="H26:H27" si="9">D26</f>
        <v>48493.200000000004</v>
      </c>
      <c r="I26" s="36">
        <f t="shared" si="8"/>
        <v>58.191839999999999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Rates!B201</f>
        <v>Standard Supply Service - Administrative Charge (if applicable)</v>
      </c>
      <c r="C27" s="36">
        <f>Rates!E201</f>
        <v>0.25</v>
      </c>
      <c r="D27" s="37">
        <v>1</v>
      </c>
      <c r="E27" s="36">
        <f t="shared" si="7"/>
        <v>0.25</v>
      </c>
      <c r="F27" s="45"/>
      <c r="G27" s="36">
        <f>Rates!I201</f>
        <v>0.25</v>
      </c>
      <c r="H27" s="37">
        <f t="shared" si="9"/>
        <v>1</v>
      </c>
      <c r="I27" s="36">
        <f t="shared" si="8"/>
        <v>0.25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Rates!B204</f>
        <v>Debt Retirement Charge</v>
      </c>
      <c r="C28" s="25">
        <f>Rates!E206</f>
        <v>5.1000000000000004E-3</v>
      </c>
      <c r="D28" s="37">
        <f>C7</f>
        <v>46000</v>
      </c>
      <c r="E28" s="36">
        <f t="shared" si="7"/>
        <v>234.60000000000002</v>
      </c>
      <c r="F28" s="45"/>
      <c r="G28" s="25">
        <f>Rates!I206</f>
        <v>5.1000000000000004E-3</v>
      </c>
      <c r="H28" s="37">
        <f>D28</f>
        <v>46000</v>
      </c>
      <c r="I28" s="36">
        <f t="shared" si="8"/>
        <v>234.60000000000002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Rates!B221</f>
        <v>Energy Price</v>
      </c>
      <c r="C29" s="25">
        <f>Rates!E221</f>
        <v>8.3900000000000002E-2</v>
      </c>
      <c r="D29" s="37">
        <f>C7</f>
        <v>46000</v>
      </c>
      <c r="E29" s="36">
        <f t="shared" si="7"/>
        <v>3859.4</v>
      </c>
      <c r="F29" s="45"/>
      <c r="G29" s="25">
        <f>Rates!I221</f>
        <v>8.3900000000000002E-2</v>
      </c>
      <c r="H29" s="37">
        <f>D29</f>
        <v>46000</v>
      </c>
      <c r="I29" s="36">
        <f t="shared" si="8"/>
        <v>3859.4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56"/>
      <c r="C30" s="51"/>
      <c r="D30" s="51"/>
      <c r="E30" s="51"/>
      <c r="F30" s="53"/>
      <c r="G30" s="51"/>
      <c r="H30" s="51"/>
      <c r="I30" s="51"/>
      <c r="J30" s="53"/>
      <c r="K30" s="54"/>
      <c r="L30" s="55"/>
    </row>
    <row r="31" spans="2:12" x14ac:dyDescent="0.2">
      <c r="B31" s="23" t="s">
        <v>66</v>
      </c>
      <c r="C31" s="35"/>
      <c r="D31" s="35"/>
      <c r="E31" s="39">
        <f>SUM(E24:E29)</f>
        <v>11295.090999999999</v>
      </c>
      <c r="F31" s="45"/>
      <c r="G31" s="35"/>
      <c r="H31" s="39"/>
      <c r="I31" s="39">
        <f>SUM(I24:I29)</f>
        <v>11142.705399999999</v>
      </c>
      <c r="J31" s="45"/>
      <c r="K31" s="36">
        <f t="shared" si="2"/>
        <v>-152.38559999999961</v>
      </c>
      <c r="L31" s="47">
        <f t="shared" si="3"/>
        <v>-1.3491312287789416E-2</v>
      </c>
    </row>
    <row r="32" spans="2:12" x14ac:dyDescent="0.2">
      <c r="B32" s="44" t="str">
        <f>Rates!B223</f>
        <v>HST</v>
      </c>
      <c r="C32" s="41">
        <f>Rates!E223</f>
        <v>0.13</v>
      </c>
      <c r="D32" s="35"/>
      <c r="E32" s="42">
        <f>E31*C32</f>
        <v>1468.3618299999998</v>
      </c>
      <c r="F32" s="45"/>
      <c r="G32" s="41">
        <f>Rates!I223</f>
        <v>0.13</v>
      </c>
      <c r="H32" s="35"/>
      <c r="I32" s="42">
        <f>I31*G32</f>
        <v>1448.551702</v>
      </c>
      <c r="J32" s="45"/>
      <c r="K32" s="36">
        <f t="shared" si="2"/>
        <v>-19.81012799999985</v>
      </c>
      <c r="L32" s="47">
        <f t="shared" si="3"/>
        <v>-1.3491312287789346E-2</v>
      </c>
    </row>
    <row r="33" spans="2:12" x14ac:dyDescent="0.2">
      <c r="B33" s="23" t="s">
        <v>67</v>
      </c>
      <c r="C33" s="35"/>
      <c r="D33" s="35"/>
      <c r="E33" s="42">
        <f>E31+E32</f>
        <v>12763.452829999998</v>
      </c>
      <c r="F33" s="45"/>
      <c r="G33" s="35"/>
      <c r="H33" s="35"/>
      <c r="I33" s="42">
        <f>I31+I32</f>
        <v>12591.257102</v>
      </c>
      <c r="J33" s="45"/>
      <c r="K33" s="36">
        <f t="shared" si="2"/>
        <v>-172.19572799999878</v>
      </c>
      <c r="L33" s="47">
        <f t="shared" si="3"/>
        <v>-1.3491312287789353E-2</v>
      </c>
    </row>
    <row r="34" spans="2:12" x14ac:dyDescent="0.2">
      <c r="B34" s="44" t="str">
        <f>Rates!B225</f>
        <v>OCEB</v>
      </c>
      <c r="C34" s="41">
        <f>Rates!E225</f>
        <v>-0.1</v>
      </c>
      <c r="D34" s="35"/>
      <c r="E34" s="42">
        <f>E33*C34</f>
        <v>-1276.3452829999999</v>
      </c>
      <c r="F34" s="45"/>
      <c r="G34" s="41">
        <f>Rates!I225</f>
        <v>-0.1</v>
      </c>
      <c r="H34" s="35"/>
      <c r="I34" s="42">
        <f>I33*G34</f>
        <v>-1259.1257102</v>
      </c>
      <c r="J34" s="45"/>
      <c r="K34" s="36">
        <f t="shared" si="2"/>
        <v>17.219572799999924</v>
      </c>
      <c r="L34" s="47">
        <f t="shared" si="3"/>
        <v>-1.349131228778939E-2</v>
      </c>
    </row>
    <row r="35" spans="2:12" ht="13.5" thickBot="1" x14ac:dyDescent="0.25">
      <c r="B35" s="30" t="s">
        <v>68</v>
      </c>
      <c r="C35" s="57"/>
      <c r="D35" s="57"/>
      <c r="E35" s="58">
        <f>E33+E34</f>
        <v>11487.107546999998</v>
      </c>
      <c r="F35" s="59"/>
      <c r="G35" s="57"/>
      <c r="H35" s="57"/>
      <c r="I35" s="58">
        <f>I33+I34</f>
        <v>11332.1313918</v>
      </c>
      <c r="J35" s="59"/>
      <c r="K35" s="60">
        <f t="shared" si="2"/>
        <v>-154.97615519999817</v>
      </c>
      <c r="L35" s="61">
        <f t="shared" si="3"/>
        <v>-1.3491312287789291E-2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1"/>
  <sheetViews>
    <sheetView showGridLines="0" topLeftCell="A4" workbookViewId="0">
      <selection activeCell="B45" sqref="B45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Rates!B130</f>
        <v>CNPI - Port Colborne</v>
      </c>
    </row>
    <row r="3" spans="2:12" ht="15.75" x14ac:dyDescent="0.25">
      <c r="B3" s="24" t="str">
        <f>Rates!B131</f>
        <v>Residential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800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Rates!E132</f>
        <v>16.489999999999998</v>
      </c>
      <c r="D14" s="37">
        <f>C6</f>
        <v>1</v>
      </c>
      <c r="E14" s="36">
        <f>C14*D14</f>
        <v>16.489999999999998</v>
      </c>
      <c r="F14" s="45"/>
      <c r="G14" s="36">
        <f>Rates!I132</f>
        <v>17.489999999999998</v>
      </c>
      <c r="H14" s="37">
        <f>D14</f>
        <v>1</v>
      </c>
      <c r="I14" s="36">
        <f>G14*H14</f>
        <v>17.489999999999998</v>
      </c>
      <c r="J14" s="45"/>
      <c r="K14" s="36">
        <f>I14-E14</f>
        <v>1</v>
      </c>
      <c r="L14" s="47">
        <f>IF((E14)=0," ",K14/E14)</f>
        <v>6.0642813826561559E-2</v>
      </c>
    </row>
    <row r="15" spans="2:12" x14ac:dyDescent="0.2">
      <c r="B15" s="44" t="str">
        <f>Rates!B7</f>
        <v>Distribution Volumetric Rate</v>
      </c>
      <c r="C15" s="25">
        <f>Rates!E133</f>
        <v>2.4500000000000001E-2</v>
      </c>
      <c r="D15" s="38">
        <f>C7</f>
        <v>800</v>
      </c>
      <c r="E15" s="36">
        <f t="shared" ref="E15:E17" si="0">C15*D15</f>
        <v>19.600000000000001</v>
      </c>
      <c r="F15" s="45"/>
      <c r="G15" s="25">
        <f>Rates!I133</f>
        <v>2.2599999999999999E-2</v>
      </c>
      <c r="H15" s="38">
        <f>D15</f>
        <v>800</v>
      </c>
      <c r="I15" s="36">
        <f t="shared" ref="I15:I17" si="1">G15*H15</f>
        <v>18.079999999999998</v>
      </c>
      <c r="J15" s="45"/>
      <c r="K15" s="36">
        <f t="shared" ref="K15:K41" si="2">I15-E15</f>
        <v>-1.5200000000000031</v>
      </c>
      <c r="L15" s="47">
        <f t="shared" ref="L15:L41" si="3">IF((E15)=0," ",K15/E15)</f>
        <v>-7.7551020408163418E-2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Rates!E134</f>
        <v>0.84</v>
      </c>
      <c r="D16" s="37">
        <f>C6</f>
        <v>1</v>
      </c>
      <c r="E16" s="36">
        <f t="shared" si="0"/>
        <v>0.84</v>
      </c>
      <c r="F16" s="45"/>
      <c r="G16" s="36">
        <f>Rates!I134</f>
        <v>0.84</v>
      </c>
      <c r="H16" s="37">
        <f t="shared" ref="H16:H17" si="4">D16</f>
        <v>1</v>
      </c>
      <c r="I16" s="36">
        <f t="shared" si="1"/>
        <v>0.84</v>
      </c>
      <c r="J16" s="45"/>
      <c r="K16" s="36">
        <f t="shared" si="2"/>
        <v>0</v>
      </c>
      <c r="L16" s="47">
        <f t="shared" si="3"/>
        <v>0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Rates!E135</f>
        <v>1.72</v>
      </c>
      <c r="D17" s="37">
        <f>C6</f>
        <v>1</v>
      </c>
      <c r="E17" s="36">
        <f t="shared" si="0"/>
        <v>1.72</v>
      </c>
      <c r="F17" s="45"/>
      <c r="G17" s="36">
        <f>Rates!I135</f>
        <v>1.72</v>
      </c>
      <c r="H17" s="37">
        <f t="shared" si="4"/>
        <v>1</v>
      </c>
      <c r="I17" s="36">
        <f t="shared" si="1"/>
        <v>1.72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9" t="s">
        <v>40</v>
      </c>
      <c r="C18" s="50"/>
      <c r="D18" s="51"/>
      <c r="E18" s="52">
        <f>SUM(E14:E17)</f>
        <v>38.650000000000006</v>
      </c>
      <c r="F18" s="53"/>
      <c r="G18" s="50"/>
      <c r="H18" s="51"/>
      <c r="I18" s="52">
        <f>SUM(I14:I17)</f>
        <v>38.129999999999995</v>
      </c>
      <c r="J18" s="53"/>
      <c r="K18" s="54">
        <f t="shared" si="2"/>
        <v>-0.52000000000001023</v>
      </c>
      <c r="L18" s="55">
        <f t="shared" si="3"/>
        <v>-1.345407503234179E-2</v>
      </c>
    </row>
    <row r="19" spans="2:12" x14ac:dyDescent="0.2">
      <c r="B19" s="28" t="s">
        <v>41</v>
      </c>
      <c r="C19" s="25">
        <f>Rates!E221</f>
        <v>8.3900000000000002E-2</v>
      </c>
      <c r="D19" s="40">
        <f>(C5-1)*C7</f>
        <v>43.360000000000021</v>
      </c>
      <c r="E19" s="36">
        <f t="shared" ref="E19:E24" si="5">C19*D19</f>
        <v>3.637904000000002</v>
      </c>
      <c r="F19" s="45"/>
      <c r="G19" s="25">
        <f>Rates!I221</f>
        <v>8.3900000000000002E-2</v>
      </c>
      <c r="H19" s="40">
        <f>(C5-1)*C7</f>
        <v>43.360000000000021</v>
      </c>
      <c r="I19" s="36">
        <f t="shared" ref="I19:I24" si="6">G19*H19</f>
        <v>3.637904000000002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Rates!E137</f>
        <v>1E-3</v>
      </c>
      <c r="D20" s="37">
        <f>C7</f>
        <v>800</v>
      </c>
      <c r="E20" s="36">
        <f t="shared" si="5"/>
        <v>0.8</v>
      </c>
      <c r="F20" s="45"/>
      <c r="G20" s="25">
        <f>Rates!I137</f>
        <v>1E-3</v>
      </c>
      <c r="H20" s="37">
        <f t="shared" ref="H20:H24" si="7">D20</f>
        <v>800</v>
      </c>
      <c r="I20" s="36">
        <f t="shared" si="6"/>
        <v>0.8</v>
      </c>
      <c r="J20" s="45"/>
      <c r="K20" s="36">
        <f t="shared" si="2"/>
        <v>0</v>
      </c>
      <c r="L20" s="47">
        <f t="shared" si="3"/>
        <v>0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Rates!E138</f>
        <v>1.2999999999999999E-3</v>
      </c>
      <c r="D21" s="37">
        <f>C7</f>
        <v>800</v>
      </c>
      <c r="E21" s="36">
        <f t="shared" si="5"/>
        <v>1.04</v>
      </c>
      <c r="F21" s="45"/>
      <c r="G21" s="25">
        <f>Rates!I138</f>
        <v>1.2999999999999999E-3</v>
      </c>
      <c r="H21" s="37">
        <f t="shared" si="7"/>
        <v>800</v>
      </c>
      <c r="I21" s="36">
        <f t="shared" si="6"/>
        <v>1.04</v>
      </c>
      <c r="J21" s="45"/>
      <c r="K21" s="36">
        <f t="shared" si="2"/>
        <v>0</v>
      </c>
      <c r="L21" s="47">
        <f t="shared" si="3"/>
        <v>0</v>
      </c>
    </row>
    <row r="22" spans="2:12" ht="25.5" x14ac:dyDescent="0.2">
      <c r="B22" s="48" t="str">
        <f>Rates!B139</f>
        <v>Rate Rider for the Disposition of Deferred PILs Variance Account 1562 - effective until December 31, 2016</v>
      </c>
      <c r="C22" s="25">
        <f>Rates!E139</f>
        <v>6.9999999999999999E-4</v>
      </c>
      <c r="D22" s="37">
        <f>C7</f>
        <v>800</v>
      </c>
      <c r="E22" s="36">
        <f t="shared" si="5"/>
        <v>0.55999999999999994</v>
      </c>
      <c r="F22" s="45"/>
      <c r="G22" s="25">
        <f>Rates!I139</f>
        <v>6.9999999999999999E-4</v>
      </c>
      <c r="H22" s="37">
        <f>C7</f>
        <v>800</v>
      </c>
      <c r="I22" s="36">
        <f t="shared" si="6"/>
        <v>0.55999999999999994</v>
      </c>
      <c r="J22" s="45"/>
      <c r="K22" s="36">
        <f t="shared" ref="K22" si="8">I22-E22</f>
        <v>0</v>
      </c>
      <c r="L22" s="47">
        <f t="shared" ref="L22" si="9">IF((E22)=0," ",K22/E22)</f>
        <v>0</v>
      </c>
    </row>
    <row r="23" spans="2:12" x14ac:dyDescent="0.2">
      <c r="B23" s="44" t="str">
        <f>Rates!B10</f>
        <v>Low Voltage Service Rate</v>
      </c>
      <c r="C23" s="25">
        <f>Rates!E136</f>
        <v>2.0000000000000001E-4</v>
      </c>
      <c r="D23" s="37">
        <f>C7</f>
        <v>800</v>
      </c>
      <c r="E23" s="36">
        <f t="shared" si="5"/>
        <v>0.16</v>
      </c>
      <c r="F23" s="45"/>
      <c r="G23" s="25">
        <f>Rates!I136</f>
        <v>2.0000000000000001E-4</v>
      </c>
      <c r="H23" s="37">
        <f t="shared" si="7"/>
        <v>800</v>
      </c>
      <c r="I23" s="36">
        <f t="shared" si="6"/>
        <v>0.16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Rates!B202</f>
        <v>Smart Meter Entity Charge</v>
      </c>
      <c r="C24" s="36">
        <f>Rates!E202</f>
        <v>0.79</v>
      </c>
      <c r="D24" s="37">
        <f>C6</f>
        <v>1</v>
      </c>
      <c r="E24" s="36">
        <f t="shared" si="5"/>
        <v>0.79</v>
      </c>
      <c r="F24" s="45"/>
      <c r="G24" s="36">
        <f>Rates!I202</f>
        <v>0.79</v>
      </c>
      <c r="H24" s="37">
        <f t="shared" si="7"/>
        <v>1</v>
      </c>
      <c r="I24" s="36">
        <f t="shared" si="6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64</v>
      </c>
      <c r="C25" s="50"/>
      <c r="D25" s="51"/>
      <c r="E25" s="52">
        <f>SUM(E18:E24)</f>
        <v>45.637903999999999</v>
      </c>
      <c r="F25" s="53"/>
      <c r="G25" s="50"/>
      <c r="H25" s="51"/>
      <c r="I25" s="52">
        <f>SUM(I18:I24)</f>
        <v>45.117903999999989</v>
      </c>
      <c r="J25" s="53"/>
      <c r="K25" s="54">
        <f t="shared" si="2"/>
        <v>-0.52000000000001023</v>
      </c>
      <c r="L25" s="55">
        <f t="shared" si="3"/>
        <v>-1.1394037727937949E-2</v>
      </c>
    </row>
    <row r="26" spans="2:12" x14ac:dyDescent="0.2">
      <c r="B26" s="44" t="str">
        <f>Rates!B13</f>
        <v>Retail Transmission Rate - Network Service Rate</v>
      </c>
      <c r="C26" s="25">
        <f>Rates!E140</f>
        <v>6.6E-3</v>
      </c>
      <c r="D26" s="37">
        <f>C7*C5</f>
        <v>843.36</v>
      </c>
      <c r="E26" s="36">
        <f>C26*D26</f>
        <v>5.5661760000000005</v>
      </c>
      <c r="F26" s="45"/>
      <c r="G26" s="25">
        <f>Rates!I140</f>
        <v>7.0000000000000001E-3</v>
      </c>
      <c r="H26" s="37">
        <f>D26</f>
        <v>843.36</v>
      </c>
      <c r="I26" s="36">
        <f>G26*H26</f>
        <v>5.9035200000000003</v>
      </c>
      <c r="J26" s="45"/>
      <c r="K26" s="36">
        <f t="shared" si="2"/>
        <v>0.33734399999999987</v>
      </c>
      <c r="L26" s="47">
        <f t="shared" si="3"/>
        <v>6.060606060606058E-2</v>
      </c>
    </row>
    <row r="27" spans="2:12" x14ac:dyDescent="0.2">
      <c r="B27" s="44" t="str">
        <f>Rates!B14</f>
        <v>Retail Transmission Rate - Line and Transformation Connection Service Rate</v>
      </c>
      <c r="C27" s="25">
        <f>Rates!E141</f>
        <v>5.3E-3</v>
      </c>
      <c r="D27" s="37">
        <f>C7*C5</f>
        <v>843.36</v>
      </c>
      <c r="E27" s="36">
        <f>C27*D27</f>
        <v>4.4698080000000004</v>
      </c>
      <c r="F27" s="45"/>
      <c r="G27" s="25">
        <f>Rates!I141</f>
        <v>5.4000000000000003E-3</v>
      </c>
      <c r="H27" s="37">
        <f>D27</f>
        <v>843.36</v>
      </c>
      <c r="I27" s="36">
        <f>G27*H27</f>
        <v>4.554144</v>
      </c>
      <c r="J27" s="45"/>
      <c r="K27" s="36">
        <f t="shared" si="2"/>
        <v>8.4335999999999522E-2</v>
      </c>
      <c r="L27" s="47">
        <f t="shared" si="3"/>
        <v>1.8867924528301779E-2</v>
      </c>
    </row>
    <row r="28" spans="2:12" x14ac:dyDescent="0.2">
      <c r="B28" s="49" t="s">
        <v>65</v>
      </c>
      <c r="C28" s="50"/>
      <c r="D28" s="51"/>
      <c r="E28" s="52">
        <f>SUM(E25:E27)</f>
        <v>55.673887999999998</v>
      </c>
      <c r="F28" s="53"/>
      <c r="G28" s="50"/>
      <c r="H28" s="52"/>
      <c r="I28" s="52">
        <f>SUM(I25:I27)</f>
        <v>55.57556799999999</v>
      </c>
      <c r="J28" s="53"/>
      <c r="K28" s="54">
        <f t="shared" si="2"/>
        <v>-9.8320000000008179E-2</v>
      </c>
      <c r="L28" s="55">
        <f t="shared" si="3"/>
        <v>-1.7659984515543119E-3</v>
      </c>
    </row>
    <row r="29" spans="2:12" x14ac:dyDescent="0.2">
      <c r="B29" s="44" t="str">
        <f>Rates!B199</f>
        <v>Wholesale Market Service Rate</v>
      </c>
      <c r="C29" s="25">
        <f>Rates!E199</f>
        <v>4.4000000000000003E-3</v>
      </c>
      <c r="D29" s="37">
        <f>C5*C7</f>
        <v>843.36</v>
      </c>
      <c r="E29" s="36">
        <f t="shared" ref="E29:E35" si="10">C29*D29</f>
        <v>3.7107840000000003</v>
      </c>
      <c r="F29" s="45"/>
      <c r="G29" s="25">
        <f>Rates!I199</f>
        <v>4.4000000000000003E-3</v>
      </c>
      <c r="H29" s="37">
        <f>D29</f>
        <v>843.36</v>
      </c>
      <c r="I29" s="36">
        <f t="shared" ref="I29:I35" si="11">G29*H29</f>
        <v>3.7107840000000003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Rates!B200</f>
        <v>Rural Rate Protection Charge</v>
      </c>
      <c r="C30" s="25">
        <f>Rates!E200</f>
        <v>1.1999999999999999E-3</v>
      </c>
      <c r="D30" s="37">
        <f>C5*C7</f>
        <v>843.36</v>
      </c>
      <c r="E30" s="36">
        <f t="shared" si="10"/>
        <v>1.0120319999999998</v>
      </c>
      <c r="F30" s="45"/>
      <c r="G30" s="25">
        <f>Rates!I200</f>
        <v>1.1999999999999999E-3</v>
      </c>
      <c r="H30" s="37">
        <f t="shared" ref="H30:H31" si="12">D30</f>
        <v>843.36</v>
      </c>
      <c r="I30" s="36">
        <f t="shared" si="11"/>
        <v>1.0120319999999998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Rates!B201</f>
        <v>Standard Supply Service - Administrative Charge (if applicable)</v>
      </c>
      <c r="C31" s="36">
        <f>Rates!E201</f>
        <v>0.25</v>
      </c>
      <c r="D31" s="37">
        <v>1</v>
      </c>
      <c r="E31" s="36">
        <f t="shared" si="10"/>
        <v>0.25</v>
      </c>
      <c r="F31" s="45"/>
      <c r="G31" s="36">
        <f>Rates!I201</f>
        <v>0.25</v>
      </c>
      <c r="H31" s="37">
        <f t="shared" si="12"/>
        <v>1</v>
      </c>
      <c r="I31" s="36">
        <f t="shared" si="11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Rates!B204</f>
        <v>Debt Retirement Charge</v>
      </c>
      <c r="C32" s="25">
        <f>Rates!E207</f>
        <v>7.0000000000000001E-3</v>
      </c>
      <c r="D32" s="37">
        <f>C7</f>
        <v>800</v>
      </c>
      <c r="E32" s="36">
        <f t="shared" si="10"/>
        <v>5.6000000000000005</v>
      </c>
      <c r="F32" s="45"/>
      <c r="G32" s="25">
        <f>Rates!I207</f>
        <v>7.0000000000000001E-3</v>
      </c>
      <c r="H32" s="37">
        <f>D32</f>
        <v>800</v>
      </c>
      <c r="I32" s="36">
        <f t="shared" si="11"/>
        <v>5.6000000000000005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Rates!B217</f>
        <v>TOU - Off Peak</v>
      </c>
      <c r="C33" s="25">
        <f>Rates!E217</f>
        <v>6.7000000000000004E-2</v>
      </c>
      <c r="D33" s="37">
        <f>C7*0.64</f>
        <v>512</v>
      </c>
      <c r="E33" s="36">
        <f t="shared" si="10"/>
        <v>34.304000000000002</v>
      </c>
      <c r="F33" s="45"/>
      <c r="G33" s="25">
        <f>Rates!I217</f>
        <v>6.7000000000000004E-2</v>
      </c>
      <c r="H33" s="37">
        <f>D33</f>
        <v>512</v>
      </c>
      <c r="I33" s="36">
        <f t="shared" si="11"/>
        <v>34.304000000000002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Rates!B218</f>
        <v>TOU - Mid Peak</v>
      </c>
      <c r="C34" s="25">
        <f>Rates!E218</f>
        <v>0.104</v>
      </c>
      <c r="D34" s="37">
        <f>C7*0.18</f>
        <v>144</v>
      </c>
      <c r="E34" s="36">
        <f t="shared" si="10"/>
        <v>14.975999999999999</v>
      </c>
      <c r="F34" s="45"/>
      <c r="G34" s="25">
        <f>Rates!I218</f>
        <v>0.104</v>
      </c>
      <c r="H34" s="37">
        <f t="shared" ref="H34:H35" si="13">D34</f>
        <v>144</v>
      </c>
      <c r="I34" s="36">
        <f t="shared" si="11"/>
        <v>14.975999999999999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Rates!B219</f>
        <v>TOU - On Peak</v>
      </c>
      <c r="C35" s="25">
        <f>Rates!E219</f>
        <v>0.124</v>
      </c>
      <c r="D35" s="37">
        <f>C7*0.18</f>
        <v>144</v>
      </c>
      <c r="E35" s="36">
        <f t="shared" si="10"/>
        <v>17.856000000000002</v>
      </c>
      <c r="F35" s="45"/>
      <c r="G35" s="25">
        <f>Rates!I219</f>
        <v>0.124</v>
      </c>
      <c r="H35" s="37">
        <f t="shared" si="13"/>
        <v>144</v>
      </c>
      <c r="I35" s="36">
        <f t="shared" si="11"/>
        <v>17.856000000000002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56"/>
      <c r="C36" s="51"/>
      <c r="D36" s="51"/>
      <c r="E36" s="51"/>
      <c r="F36" s="53"/>
      <c r="G36" s="51"/>
      <c r="H36" s="51"/>
      <c r="I36" s="51"/>
      <c r="J36" s="53"/>
      <c r="K36" s="54"/>
      <c r="L36" s="55"/>
    </row>
    <row r="37" spans="2:12" x14ac:dyDescent="0.2">
      <c r="B37" s="23" t="s">
        <v>66</v>
      </c>
      <c r="C37" s="35"/>
      <c r="D37" s="35"/>
      <c r="E37" s="39">
        <f>SUM(E28:E35)</f>
        <v>133.38270399999999</v>
      </c>
      <c r="F37" s="45"/>
      <c r="G37" s="35"/>
      <c r="H37" s="39"/>
      <c r="I37" s="39">
        <f>SUM(I28:I35)</f>
        <v>133.28438399999999</v>
      </c>
      <c r="J37" s="45"/>
      <c r="K37" s="36">
        <f t="shared" si="2"/>
        <v>-9.8320000000001073E-2</v>
      </c>
      <c r="L37" s="47">
        <f t="shared" si="3"/>
        <v>-7.3712705659349266E-4</v>
      </c>
    </row>
    <row r="38" spans="2:12" x14ac:dyDescent="0.2">
      <c r="B38" s="44" t="str">
        <f>Rates!B223</f>
        <v>HST</v>
      </c>
      <c r="C38" s="41">
        <f>Rates!E223</f>
        <v>0.13</v>
      </c>
      <c r="D38" s="35"/>
      <c r="E38" s="42">
        <f>E37*C38</f>
        <v>17.33975152</v>
      </c>
      <c r="F38" s="45"/>
      <c r="G38" s="41">
        <f>Rates!I223</f>
        <v>0.13</v>
      </c>
      <c r="H38" s="35"/>
      <c r="I38" s="42">
        <f>I37*G38</f>
        <v>17.32696992</v>
      </c>
      <c r="J38" s="45"/>
      <c r="K38" s="36">
        <f t="shared" si="2"/>
        <v>-1.2781600000000282E-2</v>
      </c>
      <c r="L38" s="47">
        <f t="shared" si="3"/>
        <v>-7.3712705659350079E-4</v>
      </c>
    </row>
    <row r="39" spans="2:12" x14ac:dyDescent="0.2">
      <c r="B39" s="23" t="s">
        <v>67</v>
      </c>
      <c r="C39" s="35"/>
      <c r="D39" s="35"/>
      <c r="E39" s="42">
        <f>E37+E38</f>
        <v>150.72245551999998</v>
      </c>
      <c r="F39" s="45"/>
      <c r="G39" s="35"/>
      <c r="H39" s="35"/>
      <c r="I39" s="42">
        <f>I37+I38</f>
        <v>150.61135392</v>
      </c>
      <c r="J39" s="45"/>
      <c r="K39" s="36">
        <f t="shared" si="2"/>
        <v>-0.11110159999998359</v>
      </c>
      <c r="L39" s="47">
        <f t="shared" si="3"/>
        <v>-7.3712705659337578E-4</v>
      </c>
    </row>
    <row r="40" spans="2:12" x14ac:dyDescent="0.2">
      <c r="B40" s="44" t="str">
        <f>Rates!B225</f>
        <v>OCEB</v>
      </c>
      <c r="C40" s="41">
        <f>Rates!E225</f>
        <v>-0.1</v>
      </c>
      <c r="D40" s="35"/>
      <c r="E40" s="42">
        <f>E39*C40</f>
        <v>-15.072245551999998</v>
      </c>
      <c r="F40" s="45"/>
      <c r="G40" s="41">
        <f>Rates!I225</f>
        <v>-0.1</v>
      </c>
      <c r="H40" s="35"/>
      <c r="I40" s="42">
        <f>I39*G40</f>
        <v>-15.061135392000001</v>
      </c>
      <c r="J40" s="45"/>
      <c r="K40" s="36">
        <f t="shared" si="2"/>
        <v>1.1110159999997649E-2</v>
      </c>
      <c r="L40" s="47">
        <f t="shared" si="3"/>
        <v>-7.3712705659332862E-4</v>
      </c>
    </row>
    <row r="41" spans="2:12" ht="13.5" thickBot="1" x14ac:dyDescent="0.25">
      <c r="B41" s="30" t="s">
        <v>68</v>
      </c>
      <c r="C41" s="57"/>
      <c r="D41" s="57"/>
      <c r="E41" s="58">
        <f>E39+E40</f>
        <v>135.65020996799998</v>
      </c>
      <c r="F41" s="59"/>
      <c r="G41" s="57"/>
      <c r="H41" s="57"/>
      <c r="I41" s="58">
        <f>I39+I40</f>
        <v>135.55021852799999</v>
      </c>
      <c r="J41" s="59"/>
      <c r="K41" s="60">
        <f t="shared" si="2"/>
        <v>-9.9991439999996601E-2</v>
      </c>
      <c r="L41" s="61">
        <f t="shared" si="3"/>
        <v>-7.3712705659345959E-4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41"/>
  <sheetViews>
    <sheetView showGridLines="0" topLeftCell="A4" workbookViewId="0">
      <selection activeCell="A23" sqref="A23:XFD25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Rates!B130</f>
        <v>CNPI - Port Colborne</v>
      </c>
    </row>
    <row r="3" spans="2:12" ht="15.75" x14ac:dyDescent="0.25">
      <c r="B3" s="24" t="str">
        <f>Rates!B143</f>
        <v>General Service Less Than 50kW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2000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Rates!E144</f>
        <v>29.95</v>
      </c>
      <c r="D14" s="37">
        <f>C6</f>
        <v>1</v>
      </c>
      <c r="E14" s="36">
        <f>C14*D14</f>
        <v>29.95</v>
      </c>
      <c r="F14" s="45"/>
      <c r="G14" s="36">
        <f>Rates!I144</f>
        <v>29.16</v>
      </c>
      <c r="H14" s="37">
        <f>D14</f>
        <v>1</v>
      </c>
      <c r="I14" s="36">
        <f>G14*H14</f>
        <v>29.16</v>
      </c>
      <c r="J14" s="45"/>
      <c r="K14" s="36">
        <f>I14-E14</f>
        <v>-0.78999999999999915</v>
      </c>
      <c r="L14" s="47">
        <f>IF((E14)=0," ",K14/E14)</f>
        <v>-2.6377295492487452E-2</v>
      </c>
    </row>
    <row r="15" spans="2:12" x14ac:dyDescent="0.2">
      <c r="B15" s="44" t="str">
        <f>Rates!B7</f>
        <v>Distribution Volumetric Rate</v>
      </c>
      <c r="C15" s="25">
        <f>Rates!E145</f>
        <v>1.9300000000000001E-2</v>
      </c>
      <c r="D15" s="38">
        <f>C7</f>
        <v>2000</v>
      </c>
      <c r="E15" s="36">
        <f t="shared" ref="E15:E17" si="0">C15*D15</f>
        <v>38.6</v>
      </c>
      <c r="F15" s="45"/>
      <c r="G15" s="25">
        <f>Rates!I145</f>
        <v>2.07E-2</v>
      </c>
      <c r="H15" s="38">
        <f>D15</f>
        <v>2000</v>
      </c>
      <c r="I15" s="36">
        <f t="shared" ref="I15:I17" si="1">G15*H15</f>
        <v>41.4</v>
      </c>
      <c r="J15" s="45"/>
      <c r="K15" s="36">
        <f t="shared" ref="K15:K41" si="2">I15-E15</f>
        <v>2.7999999999999972</v>
      </c>
      <c r="L15" s="47">
        <f t="shared" ref="L15:L41" si="3">IF((E15)=0," ",K15/E15)</f>
        <v>7.2538860103626868E-2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Rates!E146</f>
        <v>3.57</v>
      </c>
      <c r="D16" s="37">
        <f>C6</f>
        <v>1</v>
      </c>
      <c r="E16" s="36">
        <f t="shared" si="0"/>
        <v>3.57</v>
      </c>
      <c r="F16" s="45"/>
      <c r="G16" s="36">
        <f>Rates!I146</f>
        <v>3.57</v>
      </c>
      <c r="H16" s="37">
        <f t="shared" ref="H16:H17" si="4">D16</f>
        <v>1</v>
      </c>
      <c r="I16" s="36">
        <f t="shared" si="1"/>
        <v>3.57</v>
      </c>
      <c r="J16" s="45"/>
      <c r="K16" s="36">
        <f t="shared" si="2"/>
        <v>0</v>
      </c>
      <c r="L16" s="47">
        <f t="shared" si="3"/>
        <v>0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Rates!E147</f>
        <v>3.89</v>
      </c>
      <c r="D17" s="37">
        <f>C6</f>
        <v>1</v>
      </c>
      <c r="E17" s="36">
        <f t="shared" si="0"/>
        <v>3.89</v>
      </c>
      <c r="F17" s="45"/>
      <c r="G17" s="36">
        <f>Rates!I147</f>
        <v>3.89</v>
      </c>
      <c r="H17" s="37">
        <f t="shared" si="4"/>
        <v>1</v>
      </c>
      <c r="I17" s="36">
        <f t="shared" si="1"/>
        <v>3.89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9" t="s">
        <v>40</v>
      </c>
      <c r="C18" s="50"/>
      <c r="D18" s="51"/>
      <c r="E18" s="52">
        <f>SUM(E14:E17)</f>
        <v>76.009999999999991</v>
      </c>
      <c r="F18" s="53"/>
      <c r="G18" s="50"/>
      <c r="H18" s="51"/>
      <c r="I18" s="52">
        <f>SUM(I14:I17)</f>
        <v>78.02</v>
      </c>
      <c r="J18" s="53"/>
      <c r="K18" s="54">
        <f t="shared" si="2"/>
        <v>2.0100000000000051</v>
      </c>
      <c r="L18" s="55">
        <f t="shared" si="3"/>
        <v>2.6443888961978756E-2</v>
      </c>
    </row>
    <row r="19" spans="2:12" x14ac:dyDescent="0.2">
      <c r="B19" s="28" t="s">
        <v>41</v>
      </c>
      <c r="C19" s="25">
        <f>Rates!E221</f>
        <v>8.3900000000000002E-2</v>
      </c>
      <c r="D19" s="40">
        <f>(C5-1)*C7</f>
        <v>108.40000000000005</v>
      </c>
      <c r="E19" s="36">
        <f t="shared" ref="E19:E24" si="5">C19*D19</f>
        <v>9.0947600000000044</v>
      </c>
      <c r="F19" s="45"/>
      <c r="G19" s="25">
        <f>Rates!I221</f>
        <v>8.3900000000000002E-2</v>
      </c>
      <c r="H19" s="40">
        <f>(C5-1)*C7</f>
        <v>108.40000000000005</v>
      </c>
      <c r="I19" s="36">
        <f t="shared" ref="I19:I24" si="6">G19*H19</f>
        <v>9.0947600000000044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Rates!E149</f>
        <v>1.1000000000000001E-3</v>
      </c>
      <c r="D20" s="37">
        <f>C7</f>
        <v>2000</v>
      </c>
      <c r="E20" s="36">
        <f t="shared" si="5"/>
        <v>2.2000000000000002</v>
      </c>
      <c r="F20" s="45"/>
      <c r="G20" s="25">
        <f>Rates!I149</f>
        <v>1.1000000000000001E-3</v>
      </c>
      <c r="H20" s="37">
        <f t="shared" ref="H20:H24" si="7">D20</f>
        <v>2000</v>
      </c>
      <c r="I20" s="36">
        <f t="shared" si="6"/>
        <v>2.2000000000000002</v>
      </c>
      <c r="J20" s="45"/>
      <c r="K20" s="36">
        <f t="shared" si="2"/>
        <v>0</v>
      </c>
      <c r="L20" s="47">
        <f t="shared" si="3"/>
        <v>0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Rates!E150</f>
        <v>1.2999999999999999E-3</v>
      </c>
      <c r="D21" s="37">
        <f>C7</f>
        <v>2000</v>
      </c>
      <c r="E21" s="36">
        <f t="shared" si="5"/>
        <v>2.6</v>
      </c>
      <c r="F21" s="45"/>
      <c r="G21" s="25">
        <f>Rates!I150</f>
        <v>1.2999999999999999E-3</v>
      </c>
      <c r="H21" s="37">
        <f t="shared" si="7"/>
        <v>2000</v>
      </c>
      <c r="I21" s="36">
        <f t="shared" si="6"/>
        <v>2.6</v>
      </c>
      <c r="J21" s="45"/>
      <c r="K21" s="36">
        <f t="shared" si="2"/>
        <v>0</v>
      </c>
      <c r="L21" s="47">
        <f t="shared" si="3"/>
        <v>0</v>
      </c>
    </row>
    <row r="22" spans="2:12" ht="25.5" x14ac:dyDescent="0.2">
      <c r="B22" s="48" t="str">
        <f>Rates!B139</f>
        <v>Rate Rider for the Disposition of Deferred PILs Variance Account 1562 - effective until December 31, 2016</v>
      </c>
      <c r="C22" s="25">
        <f>Rates!E151</f>
        <v>5.0000000000000001E-4</v>
      </c>
      <c r="D22" s="37">
        <f>C7</f>
        <v>2000</v>
      </c>
      <c r="E22" s="36">
        <f t="shared" si="5"/>
        <v>1</v>
      </c>
      <c r="F22" s="45"/>
      <c r="G22" s="25">
        <f>Rates!I151</f>
        <v>5.0000000000000001E-4</v>
      </c>
      <c r="H22" s="37">
        <f>C7</f>
        <v>2000</v>
      </c>
      <c r="I22" s="36">
        <f t="shared" si="6"/>
        <v>1</v>
      </c>
      <c r="J22" s="45"/>
      <c r="K22" s="36">
        <f t="shared" ref="K22" si="8">I22-E22</f>
        <v>0</v>
      </c>
      <c r="L22" s="47">
        <f t="shared" ref="L22" si="9">IF((E22)=0," ",K22/E22)</f>
        <v>0</v>
      </c>
    </row>
    <row r="23" spans="2:12" x14ac:dyDescent="0.2">
      <c r="B23" s="44" t="str">
        <f>Rates!B10</f>
        <v>Low Voltage Service Rate</v>
      </c>
      <c r="C23" s="25">
        <f>Rates!E148</f>
        <v>2.0000000000000001E-4</v>
      </c>
      <c r="D23" s="37">
        <f>C7</f>
        <v>2000</v>
      </c>
      <c r="E23" s="36">
        <f t="shared" si="5"/>
        <v>0.4</v>
      </c>
      <c r="F23" s="45"/>
      <c r="G23" s="25">
        <f>Rates!I148</f>
        <v>2.0000000000000001E-4</v>
      </c>
      <c r="H23" s="37">
        <f t="shared" si="7"/>
        <v>2000</v>
      </c>
      <c r="I23" s="36">
        <f t="shared" si="6"/>
        <v>0.4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4" t="str">
        <f>Rates!B202</f>
        <v>Smart Meter Entity Charge</v>
      </c>
      <c r="C24" s="36">
        <f>Rates!E202</f>
        <v>0.79</v>
      </c>
      <c r="D24" s="37">
        <f>C6</f>
        <v>1</v>
      </c>
      <c r="E24" s="36">
        <f t="shared" si="5"/>
        <v>0.79</v>
      </c>
      <c r="F24" s="45"/>
      <c r="G24" s="36">
        <f>Rates!I202</f>
        <v>0.79</v>
      </c>
      <c r="H24" s="37">
        <f t="shared" si="7"/>
        <v>1</v>
      </c>
      <c r="I24" s="36">
        <f t="shared" si="6"/>
        <v>0.79</v>
      </c>
      <c r="J24" s="45"/>
      <c r="K24" s="36">
        <f t="shared" si="2"/>
        <v>0</v>
      </c>
      <c r="L24" s="47">
        <f t="shared" si="3"/>
        <v>0</v>
      </c>
    </row>
    <row r="25" spans="2:12" x14ac:dyDescent="0.2">
      <c r="B25" s="49" t="s">
        <v>64</v>
      </c>
      <c r="C25" s="50"/>
      <c r="D25" s="51"/>
      <c r="E25" s="52">
        <f>SUM(E18:E24)</f>
        <v>92.094760000000008</v>
      </c>
      <c r="F25" s="53"/>
      <c r="G25" s="50"/>
      <c r="H25" s="51"/>
      <c r="I25" s="52">
        <f>SUM(I18:I24)</f>
        <v>94.104760000000013</v>
      </c>
      <c r="J25" s="53"/>
      <c r="K25" s="54">
        <f t="shared" si="2"/>
        <v>2.0100000000000051</v>
      </c>
      <c r="L25" s="55">
        <f t="shared" si="3"/>
        <v>2.1825345980596562E-2</v>
      </c>
    </row>
    <row r="26" spans="2:12" x14ac:dyDescent="0.2">
      <c r="B26" s="44" t="str">
        <f>Rates!B13</f>
        <v>Retail Transmission Rate - Network Service Rate</v>
      </c>
      <c r="C26" s="25">
        <f>Rates!E152</f>
        <v>5.7000000000000002E-3</v>
      </c>
      <c r="D26" s="37">
        <f>C7*C5</f>
        <v>2108.4</v>
      </c>
      <c r="E26" s="36">
        <f>C26*D26</f>
        <v>12.017880000000002</v>
      </c>
      <c r="F26" s="45"/>
      <c r="G26" s="25">
        <f>Rates!I152</f>
        <v>6.0000000000000001E-3</v>
      </c>
      <c r="H26" s="37">
        <f>D26</f>
        <v>2108.4</v>
      </c>
      <c r="I26" s="36">
        <f>G26*H26</f>
        <v>12.650400000000001</v>
      </c>
      <c r="J26" s="45"/>
      <c r="K26" s="36">
        <f t="shared" si="2"/>
        <v>0.63251999999999953</v>
      </c>
      <c r="L26" s="47">
        <f t="shared" si="3"/>
        <v>5.2631578947368376E-2</v>
      </c>
    </row>
    <row r="27" spans="2:12" x14ac:dyDescent="0.2">
      <c r="B27" s="44" t="str">
        <f>Rates!B14</f>
        <v>Retail Transmission Rate - Line and Transformation Connection Service Rate</v>
      </c>
      <c r="C27" s="25">
        <f>Rates!E153</f>
        <v>4.5999999999999999E-3</v>
      </c>
      <c r="D27" s="37">
        <f>C7*C5</f>
        <v>2108.4</v>
      </c>
      <c r="E27" s="36">
        <f>C27*D27</f>
        <v>9.698640000000001</v>
      </c>
      <c r="F27" s="45"/>
      <c r="G27" s="25">
        <f>Rates!I153</f>
        <v>4.7000000000000002E-3</v>
      </c>
      <c r="H27" s="37">
        <f>D27</f>
        <v>2108.4</v>
      </c>
      <c r="I27" s="36">
        <f>G27*H27</f>
        <v>9.9094800000000003</v>
      </c>
      <c r="J27" s="45"/>
      <c r="K27" s="36">
        <f t="shared" si="2"/>
        <v>0.21083999999999925</v>
      </c>
      <c r="L27" s="47">
        <f t="shared" si="3"/>
        <v>2.1739130434782528E-2</v>
      </c>
    </row>
    <row r="28" spans="2:12" x14ac:dyDescent="0.2">
      <c r="B28" s="49" t="s">
        <v>65</v>
      </c>
      <c r="C28" s="50"/>
      <c r="D28" s="51"/>
      <c r="E28" s="52">
        <f>SUM(E25:E27)</f>
        <v>113.81128000000001</v>
      </c>
      <c r="F28" s="53"/>
      <c r="G28" s="50"/>
      <c r="H28" s="52"/>
      <c r="I28" s="52">
        <f>SUM(I25:I27)</f>
        <v>116.66464000000002</v>
      </c>
      <c r="J28" s="53"/>
      <c r="K28" s="54">
        <f t="shared" si="2"/>
        <v>2.8533600000000092</v>
      </c>
      <c r="L28" s="55">
        <f t="shared" si="3"/>
        <v>2.5070977147432214E-2</v>
      </c>
    </row>
    <row r="29" spans="2:12" x14ac:dyDescent="0.2">
      <c r="B29" s="44" t="str">
        <f>Rates!B199</f>
        <v>Wholesale Market Service Rate</v>
      </c>
      <c r="C29" s="25">
        <f>Rates!E199</f>
        <v>4.4000000000000003E-3</v>
      </c>
      <c r="D29" s="37">
        <f>C5*C7</f>
        <v>2108.4</v>
      </c>
      <c r="E29" s="36">
        <f t="shared" ref="E29:E35" si="10">C29*D29</f>
        <v>9.2769600000000008</v>
      </c>
      <c r="F29" s="45"/>
      <c r="G29" s="25">
        <f>Rates!I199</f>
        <v>4.4000000000000003E-3</v>
      </c>
      <c r="H29" s="37">
        <f>D29</f>
        <v>2108.4</v>
      </c>
      <c r="I29" s="36">
        <f t="shared" ref="I29:I35" si="11">G29*H29</f>
        <v>9.2769600000000008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Rates!B200</f>
        <v>Rural Rate Protection Charge</v>
      </c>
      <c r="C30" s="25">
        <f>Rates!E200</f>
        <v>1.1999999999999999E-3</v>
      </c>
      <c r="D30" s="37">
        <f>C5*C7</f>
        <v>2108.4</v>
      </c>
      <c r="E30" s="36">
        <f t="shared" si="10"/>
        <v>2.5300799999999999</v>
      </c>
      <c r="F30" s="45"/>
      <c r="G30" s="25">
        <f>Rates!I200</f>
        <v>1.1999999999999999E-3</v>
      </c>
      <c r="H30" s="37">
        <f t="shared" ref="H30:H31" si="12">D30</f>
        <v>2108.4</v>
      </c>
      <c r="I30" s="36">
        <f t="shared" si="11"/>
        <v>2.5300799999999999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Rates!B201</f>
        <v>Standard Supply Service - Administrative Charge (if applicable)</v>
      </c>
      <c r="C31" s="36">
        <f>Rates!E201</f>
        <v>0.25</v>
      </c>
      <c r="D31" s="37">
        <v>1</v>
      </c>
      <c r="E31" s="36">
        <f t="shared" si="10"/>
        <v>0.25</v>
      </c>
      <c r="F31" s="45"/>
      <c r="G31" s="36">
        <f>Rates!I201</f>
        <v>0.25</v>
      </c>
      <c r="H31" s="37">
        <f t="shared" si="12"/>
        <v>1</v>
      </c>
      <c r="I31" s="36">
        <f t="shared" si="11"/>
        <v>0.25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Rates!B204</f>
        <v>Debt Retirement Charge</v>
      </c>
      <c r="C32" s="25">
        <f>Rates!E207</f>
        <v>7.0000000000000001E-3</v>
      </c>
      <c r="D32" s="37">
        <f>C7</f>
        <v>2000</v>
      </c>
      <c r="E32" s="36">
        <f t="shared" si="10"/>
        <v>14</v>
      </c>
      <c r="F32" s="45"/>
      <c r="G32" s="25">
        <f>Rates!I207</f>
        <v>7.0000000000000001E-3</v>
      </c>
      <c r="H32" s="37">
        <f>D32</f>
        <v>2000</v>
      </c>
      <c r="I32" s="36">
        <f t="shared" si="11"/>
        <v>14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Rates!B217</f>
        <v>TOU - Off Peak</v>
      </c>
      <c r="C33" s="25">
        <f>Rates!E217</f>
        <v>6.7000000000000004E-2</v>
      </c>
      <c r="D33" s="37">
        <f>C7*0.64</f>
        <v>1280</v>
      </c>
      <c r="E33" s="36">
        <f t="shared" si="10"/>
        <v>85.76</v>
      </c>
      <c r="F33" s="45"/>
      <c r="G33" s="25">
        <f>Rates!I217</f>
        <v>6.7000000000000004E-2</v>
      </c>
      <c r="H33" s="37">
        <f>D33</f>
        <v>1280</v>
      </c>
      <c r="I33" s="36">
        <f t="shared" si="11"/>
        <v>85.76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Rates!B218</f>
        <v>TOU - Mid Peak</v>
      </c>
      <c r="C34" s="25">
        <f>Rates!E218</f>
        <v>0.104</v>
      </c>
      <c r="D34" s="37">
        <f>C7*0.18</f>
        <v>360</v>
      </c>
      <c r="E34" s="36">
        <f t="shared" si="10"/>
        <v>37.44</v>
      </c>
      <c r="F34" s="45"/>
      <c r="G34" s="25">
        <f>Rates!I218</f>
        <v>0.104</v>
      </c>
      <c r="H34" s="37">
        <f t="shared" ref="H34:H35" si="13">D34</f>
        <v>360</v>
      </c>
      <c r="I34" s="36">
        <f t="shared" si="11"/>
        <v>37.44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44" t="str">
        <f>Rates!B219</f>
        <v>TOU - On Peak</v>
      </c>
      <c r="C35" s="25">
        <f>Rates!E219</f>
        <v>0.124</v>
      </c>
      <c r="D35" s="37">
        <f>C7*0.18</f>
        <v>360</v>
      </c>
      <c r="E35" s="36">
        <f t="shared" si="10"/>
        <v>44.64</v>
      </c>
      <c r="F35" s="45"/>
      <c r="G35" s="25">
        <f>Rates!I219</f>
        <v>0.124</v>
      </c>
      <c r="H35" s="37">
        <f t="shared" si="13"/>
        <v>360</v>
      </c>
      <c r="I35" s="36">
        <f t="shared" si="11"/>
        <v>44.64</v>
      </c>
      <c r="J35" s="45"/>
      <c r="K35" s="36">
        <f t="shared" si="2"/>
        <v>0</v>
      </c>
      <c r="L35" s="47">
        <f t="shared" si="3"/>
        <v>0</v>
      </c>
    </row>
    <row r="36" spans="2:12" x14ac:dyDescent="0.2">
      <c r="B36" s="56"/>
      <c r="C36" s="51"/>
      <c r="D36" s="51"/>
      <c r="E36" s="51"/>
      <c r="F36" s="53"/>
      <c r="G36" s="51"/>
      <c r="H36" s="51"/>
      <c r="I36" s="51"/>
      <c r="J36" s="53"/>
      <c r="K36" s="54"/>
      <c r="L36" s="55"/>
    </row>
    <row r="37" spans="2:12" x14ac:dyDescent="0.2">
      <c r="B37" s="23" t="s">
        <v>66</v>
      </c>
      <c r="C37" s="35"/>
      <c r="D37" s="35"/>
      <c r="E37" s="39">
        <f>SUM(E28:E35)</f>
        <v>307.70832000000001</v>
      </c>
      <c r="F37" s="45"/>
      <c r="G37" s="35"/>
      <c r="H37" s="39"/>
      <c r="I37" s="39">
        <f>SUM(I28:I35)</f>
        <v>310.56168000000002</v>
      </c>
      <c r="J37" s="45"/>
      <c r="K37" s="36">
        <f t="shared" si="2"/>
        <v>2.8533600000000092</v>
      </c>
      <c r="L37" s="47">
        <f t="shared" si="3"/>
        <v>9.2729374363358427E-3</v>
      </c>
    </row>
    <row r="38" spans="2:12" x14ac:dyDescent="0.2">
      <c r="B38" s="44" t="str">
        <f>Rates!B223</f>
        <v>HST</v>
      </c>
      <c r="C38" s="41">
        <f>Rates!E223</f>
        <v>0.13</v>
      </c>
      <c r="D38" s="35"/>
      <c r="E38" s="42">
        <f>E37*C38</f>
        <v>40.002081600000004</v>
      </c>
      <c r="F38" s="45"/>
      <c r="G38" s="41">
        <f>Rates!I223</f>
        <v>0.13</v>
      </c>
      <c r="H38" s="35"/>
      <c r="I38" s="42">
        <f>I37*G38</f>
        <v>40.373018400000007</v>
      </c>
      <c r="J38" s="45"/>
      <c r="K38" s="36">
        <f t="shared" si="2"/>
        <v>0.37093680000000262</v>
      </c>
      <c r="L38" s="47">
        <f t="shared" si="3"/>
        <v>9.2729374363358773E-3</v>
      </c>
    </row>
    <row r="39" spans="2:12" x14ac:dyDescent="0.2">
      <c r="B39" s="23" t="s">
        <v>67</v>
      </c>
      <c r="C39" s="35"/>
      <c r="D39" s="35"/>
      <c r="E39" s="42">
        <f>E37+E38</f>
        <v>347.71040160000001</v>
      </c>
      <c r="F39" s="45"/>
      <c r="G39" s="35"/>
      <c r="H39" s="35"/>
      <c r="I39" s="42">
        <f>I37+I38</f>
        <v>350.9346984</v>
      </c>
      <c r="J39" s="45"/>
      <c r="K39" s="36">
        <f t="shared" si="2"/>
        <v>3.2242967999999905</v>
      </c>
      <c r="L39" s="47">
        <f t="shared" si="3"/>
        <v>9.2729374363357854E-3</v>
      </c>
    </row>
    <row r="40" spans="2:12" x14ac:dyDescent="0.2">
      <c r="B40" s="44" t="str">
        <f>Rates!B225</f>
        <v>OCEB</v>
      </c>
      <c r="C40" s="41">
        <f>Rates!E225</f>
        <v>-0.1</v>
      </c>
      <c r="D40" s="35"/>
      <c r="E40" s="42">
        <f>E39*C40</f>
        <v>-34.771040160000005</v>
      </c>
      <c r="F40" s="45"/>
      <c r="G40" s="41">
        <f>Rates!I225</f>
        <v>-0.1</v>
      </c>
      <c r="H40" s="35"/>
      <c r="I40" s="42">
        <f>I39*G40</f>
        <v>-35.093469840000004</v>
      </c>
      <c r="J40" s="45"/>
      <c r="K40" s="36">
        <f t="shared" si="2"/>
        <v>-0.32242967999999905</v>
      </c>
      <c r="L40" s="47">
        <f t="shared" si="3"/>
        <v>9.2729374363357837E-3</v>
      </c>
    </row>
    <row r="41" spans="2:12" ht="13.5" thickBot="1" x14ac:dyDescent="0.25">
      <c r="B41" s="30" t="s">
        <v>68</v>
      </c>
      <c r="C41" s="57"/>
      <c r="D41" s="57"/>
      <c r="E41" s="58">
        <f>E39+E40</f>
        <v>312.93936144000003</v>
      </c>
      <c r="F41" s="59"/>
      <c r="G41" s="57"/>
      <c r="H41" s="57"/>
      <c r="I41" s="58">
        <f>I39+I40</f>
        <v>315.84122855999999</v>
      </c>
      <c r="J41" s="59"/>
      <c r="K41" s="60">
        <f t="shared" si="2"/>
        <v>2.9018671199999631</v>
      </c>
      <c r="L41" s="61">
        <f t="shared" si="3"/>
        <v>9.2729374363356935E-3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36"/>
  <sheetViews>
    <sheetView showGridLines="0" workbookViewId="0">
      <selection activeCell="B20" sqref="B20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Rates!B130</f>
        <v>CNPI - Port Colborne</v>
      </c>
    </row>
    <row r="3" spans="2:12" ht="15.75" x14ac:dyDescent="0.25">
      <c r="B3" s="24" t="str">
        <f>Rates!B155</f>
        <v>General Service 50kW to 4,999kW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68620</v>
      </c>
    </row>
    <row r="8" spans="2:12" x14ac:dyDescent="0.2">
      <c r="B8" s="28" t="s">
        <v>72</v>
      </c>
      <c r="C8" s="29">
        <v>200</v>
      </c>
    </row>
    <row r="9" spans="2:12" ht="13.5" thickBot="1" x14ac:dyDescent="0.25">
      <c r="B9" s="30" t="s">
        <v>73</v>
      </c>
      <c r="C9" s="31">
        <f>IF(C8=0,"n/a",C7/(C8*24*365/12))</f>
        <v>0.47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Rates!E156</f>
        <v>420.55</v>
      </c>
      <c r="D14" s="37">
        <f>C6</f>
        <v>1</v>
      </c>
      <c r="E14" s="36">
        <f>C14*D14</f>
        <v>420.55</v>
      </c>
      <c r="F14" s="45"/>
      <c r="G14" s="36">
        <f>Rates!I156</f>
        <v>284.55</v>
      </c>
      <c r="H14" s="37">
        <f>D14</f>
        <v>1</v>
      </c>
      <c r="I14" s="36">
        <f>G14*H14</f>
        <v>284.55</v>
      </c>
      <c r="J14" s="45"/>
      <c r="K14" s="36">
        <f>I14-E14</f>
        <v>-136</v>
      </c>
      <c r="L14" s="47">
        <f>IF((E14)=0," ",K14/E14)</f>
        <v>-0.32338604208774224</v>
      </c>
    </row>
    <row r="15" spans="2:12" x14ac:dyDescent="0.2">
      <c r="B15" s="44" t="str">
        <f>Rates!B7</f>
        <v>Distribution Volumetric Rate</v>
      </c>
      <c r="C15" s="25">
        <f>Rates!E157</f>
        <v>4.4494999999999996</v>
      </c>
      <c r="D15" s="38">
        <f>C8</f>
        <v>200</v>
      </c>
      <c r="E15" s="36">
        <f t="shared" ref="E15" si="0">C15*D15</f>
        <v>889.89999999999986</v>
      </c>
      <c r="F15" s="45"/>
      <c r="G15" s="25">
        <f>Rates!I157</f>
        <v>5.5549999999999997</v>
      </c>
      <c r="H15" s="38">
        <f>D15</f>
        <v>200</v>
      </c>
      <c r="I15" s="36">
        <f t="shared" ref="I15" si="1">G15*H15</f>
        <v>1111</v>
      </c>
      <c r="J15" s="45"/>
      <c r="K15" s="36">
        <f t="shared" ref="K15:K36" si="2">I15-E15</f>
        <v>221.10000000000014</v>
      </c>
      <c r="L15" s="47">
        <f t="shared" ref="L15:L36" si="3">IF((E15)=0," ",K15/E15)</f>
        <v>0.24845488257107559</v>
      </c>
    </row>
    <row r="16" spans="2:12" x14ac:dyDescent="0.2">
      <c r="B16" s="49" t="s">
        <v>40</v>
      </c>
      <c r="C16" s="50"/>
      <c r="D16" s="51"/>
      <c r="E16" s="52">
        <f>SUM(E14:E15)</f>
        <v>1310.4499999999998</v>
      </c>
      <c r="F16" s="53"/>
      <c r="G16" s="50"/>
      <c r="H16" s="51"/>
      <c r="I16" s="52">
        <f>SUM(I14:I15)</f>
        <v>1395.55</v>
      </c>
      <c r="J16" s="53"/>
      <c r="K16" s="54">
        <f t="shared" si="2"/>
        <v>85.100000000000136</v>
      </c>
      <c r="L16" s="55">
        <f t="shared" si="3"/>
        <v>6.4939524590789541E-2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3719.204000000002</v>
      </c>
      <c r="E17" s="36">
        <f t="shared" ref="E17:E21" si="4">C17*D17</f>
        <v>312.04121560000016</v>
      </c>
      <c r="F17" s="45"/>
      <c r="G17" s="25">
        <f>Rates!I221</f>
        <v>8.3900000000000002E-2</v>
      </c>
      <c r="H17" s="40">
        <f>(C5-1)*C7</f>
        <v>3719.204000000002</v>
      </c>
      <c r="I17" s="36">
        <f t="shared" ref="I17:I21" si="5">G17*H17</f>
        <v>312.04121560000016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Rates!E159</f>
        <v>0.3241</v>
      </c>
      <c r="D18" s="37">
        <f>C8</f>
        <v>200</v>
      </c>
      <c r="E18" s="36">
        <f t="shared" si="4"/>
        <v>64.819999999999993</v>
      </c>
      <c r="F18" s="45"/>
      <c r="G18" s="25">
        <f>Rates!I159</f>
        <v>0.3241</v>
      </c>
      <c r="H18" s="37">
        <f t="shared" ref="H18:H21" si="6">D18</f>
        <v>200</v>
      </c>
      <c r="I18" s="36">
        <f t="shared" si="5"/>
        <v>64.819999999999993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Rates!E160</f>
        <v>0.40620000000000001</v>
      </c>
      <c r="D19" s="37">
        <f>C8</f>
        <v>200</v>
      </c>
      <c r="E19" s="36">
        <f t="shared" si="4"/>
        <v>81.239999999999995</v>
      </c>
      <c r="F19" s="45"/>
      <c r="G19" s="25">
        <f>Rates!I160</f>
        <v>0.40620000000000001</v>
      </c>
      <c r="H19" s="37">
        <f t="shared" si="6"/>
        <v>200</v>
      </c>
      <c r="I19" s="36">
        <f t="shared" si="5"/>
        <v>81.239999999999995</v>
      </c>
      <c r="J19" s="45"/>
      <c r="K19" s="36">
        <f t="shared" si="2"/>
        <v>0</v>
      </c>
      <c r="L19" s="47">
        <f t="shared" si="3"/>
        <v>0</v>
      </c>
    </row>
    <row r="20" spans="2:12" ht="25.5" x14ac:dyDescent="0.2">
      <c r="B20" s="48" t="str">
        <f>Rates!B161</f>
        <v>Rate Rider for the Disposition of Deferred PILs Variance Account 1562 - effective until December 31, 2016</v>
      </c>
      <c r="C20" s="25">
        <f>Rates!E161</f>
        <v>8.1100000000000005E-2</v>
      </c>
      <c r="D20" s="37">
        <f>C8</f>
        <v>200</v>
      </c>
      <c r="E20" s="36">
        <f t="shared" si="4"/>
        <v>16.220000000000002</v>
      </c>
      <c r="F20" s="45"/>
      <c r="G20" s="25">
        <f>Rates!I161</f>
        <v>8.1100000000000005E-2</v>
      </c>
      <c r="H20" s="37">
        <f>C8</f>
        <v>200</v>
      </c>
      <c r="I20" s="36">
        <f t="shared" si="5"/>
        <v>16.220000000000002</v>
      </c>
      <c r="J20" s="45"/>
      <c r="K20" s="36">
        <f t="shared" ref="K20" si="7">I20-E20</f>
        <v>0</v>
      </c>
      <c r="L20" s="47">
        <f t="shared" ref="L20" si="8">IF((E20)=0," ",K20/E20)</f>
        <v>0</v>
      </c>
    </row>
    <row r="21" spans="2:12" x14ac:dyDescent="0.2">
      <c r="B21" s="44" t="str">
        <f>Rates!B10</f>
        <v>Low Voltage Service Rate</v>
      </c>
      <c r="C21" s="25">
        <f>Rates!E158</f>
        <v>7.3499999999999996E-2</v>
      </c>
      <c r="D21" s="37">
        <f>C8</f>
        <v>200</v>
      </c>
      <c r="E21" s="36">
        <f t="shared" si="4"/>
        <v>14.7</v>
      </c>
      <c r="F21" s="45"/>
      <c r="G21" s="25">
        <f>Rates!I158</f>
        <v>7.3499999999999996E-2</v>
      </c>
      <c r="H21" s="37">
        <f t="shared" si="6"/>
        <v>200</v>
      </c>
      <c r="I21" s="36">
        <f t="shared" si="5"/>
        <v>14.7</v>
      </c>
      <c r="J21" s="45"/>
      <c r="K21" s="36">
        <f t="shared" si="2"/>
        <v>0</v>
      </c>
      <c r="L21" s="47">
        <f t="shared" si="3"/>
        <v>0</v>
      </c>
    </row>
    <row r="22" spans="2:12" x14ac:dyDescent="0.2">
      <c r="B22" s="49" t="s">
        <v>64</v>
      </c>
      <c r="C22" s="50"/>
      <c r="D22" s="51"/>
      <c r="E22" s="52">
        <f>SUM(E16:E21)</f>
        <v>1799.4712156000001</v>
      </c>
      <c r="F22" s="53"/>
      <c r="G22" s="50"/>
      <c r="H22" s="51"/>
      <c r="I22" s="52">
        <f>SUM(I16:I21)</f>
        <v>1884.5712156000002</v>
      </c>
      <c r="J22" s="53"/>
      <c r="K22" s="54">
        <f t="shared" si="2"/>
        <v>85.100000000000136</v>
      </c>
      <c r="L22" s="55">
        <f t="shared" si="3"/>
        <v>4.7291670609815858E-2</v>
      </c>
    </row>
    <row r="23" spans="2:12" x14ac:dyDescent="0.2">
      <c r="B23" s="44" t="str">
        <f>Rates!B13</f>
        <v>Retail Transmission Rate - Network Service Rate</v>
      </c>
      <c r="C23" s="25">
        <f>Rates!E162</f>
        <v>2.4072</v>
      </c>
      <c r="D23" s="37">
        <f>C8</f>
        <v>200</v>
      </c>
      <c r="E23" s="36">
        <f>C23*D23</f>
        <v>481.44</v>
      </c>
      <c r="F23" s="45"/>
      <c r="G23" s="25">
        <f>Rates!I162</f>
        <v>2.5400999999999998</v>
      </c>
      <c r="H23" s="37">
        <f>D23</f>
        <v>200</v>
      </c>
      <c r="I23" s="36">
        <f>G23*H23</f>
        <v>508.02</v>
      </c>
      <c r="J23" s="45"/>
      <c r="K23" s="36">
        <f t="shared" si="2"/>
        <v>26.579999999999984</v>
      </c>
      <c r="L23" s="47">
        <f t="shared" si="3"/>
        <v>5.5209371884346929E-2</v>
      </c>
    </row>
    <row r="24" spans="2:12" x14ac:dyDescent="0.2">
      <c r="B24" s="44" t="str">
        <f>Rates!B14</f>
        <v>Retail Transmission Rate - Line and Transformation Connection Service Rate</v>
      </c>
      <c r="C24" s="25">
        <f>Rates!E163</f>
        <v>1.9064000000000001</v>
      </c>
      <c r="D24" s="37">
        <f>C8</f>
        <v>200</v>
      </c>
      <c r="E24" s="36">
        <f>C24*D24</f>
        <v>381.28000000000003</v>
      </c>
      <c r="F24" s="45"/>
      <c r="G24" s="25">
        <f>Rates!I163</f>
        <v>1.9351</v>
      </c>
      <c r="H24" s="37">
        <f>D24</f>
        <v>200</v>
      </c>
      <c r="I24" s="36">
        <f>G24*H24</f>
        <v>387.02</v>
      </c>
      <c r="J24" s="45"/>
      <c r="K24" s="36">
        <f t="shared" si="2"/>
        <v>5.7399999999999523</v>
      </c>
      <c r="L24" s="47">
        <f t="shared" si="3"/>
        <v>1.5054553084347335E-2</v>
      </c>
    </row>
    <row r="25" spans="2:12" x14ac:dyDescent="0.2">
      <c r="B25" s="49" t="s">
        <v>65</v>
      </c>
      <c r="C25" s="50"/>
      <c r="D25" s="51"/>
      <c r="E25" s="52">
        <f>SUM(E22:E24)</f>
        <v>2662.1912156000003</v>
      </c>
      <c r="F25" s="53"/>
      <c r="G25" s="50"/>
      <c r="H25" s="52"/>
      <c r="I25" s="52">
        <f>SUM(I22:I24)</f>
        <v>2779.6112156000004</v>
      </c>
      <c r="J25" s="53"/>
      <c r="K25" s="54">
        <f t="shared" si="2"/>
        <v>117.42000000000007</v>
      </c>
      <c r="L25" s="55">
        <f t="shared" si="3"/>
        <v>4.4106523720737374E-2</v>
      </c>
    </row>
    <row r="26" spans="2:12" x14ac:dyDescent="0.2">
      <c r="B26" s="44" t="str">
        <f>Rates!B199</f>
        <v>Wholesale Market Service Rate</v>
      </c>
      <c r="C26" s="25">
        <f>Rates!E199</f>
        <v>4.4000000000000003E-3</v>
      </c>
      <c r="D26" s="37">
        <f>C5*C7</f>
        <v>72339.203999999998</v>
      </c>
      <c r="E26" s="36">
        <f t="shared" ref="E26:E30" si="9">C26*D26</f>
        <v>318.29249759999999</v>
      </c>
      <c r="F26" s="45"/>
      <c r="G26" s="25">
        <f>Rates!I199</f>
        <v>4.4000000000000003E-3</v>
      </c>
      <c r="H26" s="37">
        <f>D26</f>
        <v>72339.203999999998</v>
      </c>
      <c r="I26" s="36">
        <f t="shared" ref="I26:I30" si="10">G26*H26</f>
        <v>318.29249759999999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Rates!B200</f>
        <v>Rural Rate Protection Charge</v>
      </c>
      <c r="C27" s="25">
        <f>Rates!E200</f>
        <v>1.1999999999999999E-3</v>
      </c>
      <c r="D27" s="37">
        <f>C5*C7</f>
        <v>72339.203999999998</v>
      </c>
      <c r="E27" s="36">
        <f t="shared" si="9"/>
        <v>86.807044799999986</v>
      </c>
      <c r="F27" s="45"/>
      <c r="G27" s="25">
        <f>Rates!I200</f>
        <v>1.1999999999999999E-3</v>
      </c>
      <c r="H27" s="37">
        <f t="shared" ref="H27:H28" si="11">D27</f>
        <v>72339.203999999998</v>
      </c>
      <c r="I27" s="36">
        <f t="shared" si="10"/>
        <v>86.807044799999986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Rates!B201</f>
        <v>Standard Supply Service - Administrative Charge (if applicable)</v>
      </c>
      <c r="C28" s="36">
        <f>Rates!E201</f>
        <v>0.25</v>
      </c>
      <c r="D28" s="37">
        <v>1</v>
      </c>
      <c r="E28" s="36">
        <f t="shared" si="9"/>
        <v>0.25</v>
      </c>
      <c r="F28" s="45"/>
      <c r="G28" s="36">
        <f>Rates!I201</f>
        <v>0.25</v>
      </c>
      <c r="H28" s="37">
        <f t="shared" si="11"/>
        <v>1</v>
      </c>
      <c r="I28" s="36">
        <f t="shared" si="10"/>
        <v>0.25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Rates!B204</f>
        <v>Debt Retirement Charge</v>
      </c>
      <c r="C29" s="25">
        <f>Rates!E207</f>
        <v>7.0000000000000001E-3</v>
      </c>
      <c r="D29" s="37">
        <f>C7</f>
        <v>68620</v>
      </c>
      <c r="E29" s="36">
        <f t="shared" si="9"/>
        <v>480.34000000000003</v>
      </c>
      <c r="F29" s="45"/>
      <c r="G29" s="25">
        <f>Rates!I207</f>
        <v>7.0000000000000001E-3</v>
      </c>
      <c r="H29" s="37">
        <f>D29</f>
        <v>68620</v>
      </c>
      <c r="I29" s="36">
        <f t="shared" si="10"/>
        <v>480.34000000000003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Rates!B221</f>
        <v>Energy Price</v>
      </c>
      <c r="C30" s="25">
        <f>Rates!E221</f>
        <v>8.3900000000000002E-2</v>
      </c>
      <c r="D30" s="37">
        <f>C7</f>
        <v>68620</v>
      </c>
      <c r="E30" s="36">
        <f t="shared" si="9"/>
        <v>5757.2179999999998</v>
      </c>
      <c r="F30" s="45"/>
      <c r="G30" s="25">
        <f>Rates!I221</f>
        <v>8.3900000000000002E-2</v>
      </c>
      <c r="H30" s="37">
        <f>D30</f>
        <v>68620</v>
      </c>
      <c r="I30" s="36">
        <f t="shared" si="10"/>
        <v>5757.2179999999998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56"/>
      <c r="C31" s="51"/>
      <c r="D31" s="51"/>
      <c r="E31" s="51"/>
      <c r="F31" s="53"/>
      <c r="G31" s="51"/>
      <c r="H31" s="51"/>
      <c r="I31" s="51"/>
      <c r="J31" s="53"/>
      <c r="K31" s="54"/>
      <c r="L31" s="55"/>
    </row>
    <row r="32" spans="2:12" x14ac:dyDescent="0.2">
      <c r="B32" s="23" t="s">
        <v>66</v>
      </c>
      <c r="C32" s="35"/>
      <c r="D32" s="35"/>
      <c r="E32" s="39">
        <f>SUM(E25:E30)</f>
        <v>9305.0987580000001</v>
      </c>
      <c r="F32" s="45"/>
      <c r="G32" s="35"/>
      <c r="H32" s="39"/>
      <c r="I32" s="39">
        <f>SUM(I25:I30)</f>
        <v>9422.5187580000002</v>
      </c>
      <c r="J32" s="45"/>
      <c r="K32" s="36">
        <f t="shared" si="2"/>
        <v>117.42000000000007</v>
      </c>
      <c r="L32" s="47">
        <f t="shared" si="3"/>
        <v>1.26188881014346E-2</v>
      </c>
    </row>
    <row r="33" spans="2:12" x14ac:dyDescent="0.2">
      <c r="B33" s="44" t="str">
        <f>Rates!B223</f>
        <v>HST</v>
      </c>
      <c r="C33" s="41">
        <f>Rates!E223</f>
        <v>0.13</v>
      </c>
      <c r="D33" s="35"/>
      <c r="E33" s="42">
        <f>E32*C33</f>
        <v>1209.6628385400002</v>
      </c>
      <c r="F33" s="45"/>
      <c r="G33" s="41">
        <f>Rates!I223</f>
        <v>0.13</v>
      </c>
      <c r="H33" s="35"/>
      <c r="I33" s="42">
        <f>I32*G33</f>
        <v>1224.9274385400001</v>
      </c>
      <c r="J33" s="45"/>
      <c r="K33" s="36">
        <f t="shared" si="2"/>
        <v>15.264599999999973</v>
      </c>
      <c r="L33" s="47">
        <f t="shared" si="3"/>
        <v>1.2618888101434567E-2</v>
      </c>
    </row>
    <row r="34" spans="2:12" x14ac:dyDescent="0.2">
      <c r="B34" s="23" t="s">
        <v>67</v>
      </c>
      <c r="C34" s="35"/>
      <c r="D34" s="35"/>
      <c r="E34" s="42">
        <f>E32+E33</f>
        <v>10514.76159654</v>
      </c>
      <c r="F34" s="45"/>
      <c r="G34" s="35"/>
      <c r="H34" s="35"/>
      <c r="I34" s="42">
        <f>I32+I33</f>
        <v>10647.446196540001</v>
      </c>
      <c r="J34" s="45"/>
      <c r="K34" s="36">
        <f t="shared" si="2"/>
        <v>132.6846000000005</v>
      </c>
      <c r="L34" s="47">
        <f t="shared" si="3"/>
        <v>1.261888810143464E-2</v>
      </c>
    </row>
    <row r="35" spans="2:12" x14ac:dyDescent="0.2">
      <c r="B35" s="44" t="str">
        <f>Rates!B225</f>
        <v>OCEB</v>
      </c>
      <c r="C35" s="41">
        <f>Rates!E225</f>
        <v>-0.1</v>
      </c>
      <c r="D35" s="35"/>
      <c r="E35" s="42">
        <f>E34*C35</f>
        <v>-1051.476159654</v>
      </c>
      <c r="F35" s="45"/>
      <c r="G35" s="41">
        <f>Rates!I225</f>
        <v>-0.1</v>
      </c>
      <c r="H35" s="35"/>
      <c r="I35" s="42">
        <f>I34*G35</f>
        <v>-1064.7446196540002</v>
      </c>
      <c r="J35" s="45"/>
      <c r="K35" s="36">
        <f t="shared" si="2"/>
        <v>-13.268460000000232</v>
      </c>
      <c r="L35" s="47">
        <f t="shared" si="3"/>
        <v>1.2618888101434814E-2</v>
      </c>
    </row>
    <row r="36" spans="2:12" ht="13.5" thickBot="1" x14ac:dyDescent="0.25">
      <c r="B36" s="30" t="s">
        <v>68</v>
      </c>
      <c r="C36" s="57"/>
      <c r="D36" s="57"/>
      <c r="E36" s="58">
        <f>E34+E35</f>
        <v>9463.2854368860008</v>
      </c>
      <c r="F36" s="59"/>
      <c r="G36" s="57"/>
      <c r="H36" s="57"/>
      <c r="I36" s="58">
        <f>I34+I35</f>
        <v>9582.7015768860001</v>
      </c>
      <c r="J36" s="59"/>
      <c r="K36" s="60">
        <f t="shared" si="2"/>
        <v>119.41613999999936</v>
      </c>
      <c r="L36" s="61">
        <f t="shared" si="3"/>
        <v>1.2618888101434524E-2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38"/>
  <sheetViews>
    <sheetView showGridLines="0" workbookViewId="0">
      <selection activeCell="G14" sqref="G14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Rates!B130</f>
        <v>CNPI - Port Colborne</v>
      </c>
    </row>
    <row r="3" spans="2:12" ht="15.75" x14ac:dyDescent="0.25">
      <c r="B3" s="24" t="str">
        <f>Rates!B165</f>
        <v xml:space="preserve">Unmetered Scattered Load 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800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64" t="s">
        <v>34</v>
      </c>
      <c r="L12" s="65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Rates!E166</f>
        <v>46.64</v>
      </c>
      <c r="D14" s="37">
        <f>C6</f>
        <v>1</v>
      </c>
      <c r="E14" s="36">
        <f>C14*D14</f>
        <v>46.64</v>
      </c>
      <c r="F14" s="45"/>
      <c r="G14" s="36">
        <f>Rates!I166</f>
        <v>41.84</v>
      </c>
      <c r="H14" s="37">
        <f>D14</f>
        <v>1</v>
      </c>
      <c r="I14" s="36">
        <f>G14*H14</f>
        <v>41.84</v>
      </c>
      <c r="J14" s="45"/>
      <c r="K14" s="36">
        <f>I14-E14</f>
        <v>-4.7999999999999972</v>
      </c>
      <c r="L14" s="47">
        <f>IF((E14)=0," ",K14/E14)</f>
        <v>-0.10291595197255568</v>
      </c>
    </row>
    <row r="15" spans="2:12" x14ac:dyDescent="0.2">
      <c r="B15" s="44" t="str">
        <f>Rates!B7</f>
        <v>Distribution Volumetric Rate</v>
      </c>
      <c r="C15" s="25">
        <f>Rates!E167</f>
        <v>2.8299999999999999E-2</v>
      </c>
      <c r="D15" s="38">
        <f>C7</f>
        <v>800</v>
      </c>
      <c r="E15" s="36">
        <f t="shared" ref="E15" si="0">C15*D15</f>
        <v>22.64</v>
      </c>
      <c r="F15" s="45"/>
      <c r="G15" s="25">
        <f>Rates!I167</f>
        <v>2.5100000000000001E-2</v>
      </c>
      <c r="H15" s="38">
        <f>D15</f>
        <v>800</v>
      </c>
      <c r="I15" s="36">
        <f t="shared" ref="I15" si="1">G15*H15</f>
        <v>20.080000000000002</v>
      </c>
      <c r="J15" s="45"/>
      <c r="K15" s="36">
        <f t="shared" ref="K15:K38" si="2">I15-E15</f>
        <v>-2.5599999999999987</v>
      </c>
      <c r="L15" s="47">
        <f t="shared" ref="L15:L38" si="3">IF((E15)=0," ",K15/E15)</f>
        <v>-0.11307420494699641</v>
      </c>
    </row>
    <row r="16" spans="2:12" x14ac:dyDescent="0.2">
      <c r="B16" s="49" t="s">
        <v>40</v>
      </c>
      <c r="C16" s="50"/>
      <c r="D16" s="51"/>
      <c r="E16" s="52">
        <f>SUM(E14:E15)</f>
        <v>69.28</v>
      </c>
      <c r="F16" s="53"/>
      <c r="G16" s="50"/>
      <c r="H16" s="51"/>
      <c r="I16" s="52">
        <f>SUM(I14:I15)</f>
        <v>61.92</v>
      </c>
      <c r="J16" s="53"/>
      <c r="K16" s="54">
        <f t="shared" si="2"/>
        <v>-7.3599999999999994</v>
      </c>
      <c r="L16" s="55">
        <f t="shared" si="3"/>
        <v>-0.10623556581986142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43.360000000000021</v>
      </c>
      <c r="E17" s="36">
        <f t="shared" ref="E17:E21" si="4">C17*D17</f>
        <v>3.637904000000002</v>
      </c>
      <c r="F17" s="45"/>
      <c r="G17" s="25">
        <f>Rates!I221</f>
        <v>8.3900000000000002E-2</v>
      </c>
      <c r="H17" s="40">
        <f>(C5-1)*C7</f>
        <v>43.360000000000021</v>
      </c>
      <c r="I17" s="36">
        <f t="shared" ref="I17:I21" si="5">G17*H17</f>
        <v>3.637904000000002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Rates!E169</f>
        <v>1.1000000000000001E-3</v>
      </c>
      <c r="D18" s="37">
        <f>C7</f>
        <v>800</v>
      </c>
      <c r="E18" s="36">
        <f t="shared" si="4"/>
        <v>0.88</v>
      </c>
      <c r="F18" s="45"/>
      <c r="G18" s="25">
        <f>Rates!I169</f>
        <v>1.1000000000000001E-3</v>
      </c>
      <c r="H18" s="37">
        <f t="shared" ref="H18:H21" si="6">D18</f>
        <v>800</v>
      </c>
      <c r="I18" s="36">
        <f t="shared" si="5"/>
        <v>0.88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Rates!E170</f>
        <v>1.2999999999999999E-3</v>
      </c>
      <c r="D19" s="37">
        <f>C7</f>
        <v>800</v>
      </c>
      <c r="E19" s="36">
        <f t="shared" si="4"/>
        <v>1.04</v>
      </c>
      <c r="F19" s="45"/>
      <c r="G19" s="25">
        <f>Rates!I170</f>
        <v>1.2999999999999999E-3</v>
      </c>
      <c r="H19" s="37">
        <f t="shared" si="6"/>
        <v>800</v>
      </c>
      <c r="I19" s="36">
        <f t="shared" si="5"/>
        <v>1.04</v>
      </c>
      <c r="J19" s="45"/>
      <c r="K19" s="36">
        <f t="shared" si="2"/>
        <v>0</v>
      </c>
      <c r="L19" s="47">
        <f t="shared" si="3"/>
        <v>0</v>
      </c>
    </row>
    <row r="20" spans="2:12" ht="25.5" x14ac:dyDescent="0.2">
      <c r="B20" s="48" t="str">
        <f>Rates!B139</f>
        <v>Rate Rider for the Disposition of Deferred PILs Variance Account 1562 - effective until December 31, 2016</v>
      </c>
      <c r="C20" s="25">
        <f>Rates!E171</f>
        <v>5.9999999999999995E-4</v>
      </c>
      <c r="D20" s="37">
        <f>C7</f>
        <v>800</v>
      </c>
      <c r="E20" s="36">
        <f t="shared" si="4"/>
        <v>0.48</v>
      </c>
      <c r="F20" s="45"/>
      <c r="G20" s="25">
        <f>Rates!I171</f>
        <v>5.9999999999999995E-4</v>
      </c>
      <c r="H20" s="37">
        <f>C7</f>
        <v>800</v>
      </c>
      <c r="I20" s="36">
        <f t="shared" si="5"/>
        <v>0.48</v>
      </c>
      <c r="J20" s="45"/>
      <c r="K20" s="36">
        <f t="shared" ref="K20" si="7">I20-E20</f>
        <v>0</v>
      </c>
      <c r="L20" s="47">
        <f t="shared" ref="L20" si="8">IF((E20)=0," ",K20/E20)</f>
        <v>0</v>
      </c>
    </row>
    <row r="21" spans="2:12" x14ac:dyDescent="0.2">
      <c r="B21" s="44" t="str">
        <f>Rates!B10</f>
        <v>Low Voltage Service Rate</v>
      </c>
      <c r="C21" s="25">
        <f>Rates!E168</f>
        <v>2.0000000000000001E-4</v>
      </c>
      <c r="D21" s="37">
        <f>C7</f>
        <v>800</v>
      </c>
      <c r="E21" s="36">
        <f t="shared" si="4"/>
        <v>0.16</v>
      </c>
      <c r="F21" s="45"/>
      <c r="G21" s="25">
        <f>Rates!I168</f>
        <v>2.0000000000000001E-4</v>
      </c>
      <c r="H21" s="37">
        <f t="shared" si="6"/>
        <v>800</v>
      </c>
      <c r="I21" s="36">
        <f t="shared" si="5"/>
        <v>0.16</v>
      </c>
      <c r="J21" s="45"/>
      <c r="K21" s="36">
        <f t="shared" si="2"/>
        <v>0</v>
      </c>
      <c r="L21" s="47">
        <f t="shared" si="3"/>
        <v>0</v>
      </c>
    </row>
    <row r="22" spans="2:12" x14ac:dyDescent="0.2">
      <c r="B22" s="49" t="s">
        <v>64</v>
      </c>
      <c r="C22" s="50"/>
      <c r="D22" s="51"/>
      <c r="E22" s="52">
        <f>SUM(E16:E21)</f>
        <v>75.477904000000009</v>
      </c>
      <c r="F22" s="53"/>
      <c r="G22" s="50"/>
      <c r="H22" s="51"/>
      <c r="I22" s="52">
        <f>SUM(I16:I21)</f>
        <v>68.11790400000001</v>
      </c>
      <c r="J22" s="53"/>
      <c r="K22" s="54">
        <f t="shared" si="2"/>
        <v>-7.3599999999999994</v>
      </c>
      <c r="L22" s="55">
        <f t="shared" si="3"/>
        <v>-9.7511981784761781E-2</v>
      </c>
    </row>
    <row r="23" spans="2:12" x14ac:dyDescent="0.2">
      <c r="B23" s="44" t="str">
        <f>Rates!B13</f>
        <v>Retail Transmission Rate - Network Service Rate</v>
      </c>
      <c r="C23" s="25">
        <f>Rates!E172</f>
        <v>5.8999999999999999E-3</v>
      </c>
      <c r="D23" s="37">
        <f>C7*C5</f>
        <v>843.36</v>
      </c>
      <c r="E23" s="36">
        <f>C23*D23</f>
        <v>4.9758240000000002</v>
      </c>
      <c r="F23" s="45"/>
      <c r="G23" s="25">
        <f>Rates!I172</f>
        <v>6.1999999999999998E-3</v>
      </c>
      <c r="H23" s="37">
        <f>D23</f>
        <v>843.36</v>
      </c>
      <c r="I23" s="36">
        <f>G23*H23</f>
        <v>5.2288319999999997</v>
      </c>
      <c r="J23" s="45"/>
      <c r="K23" s="36">
        <f t="shared" si="2"/>
        <v>0.25300799999999946</v>
      </c>
      <c r="L23" s="47">
        <f t="shared" si="3"/>
        <v>5.0847457627118529E-2</v>
      </c>
    </row>
    <row r="24" spans="2:12" x14ac:dyDescent="0.2">
      <c r="B24" s="44" t="str">
        <f>Rates!B14</f>
        <v>Retail Transmission Rate - Line and Transformation Connection Service Rate</v>
      </c>
      <c r="C24" s="25">
        <f>Rates!E173</f>
        <v>4.7000000000000002E-3</v>
      </c>
      <c r="D24" s="37">
        <f>C7*C5</f>
        <v>843.36</v>
      </c>
      <c r="E24" s="36">
        <f>C24*D24</f>
        <v>3.9637920000000002</v>
      </c>
      <c r="F24" s="45"/>
      <c r="G24" s="25">
        <f>Rates!I173</f>
        <v>4.7999999999999996E-3</v>
      </c>
      <c r="H24" s="37">
        <f>D24</f>
        <v>843.36</v>
      </c>
      <c r="I24" s="36">
        <f>G24*H24</f>
        <v>4.0481279999999993</v>
      </c>
      <c r="J24" s="45"/>
      <c r="K24" s="36">
        <f t="shared" si="2"/>
        <v>8.4335999999999078E-2</v>
      </c>
      <c r="L24" s="47">
        <f t="shared" si="3"/>
        <v>2.1276595744680618E-2</v>
      </c>
    </row>
    <row r="25" spans="2:12" x14ac:dyDescent="0.2">
      <c r="B25" s="49" t="s">
        <v>65</v>
      </c>
      <c r="C25" s="50"/>
      <c r="D25" s="51"/>
      <c r="E25" s="52">
        <f>SUM(E22:E24)</f>
        <v>84.41752000000001</v>
      </c>
      <c r="F25" s="53"/>
      <c r="G25" s="50"/>
      <c r="H25" s="52"/>
      <c r="I25" s="52">
        <f>SUM(I22:I24)</f>
        <v>77.394864000000013</v>
      </c>
      <c r="J25" s="53"/>
      <c r="K25" s="54">
        <f t="shared" si="2"/>
        <v>-7.0226559999999978</v>
      </c>
      <c r="L25" s="55">
        <f t="shared" si="3"/>
        <v>-8.3189555912090249E-2</v>
      </c>
    </row>
    <row r="26" spans="2:12" x14ac:dyDescent="0.2">
      <c r="B26" s="44" t="str">
        <f>Rates!B199</f>
        <v>Wholesale Market Service Rate</v>
      </c>
      <c r="C26" s="25">
        <f>Rates!E199</f>
        <v>4.4000000000000003E-3</v>
      </c>
      <c r="D26" s="37">
        <f>C5*C7</f>
        <v>843.36</v>
      </c>
      <c r="E26" s="36">
        <f t="shared" ref="E26:E32" si="9">C26*D26</f>
        <v>3.7107840000000003</v>
      </c>
      <c r="F26" s="45"/>
      <c r="G26" s="25">
        <f>Rates!I199</f>
        <v>4.4000000000000003E-3</v>
      </c>
      <c r="H26" s="37">
        <f>D26</f>
        <v>843.36</v>
      </c>
      <c r="I26" s="36">
        <f t="shared" ref="I26:I32" si="10">G26*H26</f>
        <v>3.7107840000000003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Rates!B200</f>
        <v>Rural Rate Protection Charge</v>
      </c>
      <c r="C27" s="25">
        <f>Rates!E200</f>
        <v>1.1999999999999999E-3</v>
      </c>
      <c r="D27" s="37">
        <f>C5*C7</f>
        <v>843.36</v>
      </c>
      <c r="E27" s="36">
        <f t="shared" si="9"/>
        <v>1.0120319999999998</v>
      </c>
      <c r="F27" s="45"/>
      <c r="G27" s="25">
        <f>Rates!I200</f>
        <v>1.1999999999999999E-3</v>
      </c>
      <c r="H27" s="37">
        <f t="shared" ref="H27:H28" si="11">D27</f>
        <v>843.36</v>
      </c>
      <c r="I27" s="36">
        <f t="shared" si="10"/>
        <v>1.0120319999999998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Rates!B201</f>
        <v>Standard Supply Service - Administrative Charge (if applicable)</v>
      </c>
      <c r="C28" s="36">
        <f>Rates!E201</f>
        <v>0.25</v>
      </c>
      <c r="D28" s="37">
        <v>1</v>
      </c>
      <c r="E28" s="36">
        <f t="shared" si="9"/>
        <v>0.25</v>
      </c>
      <c r="F28" s="45"/>
      <c r="G28" s="36">
        <f>Rates!I201</f>
        <v>0.25</v>
      </c>
      <c r="H28" s="37">
        <f t="shared" si="11"/>
        <v>1</v>
      </c>
      <c r="I28" s="36">
        <f t="shared" si="10"/>
        <v>0.25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Rates!B204</f>
        <v>Debt Retirement Charge</v>
      </c>
      <c r="C29" s="25">
        <f>Rates!E207</f>
        <v>7.0000000000000001E-3</v>
      </c>
      <c r="D29" s="37">
        <f>C7</f>
        <v>800</v>
      </c>
      <c r="E29" s="36">
        <f t="shared" si="9"/>
        <v>5.6000000000000005</v>
      </c>
      <c r="F29" s="45"/>
      <c r="G29" s="25">
        <f>Rates!I207</f>
        <v>7.0000000000000001E-3</v>
      </c>
      <c r="H29" s="37">
        <f>D29</f>
        <v>800</v>
      </c>
      <c r="I29" s="36">
        <f t="shared" si="10"/>
        <v>5.6000000000000005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Rates!B217</f>
        <v>TOU - Off Peak</v>
      </c>
      <c r="C30" s="25">
        <f>Rates!E217</f>
        <v>6.7000000000000004E-2</v>
      </c>
      <c r="D30" s="37">
        <f>C7*0.64</f>
        <v>512</v>
      </c>
      <c r="E30" s="36">
        <f t="shared" si="9"/>
        <v>34.304000000000002</v>
      </c>
      <c r="F30" s="45"/>
      <c r="G30" s="25">
        <f>Rates!I217</f>
        <v>6.7000000000000004E-2</v>
      </c>
      <c r="H30" s="37">
        <f>D30</f>
        <v>512</v>
      </c>
      <c r="I30" s="36">
        <f t="shared" si="10"/>
        <v>34.304000000000002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Rates!B218</f>
        <v>TOU - Mid Peak</v>
      </c>
      <c r="C31" s="25">
        <f>Rates!E218</f>
        <v>0.104</v>
      </c>
      <c r="D31" s="37">
        <f>C7*0.18</f>
        <v>144</v>
      </c>
      <c r="E31" s="36">
        <f t="shared" si="9"/>
        <v>14.975999999999999</v>
      </c>
      <c r="F31" s="45"/>
      <c r="G31" s="25">
        <f>Rates!I218</f>
        <v>0.104</v>
      </c>
      <c r="H31" s="37">
        <f t="shared" ref="H31:H32" si="12">D31</f>
        <v>144</v>
      </c>
      <c r="I31" s="36">
        <f t="shared" si="10"/>
        <v>14.975999999999999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Rates!B219</f>
        <v>TOU - On Peak</v>
      </c>
      <c r="C32" s="25">
        <f>Rates!E219</f>
        <v>0.124</v>
      </c>
      <c r="D32" s="37">
        <f>C7*0.18</f>
        <v>144</v>
      </c>
      <c r="E32" s="36">
        <f t="shared" si="9"/>
        <v>17.856000000000002</v>
      </c>
      <c r="F32" s="45"/>
      <c r="G32" s="25">
        <f>Rates!I219</f>
        <v>0.124</v>
      </c>
      <c r="H32" s="37">
        <f t="shared" si="12"/>
        <v>144</v>
      </c>
      <c r="I32" s="36">
        <f t="shared" si="10"/>
        <v>17.856000000000002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56"/>
      <c r="C33" s="51"/>
      <c r="D33" s="51"/>
      <c r="E33" s="51"/>
      <c r="F33" s="53"/>
      <c r="G33" s="51"/>
      <c r="H33" s="51"/>
      <c r="I33" s="51"/>
      <c r="J33" s="53"/>
      <c r="K33" s="54"/>
      <c r="L33" s="55"/>
    </row>
    <row r="34" spans="2:12" x14ac:dyDescent="0.2">
      <c r="B34" s="23" t="s">
        <v>66</v>
      </c>
      <c r="C34" s="35"/>
      <c r="D34" s="35"/>
      <c r="E34" s="39">
        <f>SUM(E25:E32)</f>
        <v>162.12633600000001</v>
      </c>
      <c r="F34" s="45"/>
      <c r="G34" s="35"/>
      <c r="H34" s="39"/>
      <c r="I34" s="39">
        <f>SUM(I25:I32)</f>
        <v>155.10368</v>
      </c>
      <c r="J34" s="45"/>
      <c r="K34" s="36">
        <f t="shared" si="2"/>
        <v>-7.022656000000012</v>
      </c>
      <c r="L34" s="47">
        <f t="shared" si="3"/>
        <v>-4.3315948372508781E-2</v>
      </c>
    </row>
    <row r="35" spans="2:12" x14ac:dyDescent="0.2">
      <c r="B35" s="44" t="str">
        <f>Rates!B223</f>
        <v>HST</v>
      </c>
      <c r="C35" s="41">
        <f>Rates!E223</f>
        <v>0.13</v>
      </c>
      <c r="D35" s="35"/>
      <c r="E35" s="42">
        <f>E34*C35</f>
        <v>21.076423680000001</v>
      </c>
      <c r="F35" s="45"/>
      <c r="G35" s="41">
        <f>Rates!I223</f>
        <v>0.13</v>
      </c>
      <c r="H35" s="35"/>
      <c r="I35" s="42">
        <f>I34*G35</f>
        <v>20.163478399999999</v>
      </c>
      <c r="J35" s="45"/>
      <c r="K35" s="36">
        <f t="shared" si="2"/>
        <v>-0.91294528000000241</v>
      </c>
      <c r="L35" s="47">
        <f t="shared" si="3"/>
        <v>-4.3315948372508822E-2</v>
      </c>
    </row>
    <row r="36" spans="2:12" x14ac:dyDescent="0.2">
      <c r="B36" s="23" t="s">
        <v>67</v>
      </c>
      <c r="C36" s="35"/>
      <c r="D36" s="35"/>
      <c r="E36" s="42">
        <f>E34+E35</f>
        <v>183.20275968000001</v>
      </c>
      <c r="F36" s="45"/>
      <c r="G36" s="35"/>
      <c r="H36" s="35"/>
      <c r="I36" s="42">
        <f>I34+I35</f>
        <v>175.2671584</v>
      </c>
      <c r="J36" s="45"/>
      <c r="K36" s="36">
        <f t="shared" si="2"/>
        <v>-7.9356012800000144</v>
      </c>
      <c r="L36" s="47">
        <f t="shared" si="3"/>
        <v>-4.3315948372508781E-2</v>
      </c>
    </row>
    <row r="37" spans="2:12" x14ac:dyDescent="0.2">
      <c r="B37" s="44" t="str">
        <f>Rates!B225</f>
        <v>OCEB</v>
      </c>
      <c r="C37" s="41">
        <f>Rates!E225</f>
        <v>-0.1</v>
      </c>
      <c r="D37" s="35"/>
      <c r="E37" s="42">
        <f>E36*C37</f>
        <v>-18.320275968000001</v>
      </c>
      <c r="F37" s="45"/>
      <c r="G37" s="41">
        <f>Rates!I225</f>
        <v>-0.1</v>
      </c>
      <c r="H37" s="35"/>
      <c r="I37" s="42">
        <f>I36*G37</f>
        <v>-17.526715840000001</v>
      </c>
      <c r="J37" s="45"/>
      <c r="K37" s="36">
        <f t="shared" si="2"/>
        <v>0.79356012799999931</v>
      </c>
      <c r="L37" s="47">
        <f t="shared" si="3"/>
        <v>-4.331594837250867E-2</v>
      </c>
    </row>
    <row r="38" spans="2:12" ht="13.5" thickBot="1" x14ac:dyDescent="0.25">
      <c r="B38" s="30" t="s">
        <v>68</v>
      </c>
      <c r="C38" s="57"/>
      <c r="D38" s="57"/>
      <c r="E38" s="58">
        <f>E36+E37</f>
        <v>164.88248371200001</v>
      </c>
      <c r="F38" s="59"/>
      <c r="G38" s="57"/>
      <c r="H38" s="57"/>
      <c r="I38" s="58">
        <f>I36+I37</f>
        <v>157.74044255999999</v>
      </c>
      <c r="J38" s="59"/>
      <c r="K38" s="60">
        <f t="shared" si="2"/>
        <v>-7.1420411520000187</v>
      </c>
      <c r="L38" s="61">
        <f t="shared" si="3"/>
        <v>-4.3315948372508815E-2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35"/>
  <sheetViews>
    <sheetView showGridLines="0" workbookViewId="0">
      <selection activeCell="H39" sqref="H39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Rates!B130</f>
        <v>CNPI - Port Colborne</v>
      </c>
    </row>
    <row r="3" spans="2:12" ht="15.75" x14ac:dyDescent="0.25">
      <c r="B3" s="24" t="str">
        <f>Rates!B175</f>
        <v xml:space="preserve">Sentinel Lighting 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60</v>
      </c>
    </row>
    <row r="8" spans="2:12" x14ac:dyDescent="0.2">
      <c r="B8" s="28" t="s">
        <v>72</v>
      </c>
      <c r="C8" s="62">
        <v>0.2</v>
      </c>
    </row>
    <row r="9" spans="2:12" ht="13.5" thickBot="1" x14ac:dyDescent="0.25">
      <c r="B9" s="30" t="s">
        <v>73</v>
      </c>
      <c r="C9" s="31">
        <f>IF(C8=0,"n/a",C7/(C8*24*365/12))</f>
        <v>0.41095890410958896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Rates!E176</f>
        <v>5</v>
      </c>
      <c r="D14" s="37">
        <f>C6</f>
        <v>1</v>
      </c>
      <c r="E14" s="36">
        <f>C14*D14</f>
        <v>5</v>
      </c>
      <c r="F14" s="45"/>
      <c r="G14" s="36">
        <f>Rates!I176</f>
        <v>5.04</v>
      </c>
      <c r="H14" s="37">
        <f>D14</f>
        <v>1</v>
      </c>
      <c r="I14" s="36">
        <f>G14*H14</f>
        <v>5.04</v>
      </c>
      <c r="J14" s="45"/>
      <c r="K14" s="36">
        <f>I14-E14</f>
        <v>4.0000000000000036E-2</v>
      </c>
      <c r="L14" s="47">
        <f>IF((E14)=0," ",K14/E14)</f>
        <v>8.0000000000000071E-3</v>
      </c>
    </row>
    <row r="15" spans="2:12" x14ac:dyDescent="0.2">
      <c r="B15" s="44" t="str">
        <f>Rates!B7</f>
        <v>Distribution Volumetric Rate</v>
      </c>
      <c r="C15" s="25">
        <f>Rates!E177</f>
        <v>5.0088999999999997</v>
      </c>
      <c r="D15" s="93">
        <f>C8</f>
        <v>0.2</v>
      </c>
      <c r="E15" s="36">
        <f t="shared" ref="E15" si="0">C15*D15</f>
        <v>1.0017799999999999</v>
      </c>
      <c r="F15" s="45"/>
      <c r="G15" s="25">
        <f>Rates!I177</f>
        <v>4.9728000000000003</v>
      </c>
      <c r="H15" s="93">
        <f>D15</f>
        <v>0.2</v>
      </c>
      <c r="I15" s="36">
        <f t="shared" ref="I15" si="1">G15*H15</f>
        <v>0.99456000000000011</v>
      </c>
      <c r="J15" s="45"/>
      <c r="K15" s="36">
        <f t="shared" ref="K15:K35" si="2">I15-E15</f>
        <v>-7.2199999999997821E-3</v>
      </c>
      <c r="L15" s="47">
        <f t="shared" ref="L15:L35" si="3">IF((E15)=0," ",K15/E15)</f>
        <v>-7.2071712352011251E-3</v>
      </c>
    </row>
    <row r="16" spans="2:12" x14ac:dyDescent="0.2">
      <c r="B16" s="49" t="s">
        <v>40</v>
      </c>
      <c r="C16" s="50"/>
      <c r="D16" s="51"/>
      <c r="E16" s="52">
        <f>SUM(E14:E15)</f>
        <v>6.0017800000000001</v>
      </c>
      <c r="F16" s="53"/>
      <c r="G16" s="50"/>
      <c r="H16" s="51"/>
      <c r="I16" s="52">
        <f>SUM(I14:I15)</f>
        <v>6.0345599999999999</v>
      </c>
      <c r="J16" s="53"/>
      <c r="K16" s="54">
        <f t="shared" si="2"/>
        <v>3.2779999999999809E-2</v>
      </c>
      <c r="L16" s="55">
        <f t="shared" si="3"/>
        <v>5.4617130251358448E-3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3.2520000000000016</v>
      </c>
      <c r="E17" s="36">
        <f t="shared" ref="E17:E20" si="4">C17*D17</f>
        <v>0.27284280000000016</v>
      </c>
      <c r="F17" s="45"/>
      <c r="G17" s="25">
        <f>Rates!I221</f>
        <v>8.3900000000000002E-2</v>
      </c>
      <c r="H17" s="40">
        <f>(C5-1)*C7</f>
        <v>3.2520000000000016</v>
      </c>
      <c r="I17" s="36">
        <f t="shared" ref="I17:I20" si="5">G17*H17</f>
        <v>0.27284280000000016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Rates!E179</f>
        <v>0.36849999999999999</v>
      </c>
      <c r="D18" s="91">
        <f>C8</f>
        <v>0.2</v>
      </c>
      <c r="E18" s="36">
        <f t="shared" si="4"/>
        <v>7.3700000000000002E-2</v>
      </c>
      <c r="F18" s="45"/>
      <c r="G18" s="25">
        <f>Rates!I179</f>
        <v>0.36849999999999999</v>
      </c>
      <c r="H18" s="91">
        <f t="shared" ref="H18:H20" si="6">D18</f>
        <v>0.2</v>
      </c>
      <c r="I18" s="36">
        <f t="shared" si="5"/>
        <v>7.3700000000000002E-2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Rates!B180</f>
        <v>Rate Rider for the Disposition of Deferred PILs Variance Account 1562 - effective until December 31, 2016</v>
      </c>
      <c r="C19" s="25">
        <f>Rates!E180</f>
        <v>0.94199999999999995</v>
      </c>
      <c r="D19" s="91">
        <f>C8</f>
        <v>0.2</v>
      </c>
      <c r="E19" s="36">
        <f t="shared" si="4"/>
        <v>0.18840000000000001</v>
      </c>
      <c r="F19" s="45"/>
      <c r="G19" s="25">
        <f>Rates!I180</f>
        <v>0.94199999999999995</v>
      </c>
      <c r="H19" s="91">
        <f>C8</f>
        <v>0.2</v>
      </c>
      <c r="I19" s="36">
        <f t="shared" si="5"/>
        <v>0.18840000000000001</v>
      </c>
      <c r="J19" s="45"/>
      <c r="K19" s="36">
        <f t="shared" ref="K19" si="7">I19-E19</f>
        <v>0</v>
      </c>
      <c r="L19" s="47">
        <f t="shared" ref="L19" si="8">IF((E19)=0," ",K19/E19)</f>
        <v>0</v>
      </c>
    </row>
    <row r="20" spans="2:12" x14ac:dyDescent="0.2">
      <c r="B20" s="44" t="str">
        <f>Rates!B10</f>
        <v>Low Voltage Service Rate</v>
      </c>
      <c r="C20" s="25">
        <f>Rates!E178</f>
        <v>5.4199999999999998E-2</v>
      </c>
      <c r="D20" s="91">
        <f>C8</f>
        <v>0.2</v>
      </c>
      <c r="E20" s="36">
        <f t="shared" si="4"/>
        <v>1.0840000000000001E-2</v>
      </c>
      <c r="F20" s="45"/>
      <c r="G20" s="25">
        <f>Rates!I178</f>
        <v>5.4199999999999998E-2</v>
      </c>
      <c r="H20" s="91">
        <f t="shared" si="6"/>
        <v>0.2</v>
      </c>
      <c r="I20" s="36">
        <f t="shared" si="5"/>
        <v>1.0840000000000001E-2</v>
      </c>
      <c r="J20" s="45"/>
      <c r="K20" s="36">
        <f t="shared" si="2"/>
        <v>0</v>
      </c>
      <c r="L20" s="47">
        <f t="shared" si="3"/>
        <v>0</v>
      </c>
    </row>
    <row r="21" spans="2:12" x14ac:dyDescent="0.2">
      <c r="B21" s="49" t="s">
        <v>64</v>
      </c>
      <c r="C21" s="50"/>
      <c r="D21" s="51"/>
      <c r="E21" s="52">
        <f>SUM(E16:E20)</f>
        <v>6.5475627999999997</v>
      </c>
      <c r="F21" s="53"/>
      <c r="G21" s="50"/>
      <c r="H21" s="51"/>
      <c r="I21" s="52">
        <f>SUM(I16:I20)</f>
        <v>6.5803427999999995</v>
      </c>
      <c r="J21" s="53"/>
      <c r="K21" s="54">
        <f t="shared" si="2"/>
        <v>3.2779999999999809E-2</v>
      </c>
      <c r="L21" s="55">
        <f t="shared" si="3"/>
        <v>5.0064430080761979E-3</v>
      </c>
    </row>
    <row r="22" spans="2:12" x14ac:dyDescent="0.2">
      <c r="B22" s="44" t="str">
        <f>Rates!B13</f>
        <v>Retail Transmission Rate - Network Service Rate</v>
      </c>
      <c r="C22" s="25">
        <f>Rates!E115</f>
        <v>2.0514000000000001</v>
      </c>
      <c r="D22" s="91">
        <f>C8</f>
        <v>0.2</v>
      </c>
      <c r="E22" s="36">
        <f>C22*D22</f>
        <v>0.41028000000000003</v>
      </c>
      <c r="F22" s="45"/>
      <c r="G22" s="25">
        <f>Rates!I115</f>
        <v>2.1646999999999998</v>
      </c>
      <c r="H22" s="91">
        <f>D22</f>
        <v>0.2</v>
      </c>
      <c r="I22" s="36">
        <f>G22*H22</f>
        <v>0.43293999999999999</v>
      </c>
      <c r="J22" s="45"/>
      <c r="K22" s="36">
        <f t="shared" si="2"/>
        <v>2.2659999999999958E-2</v>
      </c>
      <c r="L22" s="47">
        <f t="shared" si="3"/>
        <v>5.5230574241980981E-2</v>
      </c>
    </row>
    <row r="23" spans="2:12" x14ac:dyDescent="0.2">
      <c r="B23" s="44" t="str">
        <f>Rates!B14</f>
        <v>Retail Transmission Rate - Line and Transformation Connection Service Rate</v>
      </c>
      <c r="C23" s="25">
        <f>Rates!E116</f>
        <v>1.5559000000000001</v>
      </c>
      <c r="D23" s="91">
        <f>C8</f>
        <v>0.2</v>
      </c>
      <c r="E23" s="36">
        <f>C23*D23</f>
        <v>0.31118000000000001</v>
      </c>
      <c r="F23" s="45"/>
      <c r="G23" s="25">
        <f>Rates!I116</f>
        <v>1.5792999999999999</v>
      </c>
      <c r="H23" s="91">
        <f>D23</f>
        <v>0.2</v>
      </c>
      <c r="I23" s="36">
        <f>G23*H23</f>
        <v>0.31586000000000003</v>
      </c>
      <c r="J23" s="45"/>
      <c r="K23" s="36">
        <f t="shared" si="2"/>
        <v>4.6800000000000175E-3</v>
      </c>
      <c r="L23" s="47">
        <f t="shared" si="3"/>
        <v>1.5039526961887066E-2</v>
      </c>
    </row>
    <row r="24" spans="2:12" x14ac:dyDescent="0.2">
      <c r="B24" s="49" t="s">
        <v>65</v>
      </c>
      <c r="C24" s="50"/>
      <c r="D24" s="51"/>
      <c r="E24" s="52">
        <f>SUM(E21:E23)</f>
        <v>7.2690228000000001</v>
      </c>
      <c r="F24" s="53"/>
      <c r="G24" s="50"/>
      <c r="H24" s="52"/>
      <c r="I24" s="52">
        <f>SUM(I21:I23)</f>
        <v>7.3291427999999996</v>
      </c>
      <c r="J24" s="53"/>
      <c r="K24" s="54">
        <f t="shared" si="2"/>
        <v>6.0119999999999507E-2</v>
      </c>
      <c r="L24" s="55">
        <f t="shared" si="3"/>
        <v>8.2707128116312287E-3</v>
      </c>
    </row>
    <row r="25" spans="2:12" x14ac:dyDescent="0.2">
      <c r="B25" s="44" t="str">
        <f>Rates!B199</f>
        <v>Wholesale Market Service Rate</v>
      </c>
      <c r="C25" s="25">
        <f>Rates!E199</f>
        <v>4.4000000000000003E-3</v>
      </c>
      <c r="D25" s="37">
        <f>C5*C7</f>
        <v>63.252000000000002</v>
      </c>
      <c r="E25" s="36">
        <f t="shared" ref="E25:E29" si="9">C25*D25</f>
        <v>0.27830880000000002</v>
      </c>
      <c r="F25" s="45"/>
      <c r="G25" s="25">
        <f>Rates!I199</f>
        <v>4.4000000000000003E-3</v>
      </c>
      <c r="H25" s="37">
        <f>D25</f>
        <v>63.252000000000002</v>
      </c>
      <c r="I25" s="36">
        <f t="shared" ref="I25:I29" si="10">G25*H25</f>
        <v>0.27830880000000002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Rates!B200</f>
        <v>Rural Rate Protection Charge</v>
      </c>
      <c r="C26" s="25">
        <f>Rates!E200</f>
        <v>1.1999999999999999E-3</v>
      </c>
      <c r="D26" s="37">
        <f>C5*C7</f>
        <v>63.252000000000002</v>
      </c>
      <c r="E26" s="36">
        <f t="shared" si="9"/>
        <v>7.5902399999999995E-2</v>
      </c>
      <c r="F26" s="45"/>
      <c r="G26" s="25">
        <f>Rates!I200</f>
        <v>1.1999999999999999E-3</v>
      </c>
      <c r="H26" s="37">
        <f t="shared" ref="H26:H27" si="11">D26</f>
        <v>63.252000000000002</v>
      </c>
      <c r="I26" s="36">
        <f t="shared" si="10"/>
        <v>7.5902399999999995E-2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Rates!B201</f>
        <v>Standard Supply Service - Administrative Charge (if applicable)</v>
      </c>
      <c r="C27" s="36">
        <f>Rates!E201</f>
        <v>0.25</v>
      </c>
      <c r="D27" s="37">
        <v>1</v>
      </c>
      <c r="E27" s="36">
        <f t="shared" si="9"/>
        <v>0.25</v>
      </c>
      <c r="F27" s="45"/>
      <c r="G27" s="36">
        <f>Rates!I201</f>
        <v>0.25</v>
      </c>
      <c r="H27" s="37">
        <f t="shared" si="11"/>
        <v>1</v>
      </c>
      <c r="I27" s="36">
        <f t="shared" si="10"/>
        <v>0.25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Rates!B204</f>
        <v>Debt Retirement Charge</v>
      </c>
      <c r="C28" s="25">
        <f>Rates!E206</f>
        <v>5.1000000000000004E-3</v>
      </c>
      <c r="D28" s="37">
        <f>C7</f>
        <v>60</v>
      </c>
      <c r="E28" s="36">
        <f t="shared" si="9"/>
        <v>0.30600000000000005</v>
      </c>
      <c r="F28" s="45"/>
      <c r="G28" s="25">
        <f>Rates!I206</f>
        <v>5.1000000000000004E-3</v>
      </c>
      <c r="H28" s="37">
        <f>D28</f>
        <v>60</v>
      </c>
      <c r="I28" s="36">
        <f t="shared" si="10"/>
        <v>0.30600000000000005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Rates!B221</f>
        <v>Energy Price</v>
      </c>
      <c r="C29" s="25">
        <f>Rates!E221</f>
        <v>8.3900000000000002E-2</v>
      </c>
      <c r="D29" s="37">
        <f>C7*0.64</f>
        <v>38.4</v>
      </c>
      <c r="E29" s="36">
        <f t="shared" si="9"/>
        <v>3.2217600000000002</v>
      </c>
      <c r="F29" s="45"/>
      <c r="G29" s="25">
        <f>Rates!I221</f>
        <v>8.3900000000000002E-2</v>
      </c>
      <c r="H29" s="37">
        <f>D29</f>
        <v>38.4</v>
      </c>
      <c r="I29" s="36">
        <f t="shared" si="10"/>
        <v>3.2217600000000002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56"/>
      <c r="C30" s="51"/>
      <c r="D30" s="51"/>
      <c r="E30" s="51"/>
      <c r="F30" s="53"/>
      <c r="G30" s="51"/>
      <c r="H30" s="51"/>
      <c r="I30" s="51"/>
      <c r="J30" s="53"/>
      <c r="K30" s="54"/>
      <c r="L30" s="55"/>
    </row>
    <row r="31" spans="2:12" x14ac:dyDescent="0.2">
      <c r="B31" s="23" t="s">
        <v>66</v>
      </c>
      <c r="C31" s="35"/>
      <c r="D31" s="35"/>
      <c r="E31" s="39">
        <f>SUM(E24:E29)</f>
        <v>11.400994000000001</v>
      </c>
      <c r="F31" s="45"/>
      <c r="G31" s="35"/>
      <c r="H31" s="39"/>
      <c r="I31" s="39">
        <f>SUM(I24:I29)</f>
        <v>11.461113999999998</v>
      </c>
      <c r="J31" s="45"/>
      <c r="K31" s="36">
        <f t="shared" si="2"/>
        <v>6.0119999999997731E-2</v>
      </c>
      <c r="L31" s="47">
        <f t="shared" si="3"/>
        <v>5.2732244223615702E-3</v>
      </c>
    </row>
    <row r="32" spans="2:12" x14ac:dyDescent="0.2">
      <c r="B32" s="44" t="str">
        <f>Rates!B223</f>
        <v>HST</v>
      </c>
      <c r="C32" s="41">
        <f>Rates!E223</f>
        <v>0.13</v>
      </c>
      <c r="D32" s="35"/>
      <c r="E32" s="42">
        <f>E31*C32</f>
        <v>1.4821292200000002</v>
      </c>
      <c r="F32" s="45"/>
      <c r="G32" s="41">
        <f>Rates!I223</f>
        <v>0.13</v>
      </c>
      <c r="H32" s="35"/>
      <c r="I32" s="42">
        <f>I31*G32</f>
        <v>1.4899448199999998</v>
      </c>
      <c r="J32" s="45"/>
      <c r="K32" s="36">
        <f t="shared" si="2"/>
        <v>7.8155999999995895E-3</v>
      </c>
      <c r="L32" s="47">
        <f t="shared" si="3"/>
        <v>5.2732244223614921E-3</v>
      </c>
    </row>
    <row r="33" spans="2:12" x14ac:dyDescent="0.2">
      <c r="B33" s="23" t="s">
        <v>67</v>
      </c>
      <c r="C33" s="35"/>
      <c r="D33" s="35"/>
      <c r="E33" s="42">
        <f>E31+E32</f>
        <v>12.883123220000002</v>
      </c>
      <c r="F33" s="45"/>
      <c r="G33" s="35"/>
      <c r="H33" s="35"/>
      <c r="I33" s="42">
        <f>I31+I32</f>
        <v>12.951058819999998</v>
      </c>
      <c r="J33" s="45"/>
      <c r="K33" s="36">
        <f t="shared" si="2"/>
        <v>6.7935599999996654E-2</v>
      </c>
      <c r="L33" s="47">
        <f t="shared" si="3"/>
        <v>5.2732244223615094E-3</v>
      </c>
    </row>
    <row r="34" spans="2:12" x14ac:dyDescent="0.2">
      <c r="B34" s="44" t="str">
        <f>Rates!B225</f>
        <v>OCEB</v>
      </c>
      <c r="C34" s="41">
        <f>Rates!E225</f>
        <v>-0.1</v>
      </c>
      <c r="D34" s="35"/>
      <c r="E34" s="42">
        <f>E33*C34</f>
        <v>-1.2883123220000003</v>
      </c>
      <c r="F34" s="45"/>
      <c r="G34" s="41">
        <f>Rates!I225</f>
        <v>-0.1</v>
      </c>
      <c r="H34" s="35"/>
      <c r="I34" s="42">
        <f>I33*G34</f>
        <v>-1.2951058819999999</v>
      </c>
      <c r="J34" s="45"/>
      <c r="K34" s="36">
        <f t="shared" si="2"/>
        <v>-6.7935599999995322E-3</v>
      </c>
      <c r="L34" s="47">
        <f t="shared" si="3"/>
        <v>5.2732244223614054E-3</v>
      </c>
    </row>
    <row r="35" spans="2:12" ht="13.5" thickBot="1" x14ac:dyDescent="0.25">
      <c r="B35" s="30" t="s">
        <v>68</v>
      </c>
      <c r="C35" s="57"/>
      <c r="D35" s="57"/>
      <c r="E35" s="58">
        <f>E33+E34</f>
        <v>11.594810898000002</v>
      </c>
      <c r="F35" s="59"/>
      <c r="G35" s="57"/>
      <c r="H35" s="57"/>
      <c r="I35" s="58">
        <f>I33+I34</f>
        <v>11.655952937999999</v>
      </c>
      <c r="J35" s="59"/>
      <c r="K35" s="60">
        <f t="shared" si="2"/>
        <v>6.1142039999996456E-2</v>
      </c>
      <c r="L35" s="61">
        <f t="shared" si="3"/>
        <v>5.2732244223614626E-3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:I225"/>
  <sheetViews>
    <sheetView showGridLines="0" topLeftCell="A155" zoomScaleNormal="100" workbookViewId="0">
      <selection activeCell="I61" sqref="I61"/>
    </sheetView>
  </sheetViews>
  <sheetFormatPr defaultRowHeight="12.75" x14ac:dyDescent="0.2"/>
  <cols>
    <col min="1" max="1" width="3.85546875" customWidth="1"/>
    <col min="2" max="2" width="88.7109375" customWidth="1"/>
    <col min="3" max="3" width="6.7109375" style="2" customWidth="1"/>
    <col min="4" max="4" width="2.85546875" style="2" customWidth="1"/>
    <col min="5" max="5" width="11.28515625" bestFit="1" customWidth="1"/>
    <col min="6" max="7" width="11.28515625" hidden="1" customWidth="1"/>
    <col min="8" max="8" width="2.85546875" customWidth="1"/>
    <col min="9" max="9" width="10.85546875" customWidth="1"/>
  </cols>
  <sheetData>
    <row r="2" spans="2:9" ht="15.75" x14ac:dyDescent="0.25">
      <c r="B2" s="99" t="s">
        <v>37</v>
      </c>
      <c r="C2" s="99"/>
      <c r="D2" s="99"/>
      <c r="E2" s="99"/>
      <c r="F2" s="99"/>
      <c r="G2" s="99"/>
      <c r="H2" s="99"/>
      <c r="I2" s="99"/>
    </row>
    <row r="3" spans="2:9" x14ac:dyDescent="0.2">
      <c r="B3" s="1" t="s">
        <v>60</v>
      </c>
    </row>
    <row r="4" spans="2:9" ht="38.25" x14ac:dyDescent="0.2">
      <c r="B4" s="1" t="s">
        <v>0</v>
      </c>
      <c r="C4" s="7" t="s">
        <v>14</v>
      </c>
      <c r="D4" s="7"/>
      <c r="E4" s="8" t="s">
        <v>17</v>
      </c>
      <c r="F4" s="8"/>
      <c r="G4" s="8"/>
      <c r="H4" s="7"/>
      <c r="I4" s="8" t="s">
        <v>31</v>
      </c>
    </row>
    <row r="5" spans="2:9" x14ac:dyDescent="0.2">
      <c r="B5" s="1" t="s">
        <v>28</v>
      </c>
    </row>
    <row r="6" spans="2:9" x14ac:dyDescent="0.2">
      <c r="B6" t="s">
        <v>1</v>
      </c>
      <c r="C6" s="2" t="s">
        <v>8</v>
      </c>
      <c r="E6" s="3">
        <v>18.440000000000001</v>
      </c>
      <c r="F6" s="3"/>
      <c r="G6" s="3"/>
      <c r="H6" s="9"/>
      <c r="I6" s="3">
        <v>18.8</v>
      </c>
    </row>
    <row r="7" spans="2:9" x14ac:dyDescent="0.2">
      <c r="B7" t="s">
        <v>2</v>
      </c>
      <c r="C7" s="2" t="s">
        <v>9</v>
      </c>
      <c r="E7" s="4">
        <v>1.9900000000000001E-2</v>
      </c>
      <c r="F7" s="4"/>
      <c r="G7" s="4"/>
      <c r="H7" s="9"/>
      <c r="I7" s="4">
        <v>0.02</v>
      </c>
    </row>
    <row r="8" spans="2:9" x14ac:dyDescent="0.2">
      <c r="B8" s="10" t="s">
        <v>69</v>
      </c>
      <c r="C8" s="11" t="s">
        <v>8</v>
      </c>
      <c r="E8" s="12">
        <v>0.45</v>
      </c>
      <c r="F8" s="12"/>
      <c r="G8" s="12"/>
      <c r="I8" s="12">
        <v>0.45</v>
      </c>
    </row>
    <row r="9" spans="2:9" x14ac:dyDescent="0.2">
      <c r="B9" s="10" t="s">
        <v>51</v>
      </c>
      <c r="C9" s="11" t="s">
        <v>8</v>
      </c>
      <c r="E9" s="12">
        <v>1.5</v>
      </c>
      <c r="F9" s="12"/>
      <c r="G9" s="12"/>
      <c r="I9" s="12">
        <v>1.5</v>
      </c>
    </row>
    <row r="10" spans="2:9" x14ac:dyDescent="0.2">
      <c r="B10" s="10" t="s">
        <v>36</v>
      </c>
      <c r="C10" s="2" t="s">
        <v>9</v>
      </c>
      <c r="E10" s="4">
        <v>2.0000000000000001E-4</v>
      </c>
      <c r="F10" s="4"/>
      <c r="G10" s="4"/>
      <c r="H10" s="9"/>
      <c r="I10" s="4">
        <v>2.0000000000000001E-4</v>
      </c>
    </row>
    <row r="11" spans="2:9" x14ac:dyDescent="0.2">
      <c r="B11" s="10" t="s">
        <v>38</v>
      </c>
      <c r="C11" s="11" t="s">
        <v>9</v>
      </c>
      <c r="E11" s="4">
        <v>5.0000000000000001E-4</v>
      </c>
      <c r="F11" s="4"/>
      <c r="G11" s="4"/>
      <c r="H11" s="9"/>
      <c r="I11" s="4">
        <v>5.0000000000000001E-4</v>
      </c>
    </row>
    <row r="12" spans="2:9" ht="25.5" x14ac:dyDescent="0.2">
      <c r="B12" s="16" t="s">
        <v>39</v>
      </c>
      <c r="C12" s="20" t="s">
        <v>9</v>
      </c>
      <c r="D12" s="20"/>
      <c r="E12" s="21">
        <v>1.6999999999999999E-3</v>
      </c>
      <c r="F12" s="21"/>
      <c r="G12" s="21"/>
      <c r="H12" s="22"/>
      <c r="I12" s="21">
        <v>1.6999999999999999E-3</v>
      </c>
    </row>
    <row r="13" spans="2:9" x14ac:dyDescent="0.2">
      <c r="B13" t="s">
        <v>3</v>
      </c>
      <c r="C13" s="2" t="s">
        <v>9</v>
      </c>
      <c r="E13" s="4">
        <v>6.6E-3</v>
      </c>
      <c r="F13" s="4"/>
      <c r="G13" s="4"/>
      <c r="H13" s="9"/>
      <c r="I13" s="4">
        <v>7.0000000000000001E-3</v>
      </c>
    </row>
    <row r="14" spans="2:9" x14ac:dyDescent="0.2">
      <c r="B14" t="s">
        <v>4</v>
      </c>
      <c r="C14" s="2" t="s">
        <v>9</v>
      </c>
      <c r="E14" s="4">
        <v>5.3E-3</v>
      </c>
      <c r="F14" s="4"/>
      <c r="G14" s="4"/>
      <c r="I14" s="4">
        <v>5.4000000000000003E-3</v>
      </c>
    </row>
    <row r="16" spans="2:9" x14ac:dyDescent="0.2">
      <c r="B16" s="1" t="s">
        <v>18</v>
      </c>
    </row>
    <row r="17" spans="2:9" x14ac:dyDescent="0.2">
      <c r="B17" t="s">
        <v>1</v>
      </c>
      <c r="C17" s="2" t="s">
        <v>8</v>
      </c>
      <c r="E17" s="3">
        <v>22.52</v>
      </c>
      <c r="F17" s="3"/>
      <c r="G17" s="3"/>
      <c r="H17" s="9"/>
      <c r="I17" s="3">
        <v>24.18</v>
      </c>
    </row>
    <row r="18" spans="2:9" x14ac:dyDescent="0.2">
      <c r="B18" t="s">
        <v>2</v>
      </c>
      <c r="C18" s="2" t="s">
        <v>9</v>
      </c>
      <c r="E18" s="4">
        <v>2.4799999999999999E-2</v>
      </c>
      <c r="F18" s="4"/>
      <c r="G18" s="4"/>
      <c r="H18" s="12"/>
      <c r="I18" s="4">
        <v>2.3800000000000002E-2</v>
      </c>
    </row>
    <row r="19" spans="2:9" x14ac:dyDescent="0.2">
      <c r="B19" s="10" t="s">
        <v>52</v>
      </c>
      <c r="C19" s="11" t="s">
        <v>8</v>
      </c>
      <c r="E19" s="12">
        <v>1.96</v>
      </c>
      <c r="F19" s="12"/>
      <c r="G19" s="12"/>
      <c r="H19" s="12"/>
      <c r="I19" s="12">
        <v>1.96</v>
      </c>
    </row>
    <row r="20" spans="2:9" x14ac:dyDescent="0.2">
      <c r="B20" s="10" t="s">
        <v>51</v>
      </c>
      <c r="C20" s="11" t="s">
        <v>8</v>
      </c>
      <c r="E20" s="12">
        <v>3.04</v>
      </c>
      <c r="F20" s="12"/>
      <c r="G20" s="12"/>
      <c r="H20" s="9"/>
      <c r="I20" s="12">
        <v>3.04</v>
      </c>
    </row>
    <row r="21" spans="2:9" x14ac:dyDescent="0.2">
      <c r="B21" s="10" t="s">
        <v>36</v>
      </c>
      <c r="C21" s="2" t="s">
        <v>9</v>
      </c>
      <c r="D21" s="20"/>
      <c r="E21" s="4">
        <v>2.0000000000000001E-4</v>
      </c>
      <c r="F21" s="4"/>
      <c r="G21" s="4"/>
      <c r="I21" s="4">
        <v>2.0000000000000001E-4</v>
      </c>
    </row>
    <row r="22" spans="2:9" x14ac:dyDescent="0.2">
      <c r="B22" s="10" t="s">
        <v>38</v>
      </c>
      <c r="C22" s="11" t="s">
        <v>9</v>
      </c>
      <c r="E22" s="21">
        <v>2.0000000000000001E-4</v>
      </c>
      <c r="F22" s="21"/>
      <c r="G22" s="21"/>
      <c r="H22" s="22"/>
      <c r="I22" s="21">
        <v>2.0000000000000001E-4</v>
      </c>
    </row>
    <row r="23" spans="2:9" ht="25.5" x14ac:dyDescent="0.2">
      <c r="B23" s="16" t="s">
        <v>39</v>
      </c>
      <c r="C23" s="20" t="s">
        <v>9</v>
      </c>
      <c r="E23" s="4">
        <v>1.6999999999999999E-3</v>
      </c>
      <c r="F23" s="4"/>
      <c r="G23" s="4"/>
      <c r="I23" s="4">
        <v>1.6999999999999999E-3</v>
      </c>
    </row>
    <row r="24" spans="2:9" x14ac:dyDescent="0.2">
      <c r="B24" t="s">
        <v>3</v>
      </c>
      <c r="C24" s="2" t="s">
        <v>9</v>
      </c>
      <c r="E24" s="4">
        <v>5.7000000000000002E-3</v>
      </c>
      <c r="F24" s="4"/>
      <c r="G24" s="4"/>
      <c r="I24" s="4">
        <v>6.0000000000000001E-3</v>
      </c>
    </row>
    <row r="25" spans="2:9" x14ac:dyDescent="0.2">
      <c r="B25" t="s">
        <v>4</v>
      </c>
      <c r="C25" s="2" t="s">
        <v>9</v>
      </c>
      <c r="E25" s="4">
        <v>4.5999999999999999E-3</v>
      </c>
      <c r="F25" s="4"/>
      <c r="G25" s="4"/>
      <c r="I25" s="4">
        <v>4.7000000000000002E-3</v>
      </c>
    </row>
    <row r="26" spans="2:9" x14ac:dyDescent="0.2">
      <c r="E26" s="3"/>
      <c r="F26" s="3"/>
      <c r="G26" s="3"/>
      <c r="H26" s="3"/>
      <c r="I26" s="3"/>
    </row>
    <row r="27" spans="2:9" x14ac:dyDescent="0.2">
      <c r="B27" s="1" t="s">
        <v>20</v>
      </c>
    </row>
    <row r="28" spans="2:9" x14ac:dyDescent="0.2">
      <c r="B28" t="s">
        <v>1</v>
      </c>
      <c r="C28" s="2" t="s">
        <v>8</v>
      </c>
      <c r="E28" s="3">
        <v>137.72999999999999</v>
      </c>
      <c r="F28" s="3"/>
      <c r="G28" s="3"/>
      <c r="H28" s="9"/>
      <c r="I28" s="3">
        <v>142.47</v>
      </c>
    </row>
    <row r="29" spans="2:9" x14ac:dyDescent="0.2">
      <c r="B29" t="s">
        <v>2</v>
      </c>
      <c r="C29" s="2" t="s">
        <v>10</v>
      </c>
      <c r="E29" s="4">
        <v>7.3987999999999996</v>
      </c>
      <c r="F29" s="4"/>
      <c r="G29" s="4"/>
      <c r="H29" s="9"/>
      <c r="I29" s="4">
        <v>6.8696999999999999</v>
      </c>
    </row>
    <row r="30" spans="2:9" x14ac:dyDescent="0.2">
      <c r="B30" s="10" t="s">
        <v>36</v>
      </c>
      <c r="C30" s="2" t="s">
        <v>10</v>
      </c>
      <c r="E30" s="4">
        <v>7.3499999999999996E-2</v>
      </c>
      <c r="F30" s="4"/>
      <c r="G30" s="4"/>
      <c r="I30" s="4">
        <v>7.3499999999999996E-2</v>
      </c>
    </row>
    <row r="31" spans="2:9" x14ac:dyDescent="0.2">
      <c r="B31" s="10" t="s">
        <v>38</v>
      </c>
      <c r="C31" s="20" t="s">
        <v>10</v>
      </c>
      <c r="D31" s="20"/>
      <c r="E31" s="21">
        <v>0.1182</v>
      </c>
      <c r="F31" s="21"/>
      <c r="G31" s="21"/>
      <c r="H31" s="22"/>
      <c r="I31" s="21">
        <v>0.1182</v>
      </c>
    </row>
    <row r="32" spans="2:9" ht="25.5" x14ac:dyDescent="0.2">
      <c r="B32" s="16" t="s">
        <v>39</v>
      </c>
      <c r="C32" s="2" t="s">
        <v>10</v>
      </c>
      <c r="E32" s="4">
        <v>0.62809999999999999</v>
      </c>
      <c r="F32" s="4"/>
      <c r="G32" s="4"/>
      <c r="I32" s="4">
        <v>0.62809999999999999</v>
      </c>
    </row>
    <row r="33" spans="2:9" x14ac:dyDescent="0.2">
      <c r="B33" t="s">
        <v>3</v>
      </c>
      <c r="C33" s="2" t="s">
        <v>10</v>
      </c>
      <c r="E33" s="4">
        <v>2.4072</v>
      </c>
      <c r="F33" s="4"/>
      <c r="G33" s="4"/>
      <c r="I33" s="4">
        <v>2.5400999999999998</v>
      </c>
    </row>
    <row r="34" spans="2:9" x14ac:dyDescent="0.2">
      <c r="B34" t="s">
        <v>4</v>
      </c>
      <c r="C34" s="2" t="s">
        <v>10</v>
      </c>
      <c r="E34" s="4">
        <v>1.9064000000000001</v>
      </c>
      <c r="F34" s="4"/>
      <c r="G34" s="4"/>
      <c r="H34" s="5"/>
      <c r="I34" s="4">
        <v>1.9351</v>
      </c>
    </row>
    <row r="35" spans="2:9" x14ac:dyDescent="0.2">
      <c r="E35" s="3"/>
      <c r="F35" s="3"/>
      <c r="G35" s="3"/>
      <c r="H35" s="3"/>
      <c r="I35" s="3"/>
    </row>
    <row r="36" spans="2:9" x14ac:dyDescent="0.2">
      <c r="B36" s="1" t="s">
        <v>21</v>
      </c>
    </row>
    <row r="37" spans="2:9" x14ac:dyDescent="0.2">
      <c r="B37" s="10" t="s">
        <v>53</v>
      </c>
      <c r="C37" s="2" t="s">
        <v>8</v>
      </c>
      <c r="E37" s="3">
        <v>60.47</v>
      </c>
      <c r="F37" s="3"/>
      <c r="G37" s="3"/>
      <c r="H37" s="9"/>
      <c r="I37" s="3">
        <v>51.1</v>
      </c>
    </row>
    <row r="38" spans="2:9" x14ac:dyDescent="0.2">
      <c r="B38" t="s">
        <v>2</v>
      </c>
      <c r="C38" s="2" t="s">
        <v>9</v>
      </c>
      <c r="E38" s="4">
        <v>0.04</v>
      </c>
      <c r="F38" s="4"/>
      <c r="G38" s="4"/>
      <c r="H38" s="9"/>
      <c r="I38" s="4">
        <v>3.2199999999999999E-2</v>
      </c>
    </row>
    <row r="39" spans="2:9" x14ac:dyDescent="0.2">
      <c r="B39" s="10" t="s">
        <v>36</v>
      </c>
      <c r="C39" s="2" t="s">
        <v>9</v>
      </c>
      <c r="D39" s="20"/>
      <c r="E39" s="4">
        <v>2.0000000000000001E-4</v>
      </c>
      <c r="F39" s="4"/>
      <c r="G39" s="4"/>
      <c r="H39" s="22"/>
      <c r="I39" s="4">
        <v>2.0000000000000001E-4</v>
      </c>
    </row>
    <row r="40" spans="2:9" ht="12" customHeight="1" x14ac:dyDescent="0.2">
      <c r="B40" s="10" t="s">
        <v>38</v>
      </c>
      <c r="C40" s="11" t="s">
        <v>9</v>
      </c>
      <c r="E40" s="4">
        <v>2.9999999999999997E-4</v>
      </c>
      <c r="F40" s="4"/>
      <c r="G40" s="4"/>
      <c r="I40" s="4">
        <v>2.9999999999999997E-4</v>
      </c>
    </row>
    <row r="41" spans="2:9" ht="25.5" x14ac:dyDescent="0.2">
      <c r="B41" s="16" t="s">
        <v>39</v>
      </c>
      <c r="C41" s="20" t="s">
        <v>9</v>
      </c>
      <c r="E41" s="4">
        <v>1.6999999999999999E-3</v>
      </c>
      <c r="F41" s="4"/>
      <c r="G41" s="4"/>
      <c r="I41" s="4">
        <v>1.6999999999999999E-3</v>
      </c>
    </row>
    <row r="42" spans="2:9" x14ac:dyDescent="0.2">
      <c r="B42" s="10" t="s">
        <v>58</v>
      </c>
      <c r="C42" s="20"/>
      <c r="E42" s="4"/>
      <c r="F42" s="4"/>
      <c r="G42" s="4"/>
      <c r="I42" s="4"/>
    </row>
    <row r="43" spans="2:9" x14ac:dyDescent="0.2">
      <c r="B43" t="s">
        <v>3</v>
      </c>
      <c r="C43" s="2" t="s">
        <v>9</v>
      </c>
      <c r="E43" s="4">
        <v>5.8999999999999999E-3</v>
      </c>
      <c r="F43" s="4"/>
      <c r="G43" s="4"/>
      <c r="H43" s="5"/>
      <c r="I43" s="4">
        <v>6.1999999999999998E-3</v>
      </c>
    </row>
    <row r="44" spans="2:9" x14ac:dyDescent="0.2">
      <c r="B44" t="s">
        <v>4</v>
      </c>
      <c r="C44" s="2" t="s">
        <v>9</v>
      </c>
      <c r="E44" s="4">
        <v>4.7000000000000002E-3</v>
      </c>
      <c r="F44" s="4"/>
      <c r="G44" s="4"/>
      <c r="H44" s="6"/>
      <c r="I44" s="4">
        <v>4.7999999999999996E-3</v>
      </c>
    </row>
    <row r="45" spans="2:9" x14ac:dyDescent="0.2">
      <c r="E45" s="3"/>
      <c r="F45" s="3"/>
      <c r="G45" s="3"/>
      <c r="H45" s="3"/>
      <c r="I45" s="3"/>
    </row>
    <row r="46" spans="2:9" x14ac:dyDescent="0.2">
      <c r="B46" s="1" t="s">
        <v>22</v>
      </c>
    </row>
    <row r="47" spans="2:9" x14ac:dyDescent="0.2">
      <c r="B47" s="10" t="s">
        <v>54</v>
      </c>
      <c r="C47" s="2" t="s">
        <v>8</v>
      </c>
      <c r="E47" s="3">
        <v>5</v>
      </c>
      <c r="F47" s="3"/>
      <c r="G47" s="3"/>
      <c r="H47" s="9"/>
      <c r="I47" s="3">
        <v>5.04</v>
      </c>
    </row>
    <row r="48" spans="2:9" x14ac:dyDescent="0.2">
      <c r="B48" t="s">
        <v>2</v>
      </c>
      <c r="C48" s="2" t="s">
        <v>10</v>
      </c>
      <c r="E48" s="4">
        <v>5.0088999999999997</v>
      </c>
      <c r="F48" s="4"/>
      <c r="G48" s="4"/>
      <c r="H48" s="9"/>
      <c r="I48" s="4">
        <v>4.9728000000000003</v>
      </c>
    </row>
    <row r="49" spans="2:9" x14ac:dyDescent="0.2">
      <c r="B49" s="10" t="s">
        <v>36</v>
      </c>
      <c r="C49" s="2" t="s">
        <v>10</v>
      </c>
      <c r="E49" s="4">
        <v>5.4199999999999998E-2</v>
      </c>
      <c r="F49" s="4"/>
      <c r="G49" s="4"/>
      <c r="H49" s="9"/>
      <c r="I49" s="4">
        <v>5.4199999999999998E-2</v>
      </c>
    </row>
    <row r="50" spans="2:9" x14ac:dyDescent="0.2">
      <c r="B50" s="10" t="s">
        <v>38</v>
      </c>
      <c r="C50" s="20" t="s">
        <v>10</v>
      </c>
      <c r="E50" s="4">
        <v>0.14929999999999999</v>
      </c>
      <c r="F50" s="4"/>
      <c r="G50" s="4"/>
      <c r="H50" s="9"/>
      <c r="I50" s="4">
        <v>0.14929999999999999</v>
      </c>
    </row>
    <row r="51" spans="2:9" ht="25.5" x14ac:dyDescent="0.2">
      <c r="B51" s="16" t="s">
        <v>39</v>
      </c>
      <c r="C51" s="2" t="s">
        <v>10</v>
      </c>
      <c r="E51" s="4">
        <v>0.56059999999999999</v>
      </c>
      <c r="F51" s="4"/>
      <c r="G51" s="4"/>
      <c r="I51" s="4">
        <v>0.56059999999999999</v>
      </c>
    </row>
    <row r="52" spans="2:9" x14ac:dyDescent="0.2">
      <c r="B52" s="10" t="s">
        <v>58</v>
      </c>
      <c r="E52" s="4"/>
      <c r="F52" s="4"/>
      <c r="G52" s="4"/>
      <c r="I52" s="4"/>
    </row>
    <row r="53" spans="2:9" x14ac:dyDescent="0.2">
      <c r="B53" t="s">
        <v>3</v>
      </c>
      <c r="C53" s="2" t="s">
        <v>10</v>
      </c>
      <c r="E53" s="4">
        <v>2.0514000000000001</v>
      </c>
      <c r="F53" s="4"/>
      <c r="G53" s="4"/>
      <c r="I53" s="4">
        <v>2.1646999999999998</v>
      </c>
    </row>
    <row r="54" spans="2:9" x14ac:dyDescent="0.2">
      <c r="B54" t="s">
        <v>4</v>
      </c>
      <c r="C54" s="2" t="s">
        <v>10</v>
      </c>
      <c r="E54" s="4">
        <v>1.5559000000000001</v>
      </c>
      <c r="F54" s="4"/>
      <c r="G54" s="4"/>
      <c r="I54" s="4">
        <v>1.5792999999999999</v>
      </c>
    </row>
    <row r="55" spans="2:9" x14ac:dyDescent="0.2">
      <c r="E55" s="3"/>
      <c r="F55" s="3"/>
      <c r="G55" s="3"/>
      <c r="H55" s="3"/>
      <c r="I55" s="3"/>
    </row>
    <row r="56" spans="2:9" x14ac:dyDescent="0.2">
      <c r="B56" s="1" t="s">
        <v>7</v>
      </c>
    </row>
    <row r="57" spans="2:9" x14ac:dyDescent="0.2">
      <c r="B57" s="10" t="s">
        <v>54</v>
      </c>
      <c r="C57" s="2" t="s">
        <v>8</v>
      </c>
      <c r="E57" s="17">
        <v>5.53</v>
      </c>
      <c r="F57" s="17"/>
      <c r="G57" s="17"/>
      <c r="H57" s="9"/>
      <c r="I57" s="17">
        <v>5.31</v>
      </c>
    </row>
    <row r="58" spans="2:9" x14ac:dyDescent="0.2">
      <c r="B58" t="s">
        <v>2</v>
      </c>
      <c r="C58" s="2" t="s">
        <v>10</v>
      </c>
      <c r="E58" s="4">
        <v>9.8094000000000001</v>
      </c>
      <c r="F58" s="4"/>
      <c r="G58" s="4"/>
      <c r="I58" s="4">
        <v>10.0427</v>
      </c>
    </row>
    <row r="59" spans="2:9" x14ac:dyDescent="0.2">
      <c r="B59" s="10" t="s">
        <v>36</v>
      </c>
      <c r="C59" s="2" t="s">
        <v>10</v>
      </c>
      <c r="E59" s="4">
        <v>5.0700000000000002E-2</v>
      </c>
      <c r="F59" s="4"/>
      <c r="G59" s="4"/>
      <c r="H59" s="9"/>
      <c r="I59" s="4">
        <v>5.0700000000000002E-2</v>
      </c>
    </row>
    <row r="60" spans="2:9" x14ac:dyDescent="0.2">
      <c r="B60" s="10" t="s">
        <v>38</v>
      </c>
      <c r="C60" s="20" t="s">
        <v>10</v>
      </c>
      <c r="E60" s="4">
        <v>0.13650000000000001</v>
      </c>
      <c r="F60" s="4"/>
      <c r="G60" s="4"/>
      <c r="H60" s="9"/>
      <c r="I60" s="4">
        <v>0.13650000000000001</v>
      </c>
    </row>
    <row r="61" spans="2:9" ht="25.5" x14ac:dyDescent="0.2">
      <c r="B61" s="16" t="s">
        <v>39</v>
      </c>
      <c r="C61" s="2" t="s">
        <v>10</v>
      </c>
      <c r="E61" s="4">
        <v>0.61319999999999997</v>
      </c>
      <c r="F61" s="4"/>
      <c r="G61" s="4"/>
      <c r="H61" s="9"/>
      <c r="I61" s="4">
        <v>0.61319999999999997</v>
      </c>
    </row>
    <row r="62" spans="2:9" x14ac:dyDescent="0.2">
      <c r="B62" s="10" t="s">
        <v>58</v>
      </c>
      <c r="E62" s="4"/>
      <c r="F62" s="4"/>
      <c r="G62" s="4"/>
      <c r="H62" s="9"/>
      <c r="I62" s="4"/>
    </row>
    <row r="63" spans="2:9" x14ac:dyDescent="0.2">
      <c r="B63" t="s">
        <v>3</v>
      </c>
      <c r="C63" s="2" t="s">
        <v>10</v>
      </c>
      <c r="E63" s="4">
        <v>1.7817000000000001</v>
      </c>
      <c r="F63" s="4"/>
      <c r="G63" s="4"/>
      <c r="H63" s="9"/>
      <c r="I63" s="4">
        <v>1.8801000000000001</v>
      </c>
    </row>
    <row r="64" spans="2:9" x14ac:dyDescent="0.2">
      <c r="B64" t="s">
        <v>4</v>
      </c>
      <c r="C64" s="2" t="s">
        <v>10</v>
      </c>
      <c r="E64" s="4">
        <v>1.4547000000000001</v>
      </c>
      <c r="F64" s="4"/>
      <c r="G64" s="4"/>
      <c r="I64" s="4">
        <v>1.4765999999999999</v>
      </c>
    </row>
    <row r="65" spans="2:9" x14ac:dyDescent="0.2">
      <c r="E65" s="4"/>
      <c r="F65" s="4"/>
      <c r="G65" s="4"/>
      <c r="I65" s="13"/>
    </row>
    <row r="66" spans="2:9" x14ac:dyDescent="0.2">
      <c r="E66" s="4"/>
      <c r="F66" s="4"/>
      <c r="G66" s="4"/>
      <c r="I66" s="13"/>
    </row>
    <row r="67" spans="2:9" ht="15.75" x14ac:dyDescent="0.25">
      <c r="B67" s="99" t="s">
        <v>55</v>
      </c>
      <c r="C67" s="99"/>
      <c r="D67" s="99"/>
      <c r="E67" s="99"/>
      <c r="F67" s="99"/>
      <c r="G67" s="99"/>
      <c r="H67" s="99"/>
      <c r="I67" s="99"/>
    </row>
    <row r="68" spans="2:9" x14ac:dyDescent="0.2">
      <c r="B68" s="1" t="s">
        <v>75</v>
      </c>
    </row>
    <row r="69" spans="2:9" x14ac:dyDescent="0.2">
      <c r="B69" s="1" t="s">
        <v>28</v>
      </c>
    </row>
    <row r="70" spans="2:9" x14ac:dyDescent="0.2">
      <c r="B70" t="s">
        <v>1</v>
      </c>
      <c r="C70" s="2" t="s">
        <v>8</v>
      </c>
      <c r="E70" s="3">
        <v>18.440000000000001</v>
      </c>
      <c r="F70" s="3"/>
      <c r="G70" s="3"/>
      <c r="H70" s="9"/>
      <c r="I70" s="3">
        <v>18.8</v>
      </c>
    </row>
    <row r="71" spans="2:9" x14ac:dyDescent="0.2">
      <c r="B71" t="s">
        <v>2</v>
      </c>
      <c r="C71" s="2" t="s">
        <v>9</v>
      </c>
      <c r="E71" s="4">
        <v>1.9900000000000001E-2</v>
      </c>
      <c r="F71" s="4"/>
      <c r="G71" s="4"/>
      <c r="H71" s="9"/>
      <c r="I71" s="4">
        <v>0.02</v>
      </c>
    </row>
    <row r="72" spans="2:9" x14ac:dyDescent="0.2">
      <c r="B72" s="10" t="s">
        <v>52</v>
      </c>
      <c r="C72" s="11" t="s">
        <v>8</v>
      </c>
      <c r="E72" s="12">
        <v>1.04</v>
      </c>
      <c r="F72" s="12"/>
      <c r="G72" s="12"/>
      <c r="I72" s="12">
        <v>1.04</v>
      </c>
    </row>
    <row r="73" spans="2:9" x14ac:dyDescent="0.2">
      <c r="B73" s="10" t="s">
        <v>51</v>
      </c>
      <c r="C73" s="11" t="s">
        <v>8</v>
      </c>
      <c r="E73" s="12">
        <v>1.5</v>
      </c>
      <c r="F73" s="12"/>
      <c r="G73" s="12"/>
      <c r="I73" s="12">
        <v>1.5</v>
      </c>
    </row>
    <row r="74" spans="2:9" x14ac:dyDescent="0.2">
      <c r="B74" s="10" t="s">
        <v>36</v>
      </c>
      <c r="C74" s="2" t="s">
        <v>9</v>
      </c>
      <c r="E74" s="4">
        <v>2.0000000000000001E-4</v>
      </c>
      <c r="F74" s="4"/>
      <c r="G74" s="4"/>
      <c r="H74" s="9"/>
      <c r="I74" s="4">
        <v>2.0000000000000001E-4</v>
      </c>
    </row>
    <row r="75" spans="2:9" x14ac:dyDescent="0.2">
      <c r="B75" s="10" t="s">
        <v>38</v>
      </c>
      <c r="C75" s="11" t="s">
        <v>9</v>
      </c>
      <c r="E75" s="4">
        <v>-8.9999999999999998E-4</v>
      </c>
      <c r="F75" s="4"/>
      <c r="G75" s="4"/>
      <c r="H75" s="9"/>
      <c r="I75" s="4">
        <v>-8.9999999999999998E-4</v>
      </c>
    </row>
    <row r="76" spans="2:9" ht="25.5" x14ac:dyDescent="0.2">
      <c r="B76" s="16" t="s">
        <v>39</v>
      </c>
      <c r="C76" s="20" t="s">
        <v>9</v>
      </c>
      <c r="D76" s="20"/>
      <c r="E76" s="21">
        <v>2.0999999999999999E-3</v>
      </c>
      <c r="F76" s="21"/>
      <c r="G76" s="21"/>
      <c r="H76" s="22"/>
      <c r="I76" s="21">
        <v>2.0999999999999999E-3</v>
      </c>
    </row>
    <row r="77" spans="2:9" x14ac:dyDescent="0.2">
      <c r="B77" t="s">
        <v>3</v>
      </c>
      <c r="C77" s="2" t="s">
        <v>9</v>
      </c>
      <c r="E77" s="4">
        <v>6.6E-3</v>
      </c>
      <c r="F77" s="4"/>
      <c r="G77" s="4"/>
      <c r="H77" s="9"/>
      <c r="I77" s="4">
        <v>7.0000000000000001E-3</v>
      </c>
    </row>
    <row r="78" spans="2:9" x14ac:dyDescent="0.2">
      <c r="B78" t="s">
        <v>4</v>
      </c>
      <c r="C78" s="2" t="s">
        <v>9</v>
      </c>
      <c r="E78" s="4">
        <v>5.3E-3</v>
      </c>
      <c r="F78" s="4"/>
      <c r="G78" s="4"/>
      <c r="I78" s="4">
        <v>5.4000000000000003E-3</v>
      </c>
    </row>
    <row r="80" spans="2:9" x14ac:dyDescent="0.2">
      <c r="B80" s="1" t="s">
        <v>18</v>
      </c>
    </row>
    <row r="81" spans="2:9" x14ac:dyDescent="0.2">
      <c r="B81" t="s">
        <v>1</v>
      </c>
      <c r="C81" s="2" t="s">
        <v>8</v>
      </c>
      <c r="E81" s="3">
        <v>22.52</v>
      </c>
      <c r="F81" s="3"/>
      <c r="G81" s="3"/>
      <c r="H81" s="9"/>
      <c r="I81" s="3">
        <v>24.18</v>
      </c>
    </row>
    <row r="82" spans="2:9" x14ac:dyDescent="0.2">
      <c r="B82" t="s">
        <v>2</v>
      </c>
      <c r="C82" s="2" t="s">
        <v>9</v>
      </c>
      <c r="E82" s="4">
        <v>2.4799999999999999E-2</v>
      </c>
      <c r="F82" s="4"/>
      <c r="G82" s="4"/>
      <c r="H82" s="12"/>
      <c r="I82" s="4">
        <v>2.3800000000000002E-2</v>
      </c>
    </row>
    <row r="83" spans="2:9" x14ac:dyDescent="0.2">
      <c r="B83" s="10" t="s">
        <v>52</v>
      </c>
      <c r="C83" s="11" t="s">
        <v>8</v>
      </c>
      <c r="E83" s="12">
        <v>3.38</v>
      </c>
      <c r="F83" s="12"/>
      <c r="G83" s="12"/>
      <c r="H83" s="12"/>
      <c r="I83" s="12">
        <v>3.38</v>
      </c>
    </row>
    <row r="84" spans="2:9" x14ac:dyDescent="0.2">
      <c r="B84" s="10" t="s">
        <v>51</v>
      </c>
      <c r="C84" s="11" t="s">
        <v>8</v>
      </c>
      <c r="E84" s="12">
        <v>3.04</v>
      </c>
      <c r="F84" s="12"/>
      <c r="G84" s="12"/>
      <c r="H84" s="9"/>
      <c r="I84" s="12">
        <v>3.04</v>
      </c>
    </row>
    <row r="85" spans="2:9" x14ac:dyDescent="0.2">
      <c r="B85" s="10" t="s">
        <v>36</v>
      </c>
      <c r="C85" s="2" t="s">
        <v>9</v>
      </c>
      <c r="D85" s="20"/>
      <c r="E85" s="4">
        <v>2.0000000000000001E-4</v>
      </c>
      <c r="F85" s="4"/>
      <c r="G85" s="4"/>
      <c r="I85" s="4">
        <v>2.0000000000000001E-4</v>
      </c>
    </row>
    <row r="86" spans="2:9" x14ac:dyDescent="0.2">
      <c r="B86" s="10" t="s">
        <v>38</v>
      </c>
      <c r="C86" s="11" t="s">
        <v>9</v>
      </c>
      <c r="E86" s="21">
        <v>-8.9999999999999998E-4</v>
      </c>
      <c r="F86" s="21"/>
      <c r="G86" s="21"/>
      <c r="H86" s="22"/>
      <c r="I86" s="21">
        <v>-8.9999999999999998E-4</v>
      </c>
    </row>
    <row r="87" spans="2:9" ht="25.5" x14ac:dyDescent="0.2">
      <c r="B87" s="16" t="s">
        <v>39</v>
      </c>
      <c r="C87" s="20" t="s">
        <v>9</v>
      </c>
      <c r="E87" s="4">
        <v>2.0999999999999999E-3</v>
      </c>
      <c r="F87" s="4"/>
      <c r="G87" s="4"/>
      <c r="I87" s="4">
        <v>2.0999999999999999E-3</v>
      </c>
    </row>
    <row r="88" spans="2:9" x14ac:dyDescent="0.2">
      <c r="B88" s="10" t="s">
        <v>58</v>
      </c>
      <c r="C88" s="20"/>
      <c r="E88" s="4"/>
      <c r="F88" s="4"/>
      <c r="G88" s="4"/>
      <c r="I88" s="4"/>
    </row>
    <row r="89" spans="2:9" x14ac:dyDescent="0.2">
      <c r="B89" t="s">
        <v>3</v>
      </c>
      <c r="C89" s="2" t="s">
        <v>9</v>
      </c>
      <c r="E89" s="4">
        <v>5.7000000000000002E-3</v>
      </c>
      <c r="F89" s="4"/>
      <c r="G89" s="4"/>
      <c r="I89" s="4">
        <v>6.0000000000000001E-3</v>
      </c>
    </row>
    <row r="90" spans="2:9" x14ac:dyDescent="0.2">
      <c r="B90" t="s">
        <v>4</v>
      </c>
      <c r="C90" s="2" t="s">
        <v>9</v>
      </c>
      <c r="E90" s="4">
        <v>4.5999999999999999E-3</v>
      </c>
      <c r="F90" s="4"/>
      <c r="G90" s="4"/>
      <c r="I90" s="4">
        <v>4.7000000000000002E-3</v>
      </c>
    </row>
    <row r="91" spans="2:9" x14ac:dyDescent="0.2">
      <c r="E91" s="3"/>
      <c r="F91" s="3"/>
      <c r="G91" s="3"/>
      <c r="H91" s="3"/>
      <c r="I91" s="3"/>
    </row>
    <row r="92" spans="2:9" x14ac:dyDescent="0.2">
      <c r="B92" s="1" t="s">
        <v>20</v>
      </c>
    </row>
    <row r="93" spans="2:9" x14ac:dyDescent="0.2">
      <c r="B93" t="s">
        <v>1</v>
      </c>
      <c r="C93" s="2" t="s">
        <v>8</v>
      </c>
      <c r="E93" s="3">
        <v>137.72999999999999</v>
      </c>
      <c r="F93" s="3"/>
      <c r="G93" s="3"/>
      <c r="H93" s="9"/>
      <c r="I93" s="3">
        <v>142.47</v>
      </c>
    </row>
    <row r="94" spans="2:9" x14ac:dyDescent="0.2">
      <c r="B94" t="s">
        <v>2</v>
      </c>
      <c r="C94" s="2" t="s">
        <v>10</v>
      </c>
      <c r="E94" s="4">
        <v>7.3987999999999996</v>
      </c>
      <c r="F94" s="4"/>
      <c r="G94" s="4"/>
      <c r="H94" s="9"/>
      <c r="I94" s="4">
        <v>6.8696999999999999</v>
      </c>
    </row>
    <row r="95" spans="2:9" x14ac:dyDescent="0.2">
      <c r="B95" s="10" t="s">
        <v>36</v>
      </c>
      <c r="C95" s="2" t="s">
        <v>10</v>
      </c>
      <c r="E95" s="4">
        <v>7.3499999999999996E-2</v>
      </c>
      <c r="F95" s="4"/>
      <c r="G95" s="4"/>
      <c r="I95" s="4">
        <v>7.3499999999999996E-2</v>
      </c>
    </row>
    <row r="96" spans="2:9" x14ac:dyDescent="0.2">
      <c r="B96" s="10" t="s">
        <v>38</v>
      </c>
      <c r="C96" s="20" t="s">
        <v>10</v>
      </c>
      <c r="D96" s="20"/>
      <c r="E96" s="21">
        <v>-0.31369999999999998</v>
      </c>
      <c r="F96" s="21"/>
      <c r="G96" s="21"/>
      <c r="H96" s="22"/>
      <c r="I96" s="21">
        <v>-0.31369999999999998</v>
      </c>
    </row>
    <row r="97" spans="2:9" ht="25.5" x14ac:dyDescent="0.2">
      <c r="B97" s="16" t="s">
        <v>39</v>
      </c>
      <c r="C97" s="2" t="s">
        <v>10</v>
      </c>
      <c r="E97" s="4">
        <v>0.77270000000000005</v>
      </c>
      <c r="F97" s="4"/>
      <c r="G97" s="4"/>
      <c r="I97" s="4">
        <v>0.77270000000000005</v>
      </c>
    </row>
    <row r="98" spans="2:9" x14ac:dyDescent="0.2">
      <c r="B98" s="10" t="s">
        <v>58</v>
      </c>
      <c r="E98" s="4"/>
      <c r="F98" s="4"/>
      <c r="G98" s="4"/>
      <c r="I98" s="4"/>
    </row>
    <row r="99" spans="2:9" x14ac:dyDescent="0.2">
      <c r="B99" t="s">
        <v>3</v>
      </c>
      <c r="C99" s="2" t="s">
        <v>10</v>
      </c>
      <c r="E99" s="4">
        <v>2.4072</v>
      </c>
      <c r="F99" s="4"/>
      <c r="G99" s="4"/>
      <c r="I99" s="4">
        <v>2.5400999999999998</v>
      </c>
    </row>
    <row r="100" spans="2:9" x14ac:dyDescent="0.2">
      <c r="B100" t="s">
        <v>4</v>
      </c>
      <c r="C100" s="2" t="s">
        <v>10</v>
      </c>
      <c r="E100" s="4">
        <v>1.9064000000000001</v>
      </c>
      <c r="F100" s="4"/>
      <c r="G100" s="4"/>
      <c r="H100" s="5"/>
      <c r="I100" s="4">
        <v>1.9351</v>
      </c>
    </row>
    <row r="101" spans="2:9" x14ac:dyDescent="0.2">
      <c r="E101" s="3"/>
      <c r="F101" s="3"/>
      <c r="G101" s="3"/>
      <c r="H101" s="3"/>
      <c r="I101" s="3"/>
    </row>
    <row r="102" spans="2:9" x14ac:dyDescent="0.2">
      <c r="B102" s="1" t="s">
        <v>21</v>
      </c>
    </row>
    <row r="103" spans="2:9" x14ac:dyDescent="0.2">
      <c r="B103" s="10" t="s">
        <v>53</v>
      </c>
      <c r="C103" s="2" t="s">
        <v>8</v>
      </c>
      <c r="E103" s="3">
        <v>60.47</v>
      </c>
      <c r="F103" s="3"/>
      <c r="G103" s="3"/>
      <c r="H103" s="9"/>
      <c r="I103" s="3">
        <v>51.1</v>
      </c>
    </row>
    <row r="104" spans="2:9" x14ac:dyDescent="0.2">
      <c r="B104" t="s">
        <v>2</v>
      </c>
      <c r="C104" s="2" t="s">
        <v>9</v>
      </c>
      <c r="E104" s="4">
        <v>0.04</v>
      </c>
      <c r="F104" s="4"/>
      <c r="G104" s="4"/>
      <c r="H104" s="9"/>
      <c r="I104" s="4">
        <v>3.2199999999999999E-2</v>
      </c>
    </row>
    <row r="105" spans="2:9" x14ac:dyDescent="0.2">
      <c r="B105" s="10" t="s">
        <v>36</v>
      </c>
      <c r="C105" s="2" t="s">
        <v>9</v>
      </c>
      <c r="D105" s="20"/>
      <c r="E105" s="4">
        <v>2.0000000000000001E-4</v>
      </c>
      <c r="F105" s="4"/>
      <c r="G105" s="4"/>
      <c r="H105" s="22"/>
      <c r="I105" s="4">
        <v>2.0000000000000001E-4</v>
      </c>
    </row>
    <row r="106" spans="2:9" x14ac:dyDescent="0.2">
      <c r="B106" s="10" t="s">
        <v>38</v>
      </c>
      <c r="C106" s="11" t="s">
        <v>9</v>
      </c>
      <c r="E106" s="4">
        <v>-8.9999999999999998E-4</v>
      </c>
      <c r="F106" s="4"/>
      <c r="G106" s="4"/>
      <c r="I106" s="4">
        <v>-8.9999999999999998E-4</v>
      </c>
    </row>
    <row r="107" spans="2:9" x14ac:dyDescent="0.2">
      <c r="B107" t="s">
        <v>3</v>
      </c>
      <c r="C107" s="2" t="s">
        <v>9</v>
      </c>
      <c r="E107" s="4">
        <v>5.8999999999999999E-3</v>
      </c>
      <c r="F107" s="4"/>
      <c r="G107" s="4"/>
      <c r="H107" s="5"/>
      <c r="I107" s="4">
        <v>6.1999999999999998E-3</v>
      </c>
    </row>
    <row r="108" spans="2:9" x14ac:dyDescent="0.2">
      <c r="B108" t="s">
        <v>4</v>
      </c>
      <c r="C108" s="2" t="s">
        <v>9</v>
      </c>
      <c r="E108" s="4">
        <v>4.7000000000000002E-3</v>
      </c>
      <c r="F108" s="4"/>
      <c r="G108" s="4"/>
      <c r="H108" s="6"/>
      <c r="I108" s="4">
        <v>4.7999999999999996E-3</v>
      </c>
    </row>
    <row r="109" spans="2:9" x14ac:dyDescent="0.2">
      <c r="E109" s="3"/>
      <c r="F109" s="3"/>
      <c r="G109" s="3"/>
      <c r="H109" s="3"/>
      <c r="I109" s="3"/>
    </row>
    <row r="110" spans="2:9" x14ac:dyDescent="0.2">
      <c r="B110" s="1" t="s">
        <v>22</v>
      </c>
    </row>
    <row r="111" spans="2:9" x14ac:dyDescent="0.2">
      <c r="B111" s="10" t="s">
        <v>54</v>
      </c>
      <c r="C111" s="2" t="s">
        <v>8</v>
      </c>
      <c r="E111" s="3">
        <v>5</v>
      </c>
      <c r="F111" s="3"/>
      <c r="G111" s="3"/>
      <c r="H111" s="9"/>
      <c r="I111" s="3">
        <v>5.04</v>
      </c>
    </row>
    <row r="112" spans="2:9" x14ac:dyDescent="0.2">
      <c r="B112" t="s">
        <v>2</v>
      </c>
      <c r="C112" s="2" t="s">
        <v>10</v>
      </c>
      <c r="E112" s="4">
        <v>5.0088999999999997</v>
      </c>
      <c r="F112" s="4"/>
      <c r="G112" s="4"/>
      <c r="H112" s="9"/>
      <c r="I112" s="4">
        <v>4.9728000000000003</v>
      </c>
    </row>
    <row r="113" spans="2:9" x14ac:dyDescent="0.2">
      <c r="B113" s="10" t="s">
        <v>36</v>
      </c>
      <c r="C113" s="2" t="s">
        <v>10</v>
      </c>
      <c r="E113" s="4">
        <v>5.4199999999999998E-2</v>
      </c>
      <c r="F113" s="4"/>
      <c r="G113" s="4"/>
      <c r="H113" s="9"/>
      <c r="I113" s="4">
        <v>5.4199999999999998E-2</v>
      </c>
    </row>
    <row r="114" spans="2:9" x14ac:dyDescent="0.2">
      <c r="B114" s="10" t="s">
        <v>38</v>
      </c>
      <c r="C114" s="20" t="s">
        <v>10</v>
      </c>
      <c r="E114" s="4">
        <v>-0.40139999999999998</v>
      </c>
      <c r="F114" s="4"/>
      <c r="G114" s="4"/>
      <c r="H114" s="9"/>
      <c r="I114" s="4">
        <v>-0.40139999999999998</v>
      </c>
    </row>
    <row r="115" spans="2:9" x14ac:dyDescent="0.2">
      <c r="B115" t="s">
        <v>3</v>
      </c>
      <c r="C115" s="2" t="s">
        <v>10</v>
      </c>
      <c r="E115" s="4">
        <v>2.0514000000000001</v>
      </c>
      <c r="F115" s="4"/>
      <c r="G115" s="4"/>
      <c r="I115" s="4">
        <v>2.1646999999999998</v>
      </c>
    </row>
    <row r="116" spans="2:9" x14ac:dyDescent="0.2">
      <c r="B116" t="s">
        <v>4</v>
      </c>
      <c r="C116" s="2" t="s">
        <v>10</v>
      </c>
      <c r="E116" s="4">
        <v>1.5559000000000001</v>
      </c>
      <c r="F116" s="4"/>
      <c r="G116" s="4"/>
      <c r="I116" s="4">
        <v>1.5792999999999999</v>
      </c>
    </row>
    <row r="117" spans="2:9" x14ac:dyDescent="0.2">
      <c r="E117" s="3"/>
      <c r="F117" s="3"/>
      <c r="G117" s="3"/>
      <c r="H117" s="3"/>
      <c r="I117" s="3"/>
    </row>
    <row r="118" spans="2:9" x14ac:dyDescent="0.2">
      <c r="B118" s="1" t="s">
        <v>7</v>
      </c>
    </row>
    <row r="119" spans="2:9" x14ac:dyDescent="0.2">
      <c r="B119" s="10" t="s">
        <v>54</v>
      </c>
      <c r="C119" s="2" t="s">
        <v>8</v>
      </c>
      <c r="E119" s="17">
        <v>5.53</v>
      </c>
      <c r="F119" s="17"/>
      <c r="G119" s="17"/>
      <c r="H119" s="9"/>
      <c r="I119" s="17">
        <v>5.31</v>
      </c>
    </row>
    <row r="120" spans="2:9" x14ac:dyDescent="0.2">
      <c r="B120" t="s">
        <v>2</v>
      </c>
      <c r="C120" s="2" t="s">
        <v>10</v>
      </c>
      <c r="E120" s="4">
        <v>9.8094000000000001</v>
      </c>
      <c r="F120" s="4"/>
      <c r="G120" s="4"/>
      <c r="I120" s="4">
        <v>10.0427</v>
      </c>
    </row>
    <row r="121" spans="2:9" x14ac:dyDescent="0.2">
      <c r="B121" s="10" t="s">
        <v>36</v>
      </c>
      <c r="C121" s="2" t="s">
        <v>10</v>
      </c>
      <c r="E121" s="4">
        <v>5.0700000000000002E-2</v>
      </c>
      <c r="F121" s="4"/>
      <c r="G121" s="4"/>
      <c r="H121" s="9"/>
      <c r="I121" s="4">
        <v>5.0700000000000002E-2</v>
      </c>
    </row>
    <row r="122" spans="2:9" x14ac:dyDescent="0.2">
      <c r="B122" s="10" t="s">
        <v>38</v>
      </c>
      <c r="C122" s="20" t="s">
        <v>10</v>
      </c>
      <c r="E122" s="4">
        <v>-0.29089999999999999</v>
      </c>
      <c r="F122" s="4"/>
      <c r="G122" s="4"/>
      <c r="H122" s="9"/>
      <c r="I122" s="4">
        <v>-0.29089999999999999</v>
      </c>
    </row>
    <row r="123" spans="2:9" ht="25.5" x14ac:dyDescent="0.2">
      <c r="B123" s="16" t="s">
        <v>39</v>
      </c>
      <c r="C123" s="2" t="s">
        <v>10</v>
      </c>
      <c r="E123" s="4">
        <v>0.70679999999999998</v>
      </c>
      <c r="F123" s="4"/>
      <c r="G123" s="4"/>
      <c r="H123" s="9"/>
      <c r="I123" s="4">
        <v>0.70679999999999998</v>
      </c>
    </row>
    <row r="124" spans="2:9" x14ac:dyDescent="0.2">
      <c r="B124" s="10" t="s">
        <v>58</v>
      </c>
      <c r="E124" s="4"/>
      <c r="F124" s="4"/>
      <c r="G124" s="4"/>
      <c r="H124" s="9"/>
      <c r="I124" s="4"/>
    </row>
    <row r="125" spans="2:9" x14ac:dyDescent="0.2">
      <c r="B125" t="s">
        <v>3</v>
      </c>
      <c r="C125" s="2" t="s">
        <v>10</v>
      </c>
      <c r="E125" s="4">
        <v>1.7817000000000001</v>
      </c>
      <c r="F125" s="4"/>
      <c r="G125" s="4"/>
      <c r="H125" s="9"/>
      <c r="I125" s="4">
        <v>1.8801000000000001</v>
      </c>
    </row>
    <row r="126" spans="2:9" x14ac:dyDescent="0.2">
      <c r="B126" t="s">
        <v>4</v>
      </c>
      <c r="C126" s="2" t="s">
        <v>10</v>
      </c>
      <c r="E126" s="4">
        <v>1.4547000000000001</v>
      </c>
      <c r="F126" s="4"/>
      <c r="G126" s="4"/>
      <c r="I126" s="4">
        <v>1.4765999999999999</v>
      </c>
    </row>
    <row r="127" spans="2:9" x14ac:dyDescent="0.2">
      <c r="E127" s="4"/>
      <c r="F127" s="4"/>
      <c r="G127" s="4"/>
      <c r="I127" s="13"/>
    </row>
    <row r="128" spans="2:9" x14ac:dyDescent="0.2">
      <c r="E128" s="4"/>
      <c r="F128" s="4"/>
      <c r="G128" s="4"/>
      <c r="I128" s="13"/>
    </row>
    <row r="129" spans="2:9" ht="15.75" x14ac:dyDescent="0.25">
      <c r="B129" s="99" t="s">
        <v>56</v>
      </c>
      <c r="C129" s="99"/>
      <c r="D129" s="99"/>
      <c r="E129" s="99"/>
      <c r="F129" s="99"/>
      <c r="G129" s="99"/>
      <c r="H129" s="99"/>
      <c r="I129" s="99"/>
    </row>
    <row r="130" spans="2:9" x14ac:dyDescent="0.2">
      <c r="B130" s="1" t="s">
        <v>76</v>
      </c>
      <c r="I130" s="13"/>
    </row>
    <row r="131" spans="2:9" x14ac:dyDescent="0.2">
      <c r="B131" s="1" t="s">
        <v>28</v>
      </c>
      <c r="I131" s="13"/>
    </row>
    <row r="132" spans="2:9" x14ac:dyDescent="0.2">
      <c r="B132" t="s">
        <v>1</v>
      </c>
      <c r="C132" s="2" t="s">
        <v>8</v>
      </c>
      <c r="E132" s="3">
        <v>16.489999999999998</v>
      </c>
      <c r="F132" s="3"/>
      <c r="G132" s="3"/>
      <c r="I132" s="3">
        <v>17.489999999999998</v>
      </c>
    </row>
    <row r="133" spans="2:9" x14ac:dyDescent="0.2">
      <c r="B133" t="s">
        <v>2</v>
      </c>
      <c r="C133" s="2" t="s">
        <v>9</v>
      </c>
      <c r="E133" s="4">
        <v>2.4500000000000001E-2</v>
      </c>
      <c r="F133" s="4"/>
      <c r="G133" s="4"/>
      <c r="I133" s="4">
        <v>2.2599999999999999E-2</v>
      </c>
    </row>
    <row r="134" spans="2:9" x14ac:dyDescent="0.2">
      <c r="B134" s="10" t="s">
        <v>52</v>
      </c>
      <c r="C134" s="11" t="s">
        <v>8</v>
      </c>
      <c r="E134" s="12">
        <v>0.84</v>
      </c>
      <c r="F134" s="12"/>
      <c r="G134" s="12"/>
      <c r="I134" s="12">
        <v>0.84</v>
      </c>
    </row>
    <row r="135" spans="2:9" x14ac:dyDescent="0.2">
      <c r="B135" s="10" t="s">
        <v>51</v>
      </c>
      <c r="C135" s="11" t="s">
        <v>8</v>
      </c>
      <c r="E135" s="12">
        <v>1.72</v>
      </c>
      <c r="F135" s="12"/>
      <c r="G135" s="12"/>
      <c r="I135" s="12">
        <v>1.72</v>
      </c>
    </row>
    <row r="136" spans="2:9" x14ac:dyDescent="0.2">
      <c r="B136" s="10" t="s">
        <v>36</v>
      </c>
      <c r="C136" s="2" t="s">
        <v>9</v>
      </c>
      <c r="E136" s="4">
        <v>2.0000000000000001E-4</v>
      </c>
      <c r="F136" s="4"/>
      <c r="G136" s="4"/>
      <c r="I136" s="4">
        <v>2.0000000000000001E-4</v>
      </c>
    </row>
    <row r="137" spans="2:9" x14ac:dyDescent="0.2">
      <c r="B137" s="10" t="s">
        <v>38</v>
      </c>
      <c r="C137" s="11" t="s">
        <v>9</v>
      </c>
      <c r="E137" s="4">
        <v>1E-3</v>
      </c>
      <c r="F137" s="4"/>
      <c r="G137" s="4"/>
      <c r="I137" s="4">
        <v>1E-3</v>
      </c>
    </row>
    <row r="138" spans="2:9" ht="25.5" x14ac:dyDescent="0.2">
      <c r="B138" s="16" t="s">
        <v>39</v>
      </c>
      <c r="C138" s="20" t="s">
        <v>9</v>
      </c>
      <c r="D138" s="20"/>
      <c r="E138" s="21">
        <v>1.2999999999999999E-3</v>
      </c>
      <c r="F138" s="21"/>
      <c r="G138" s="21"/>
      <c r="I138" s="21">
        <v>1.2999999999999999E-3</v>
      </c>
    </row>
    <row r="139" spans="2:9" ht="12.75" customHeight="1" x14ac:dyDescent="0.2">
      <c r="B139" s="16" t="s">
        <v>57</v>
      </c>
      <c r="C139" s="20" t="s">
        <v>9</v>
      </c>
      <c r="D139" s="20"/>
      <c r="E139" s="21">
        <v>6.9999999999999999E-4</v>
      </c>
      <c r="F139" s="21"/>
      <c r="G139" s="21"/>
      <c r="I139" s="21">
        <v>6.9999999999999999E-4</v>
      </c>
    </row>
    <row r="140" spans="2:9" x14ac:dyDescent="0.2">
      <c r="B140" t="s">
        <v>3</v>
      </c>
      <c r="C140" s="2" t="s">
        <v>9</v>
      </c>
      <c r="E140" s="4">
        <v>6.6E-3</v>
      </c>
      <c r="F140" s="4"/>
      <c r="G140" s="4"/>
      <c r="I140" s="4">
        <v>7.0000000000000001E-3</v>
      </c>
    </row>
    <row r="141" spans="2:9" x14ac:dyDescent="0.2">
      <c r="B141" t="s">
        <v>4</v>
      </c>
      <c r="C141" s="2" t="s">
        <v>9</v>
      </c>
      <c r="E141" s="4">
        <v>5.3E-3</v>
      </c>
      <c r="F141" s="4"/>
      <c r="G141" s="4"/>
      <c r="I141" s="4">
        <v>5.4000000000000003E-3</v>
      </c>
    </row>
    <row r="143" spans="2:9" x14ac:dyDescent="0.2">
      <c r="B143" s="1" t="s">
        <v>18</v>
      </c>
    </row>
    <row r="144" spans="2:9" x14ac:dyDescent="0.2">
      <c r="B144" t="s">
        <v>1</v>
      </c>
      <c r="C144" s="2" t="s">
        <v>8</v>
      </c>
      <c r="E144" s="3">
        <v>29.95</v>
      </c>
      <c r="F144" s="3"/>
      <c r="G144" s="3"/>
      <c r="I144" s="3">
        <v>29.16</v>
      </c>
    </row>
    <row r="145" spans="2:9" x14ac:dyDescent="0.2">
      <c r="B145" t="s">
        <v>2</v>
      </c>
      <c r="C145" s="2" t="s">
        <v>9</v>
      </c>
      <c r="E145" s="4">
        <v>1.9300000000000001E-2</v>
      </c>
      <c r="F145" s="4"/>
      <c r="G145" s="4"/>
      <c r="I145" s="4">
        <v>2.07E-2</v>
      </c>
    </row>
    <row r="146" spans="2:9" x14ac:dyDescent="0.2">
      <c r="B146" s="10" t="s">
        <v>52</v>
      </c>
      <c r="C146" s="11" t="s">
        <v>8</v>
      </c>
      <c r="E146" s="12">
        <v>3.57</v>
      </c>
      <c r="F146" s="12"/>
      <c r="G146" s="12"/>
      <c r="I146" s="12">
        <v>3.57</v>
      </c>
    </row>
    <row r="147" spans="2:9" x14ac:dyDescent="0.2">
      <c r="B147" s="10" t="s">
        <v>51</v>
      </c>
      <c r="C147" s="11" t="s">
        <v>8</v>
      </c>
      <c r="E147" s="12">
        <v>3.89</v>
      </c>
      <c r="F147" s="12"/>
      <c r="G147" s="12"/>
      <c r="I147" s="12">
        <v>3.89</v>
      </c>
    </row>
    <row r="148" spans="2:9" x14ac:dyDescent="0.2">
      <c r="B148" s="10" t="s">
        <v>36</v>
      </c>
      <c r="C148" s="2" t="s">
        <v>9</v>
      </c>
      <c r="D148" s="20"/>
      <c r="E148" s="4">
        <v>2.0000000000000001E-4</v>
      </c>
      <c r="F148" s="4"/>
      <c r="G148" s="4"/>
      <c r="I148" s="4">
        <v>2.0000000000000001E-4</v>
      </c>
    </row>
    <row r="149" spans="2:9" x14ac:dyDescent="0.2">
      <c r="B149" s="10" t="s">
        <v>38</v>
      </c>
      <c r="C149" s="11" t="s">
        <v>9</v>
      </c>
      <c r="E149" s="21">
        <v>1.1000000000000001E-3</v>
      </c>
      <c r="F149" s="21"/>
      <c r="G149" s="21"/>
      <c r="I149" s="21">
        <v>1.1000000000000001E-3</v>
      </c>
    </row>
    <row r="150" spans="2:9" ht="25.5" x14ac:dyDescent="0.2">
      <c r="B150" s="16" t="s">
        <v>39</v>
      </c>
      <c r="C150" s="20" t="s">
        <v>9</v>
      </c>
      <c r="E150" s="4">
        <v>1.2999999999999999E-3</v>
      </c>
      <c r="F150" s="4"/>
      <c r="G150" s="4"/>
      <c r="I150" s="4">
        <v>1.2999999999999999E-3</v>
      </c>
    </row>
    <row r="151" spans="2:9" ht="12.75" customHeight="1" x14ac:dyDescent="0.2">
      <c r="B151" s="16" t="s">
        <v>57</v>
      </c>
      <c r="C151" s="20"/>
      <c r="E151" s="4">
        <v>5.0000000000000001E-4</v>
      </c>
      <c r="F151" s="4"/>
      <c r="G151" s="4"/>
      <c r="I151" s="4">
        <v>5.0000000000000001E-4</v>
      </c>
    </row>
    <row r="152" spans="2:9" x14ac:dyDescent="0.2">
      <c r="B152" t="s">
        <v>3</v>
      </c>
      <c r="C152" s="2" t="s">
        <v>9</v>
      </c>
      <c r="E152" s="4">
        <v>5.7000000000000002E-3</v>
      </c>
      <c r="F152" s="4"/>
      <c r="G152" s="4"/>
      <c r="I152" s="4">
        <v>6.0000000000000001E-3</v>
      </c>
    </row>
    <row r="153" spans="2:9" x14ac:dyDescent="0.2">
      <c r="B153" t="s">
        <v>4</v>
      </c>
      <c r="C153" s="2" t="s">
        <v>9</v>
      </c>
      <c r="E153" s="4">
        <v>4.5999999999999999E-3</v>
      </c>
      <c r="F153" s="4"/>
      <c r="G153" s="4"/>
      <c r="I153" s="4">
        <v>4.7000000000000002E-3</v>
      </c>
    </row>
    <row r="154" spans="2:9" x14ac:dyDescent="0.2">
      <c r="E154" s="3"/>
      <c r="F154" s="3"/>
      <c r="G154" s="3"/>
      <c r="I154" s="3"/>
    </row>
    <row r="155" spans="2:9" x14ac:dyDescent="0.2">
      <c r="B155" s="1" t="s">
        <v>20</v>
      </c>
    </row>
    <row r="156" spans="2:9" x14ac:dyDescent="0.2">
      <c r="B156" t="s">
        <v>1</v>
      </c>
      <c r="C156" s="2" t="s">
        <v>8</v>
      </c>
      <c r="E156" s="3">
        <v>420.55</v>
      </c>
      <c r="F156" s="3"/>
      <c r="G156" s="3"/>
      <c r="I156" s="3">
        <v>284.55</v>
      </c>
    </row>
    <row r="157" spans="2:9" x14ac:dyDescent="0.2">
      <c r="B157" t="s">
        <v>2</v>
      </c>
      <c r="C157" s="2" t="s">
        <v>10</v>
      </c>
      <c r="E157" s="4">
        <v>4.4494999999999996</v>
      </c>
      <c r="F157" s="4"/>
      <c r="G157" s="4"/>
      <c r="I157" s="4">
        <v>5.5549999999999997</v>
      </c>
    </row>
    <row r="158" spans="2:9" x14ac:dyDescent="0.2">
      <c r="B158" s="10" t="s">
        <v>36</v>
      </c>
      <c r="C158" s="2" t="s">
        <v>10</v>
      </c>
      <c r="E158" s="4">
        <v>7.3499999999999996E-2</v>
      </c>
      <c r="F158" s="4"/>
      <c r="G158" s="4"/>
      <c r="I158" s="4">
        <v>7.3499999999999996E-2</v>
      </c>
    </row>
    <row r="159" spans="2:9" x14ac:dyDescent="0.2">
      <c r="B159" s="10" t="s">
        <v>38</v>
      </c>
      <c r="C159" s="20" t="s">
        <v>10</v>
      </c>
      <c r="D159" s="20"/>
      <c r="E159" s="21">
        <v>0.3241</v>
      </c>
      <c r="F159" s="21"/>
      <c r="G159" s="21"/>
      <c r="I159" s="21">
        <v>0.3241</v>
      </c>
    </row>
    <row r="160" spans="2:9" ht="25.5" x14ac:dyDescent="0.2">
      <c r="B160" s="16" t="s">
        <v>39</v>
      </c>
      <c r="C160" s="2" t="s">
        <v>10</v>
      </c>
      <c r="E160" s="4">
        <v>0.40620000000000001</v>
      </c>
      <c r="F160" s="4"/>
      <c r="G160" s="4"/>
      <c r="I160" s="4">
        <v>0.40620000000000001</v>
      </c>
    </row>
    <row r="161" spans="2:9" ht="12.75" customHeight="1" x14ac:dyDescent="0.2">
      <c r="B161" s="16" t="s">
        <v>57</v>
      </c>
      <c r="E161" s="4">
        <v>8.1100000000000005E-2</v>
      </c>
      <c r="F161" s="4"/>
      <c r="G161" s="4"/>
      <c r="I161" s="4">
        <v>8.1100000000000005E-2</v>
      </c>
    </row>
    <row r="162" spans="2:9" x14ac:dyDescent="0.2">
      <c r="B162" t="s">
        <v>3</v>
      </c>
      <c r="C162" s="2" t="s">
        <v>10</v>
      </c>
      <c r="E162" s="4">
        <v>2.4072</v>
      </c>
      <c r="F162" s="4"/>
      <c r="G162" s="4"/>
      <c r="I162" s="4">
        <v>2.5400999999999998</v>
      </c>
    </row>
    <row r="163" spans="2:9" x14ac:dyDescent="0.2">
      <c r="B163" t="s">
        <v>4</v>
      </c>
      <c r="C163" s="2" t="s">
        <v>10</v>
      </c>
      <c r="E163" s="4">
        <v>1.9064000000000001</v>
      </c>
      <c r="F163" s="4"/>
      <c r="G163" s="4"/>
      <c r="I163" s="4">
        <v>1.9351</v>
      </c>
    </row>
    <row r="164" spans="2:9" x14ac:dyDescent="0.2">
      <c r="E164" s="3"/>
      <c r="F164" s="3"/>
      <c r="G164" s="3"/>
      <c r="I164" s="3"/>
    </row>
    <row r="165" spans="2:9" x14ac:dyDescent="0.2">
      <c r="B165" s="1" t="s">
        <v>21</v>
      </c>
    </row>
    <row r="166" spans="2:9" x14ac:dyDescent="0.2">
      <c r="B166" s="10" t="s">
        <v>53</v>
      </c>
      <c r="C166" s="2" t="s">
        <v>8</v>
      </c>
      <c r="E166" s="3">
        <v>46.64</v>
      </c>
      <c r="F166" s="3"/>
      <c r="G166" s="3"/>
      <c r="I166" s="3">
        <v>41.84</v>
      </c>
    </row>
    <row r="167" spans="2:9" x14ac:dyDescent="0.2">
      <c r="B167" t="s">
        <v>2</v>
      </c>
      <c r="C167" s="2" t="s">
        <v>9</v>
      </c>
      <c r="E167" s="4">
        <v>2.8299999999999999E-2</v>
      </c>
      <c r="F167" s="4"/>
      <c r="G167" s="4"/>
      <c r="I167" s="4">
        <v>2.5100000000000001E-2</v>
      </c>
    </row>
    <row r="168" spans="2:9" x14ac:dyDescent="0.2">
      <c r="B168" s="10" t="s">
        <v>36</v>
      </c>
      <c r="C168" s="2" t="s">
        <v>9</v>
      </c>
      <c r="D168" s="20"/>
      <c r="E168" s="4">
        <v>2.0000000000000001E-4</v>
      </c>
      <c r="F168" s="4"/>
      <c r="G168" s="4"/>
      <c r="I168" s="4">
        <v>2.0000000000000001E-4</v>
      </c>
    </row>
    <row r="169" spans="2:9" x14ac:dyDescent="0.2">
      <c r="B169" s="10" t="s">
        <v>38</v>
      </c>
      <c r="C169" s="11" t="s">
        <v>9</v>
      </c>
      <c r="E169" s="4">
        <v>1.1000000000000001E-3</v>
      </c>
      <c r="F169" s="4"/>
      <c r="G169" s="4"/>
      <c r="I169" s="4">
        <v>1.1000000000000001E-3</v>
      </c>
    </row>
    <row r="170" spans="2:9" ht="25.5" x14ac:dyDescent="0.2">
      <c r="B170" s="16" t="s">
        <v>39</v>
      </c>
      <c r="C170" s="20" t="s">
        <v>9</v>
      </c>
      <c r="E170" s="4">
        <v>1.2999999999999999E-3</v>
      </c>
      <c r="F170" s="4"/>
      <c r="G170" s="4"/>
      <c r="I170" s="4">
        <v>1.2999999999999999E-3</v>
      </c>
    </row>
    <row r="171" spans="2:9" ht="12.75" customHeight="1" x14ac:dyDescent="0.2">
      <c r="B171" s="16" t="s">
        <v>57</v>
      </c>
      <c r="C171" s="20"/>
      <c r="E171" s="4">
        <v>5.9999999999999995E-4</v>
      </c>
      <c r="F171" s="4"/>
      <c r="G171" s="4"/>
      <c r="I171" s="4">
        <v>5.9999999999999995E-4</v>
      </c>
    </row>
    <row r="172" spans="2:9" x14ac:dyDescent="0.2">
      <c r="B172" t="s">
        <v>3</v>
      </c>
      <c r="C172" s="2" t="s">
        <v>9</v>
      </c>
      <c r="E172" s="4">
        <v>5.8999999999999999E-3</v>
      </c>
      <c r="F172" s="4"/>
      <c r="G172" s="4"/>
      <c r="I172" s="4">
        <v>6.1999999999999998E-3</v>
      </c>
    </row>
    <row r="173" spans="2:9" x14ac:dyDescent="0.2">
      <c r="B173" t="s">
        <v>4</v>
      </c>
      <c r="C173" s="2" t="s">
        <v>9</v>
      </c>
      <c r="E173" s="4">
        <v>4.7000000000000002E-3</v>
      </c>
      <c r="F173" s="4"/>
      <c r="G173" s="4"/>
      <c r="I173" s="4">
        <v>4.7999999999999996E-3</v>
      </c>
    </row>
    <row r="174" spans="2:9" x14ac:dyDescent="0.2">
      <c r="E174" s="3"/>
      <c r="F174" s="3"/>
      <c r="G174" s="3"/>
      <c r="I174" s="3"/>
    </row>
    <row r="175" spans="2:9" x14ac:dyDescent="0.2">
      <c r="B175" s="1" t="s">
        <v>22</v>
      </c>
    </row>
    <row r="176" spans="2:9" x14ac:dyDescent="0.2">
      <c r="B176" s="10" t="s">
        <v>54</v>
      </c>
      <c r="C176" s="2" t="s">
        <v>8</v>
      </c>
      <c r="E176" s="3">
        <v>5</v>
      </c>
      <c r="F176" s="3"/>
      <c r="G176" s="3"/>
      <c r="I176" s="3">
        <v>5.04</v>
      </c>
    </row>
    <row r="177" spans="2:9" x14ac:dyDescent="0.2">
      <c r="B177" t="s">
        <v>2</v>
      </c>
      <c r="C177" s="2" t="s">
        <v>10</v>
      </c>
      <c r="E177" s="4">
        <v>5.0088999999999997</v>
      </c>
      <c r="F177" s="4"/>
      <c r="G177" s="4"/>
      <c r="I177" s="4">
        <v>4.9728000000000003</v>
      </c>
    </row>
    <row r="178" spans="2:9" x14ac:dyDescent="0.2">
      <c r="B178" s="10" t="s">
        <v>36</v>
      </c>
      <c r="C178" s="2" t="s">
        <v>10</v>
      </c>
      <c r="E178" s="4">
        <v>5.4199999999999998E-2</v>
      </c>
      <c r="F178" s="4"/>
      <c r="G178" s="4"/>
      <c r="I178" s="4">
        <v>5.4199999999999998E-2</v>
      </c>
    </row>
    <row r="179" spans="2:9" x14ac:dyDescent="0.2">
      <c r="B179" s="10" t="s">
        <v>38</v>
      </c>
      <c r="C179" s="20" t="s">
        <v>10</v>
      </c>
      <c r="E179" s="4">
        <v>0.36849999999999999</v>
      </c>
      <c r="F179" s="4"/>
      <c r="G179" s="4"/>
      <c r="I179" s="4">
        <v>0.36849999999999999</v>
      </c>
    </row>
    <row r="180" spans="2:9" ht="12.75" customHeight="1" x14ac:dyDescent="0.2">
      <c r="B180" s="16" t="s">
        <v>57</v>
      </c>
      <c r="E180" s="4">
        <v>0.94199999999999995</v>
      </c>
      <c r="F180" s="4"/>
      <c r="G180" s="4"/>
      <c r="I180" s="4">
        <v>0.94199999999999995</v>
      </c>
    </row>
    <row r="181" spans="2:9" x14ac:dyDescent="0.2">
      <c r="B181" t="s">
        <v>3</v>
      </c>
      <c r="C181" s="2" t="s">
        <v>10</v>
      </c>
      <c r="E181" s="4">
        <v>2.0514000000000001</v>
      </c>
      <c r="F181" s="4"/>
      <c r="G181" s="4"/>
      <c r="I181" s="4">
        <v>2.1646999999999998</v>
      </c>
    </row>
    <row r="182" spans="2:9" x14ac:dyDescent="0.2">
      <c r="B182" t="s">
        <v>4</v>
      </c>
      <c r="C182" s="2" t="s">
        <v>10</v>
      </c>
      <c r="E182" s="4">
        <v>1.5559000000000001</v>
      </c>
      <c r="F182" s="4"/>
      <c r="G182" s="4"/>
      <c r="I182" s="4">
        <v>1.5792999999999999</v>
      </c>
    </row>
    <row r="183" spans="2:9" x14ac:dyDescent="0.2">
      <c r="E183" s="3"/>
      <c r="F183" s="3"/>
      <c r="G183" s="3"/>
      <c r="I183" s="3"/>
    </row>
    <row r="184" spans="2:9" x14ac:dyDescent="0.2">
      <c r="B184" s="1" t="s">
        <v>7</v>
      </c>
    </row>
    <row r="185" spans="2:9" x14ac:dyDescent="0.2">
      <c r="B185" s="10" t="s">
        <v>54</v>
      </c>
      <c r="C185" s="2" t="s">
        <v>8</v>
      </c>
      <c r="E185" s="17">
        <v>3.61</v>
      </c>
      <c r="F185" s="17"/>
      <c r="G185" s="17"/>
      <c r="I185" s="17">
        <v>4.01</v>
      </c>
    </row>
    <row r="186" spans="2:9" x14ac:dyDescent="0.2">
      <c r="B186" t="s">
        <v>2</v>
      </c>
      <c r="C186" s="2" t="s">
        <v>10</v>
      </c>
      <c r="E186" s="4">
        <v>9.8094000000000001</v>
      </c>
      <c r="F186" s="4"/>
      <c r="G186" s="4"/>
      <c r="I186" s="4">
        <v>10.0427</v>
      </c>
    </row>
    <row r="187" spans="2:9" x14ac:dyDescent="0.2">
      <c r="B187" s="10" t="s">
        <v>36</v>
      </c>
      <c r="C187" s="2" t="s">
        <v>10</v>
      </c>
      <c r="E187" s="4">
        <v>5.0700000000000002E-2</v>
      </c>
      <c r="F187" s="4"/>
      <c r="G187" s="4"/>
      <c r="I187" s="4">
        <v>5.0700000000000002E-2</v>
      </c>
    </row>
    <row r="188" spans="2:9" x14ac:dyDescent="0.2">
      <c r="B188" s="10" t="s">
        <v>38</v>
      </c>
      <c r="C188" s="20" t="s">
        <v>10</v>
      </c>
      <c r="E188" s="4">
        <v>0.46639999999999998</v>
      </c>
      <c r="F188" s="4"/>
      <c r="G188" s="4"/>
      <c r="I188" s="4">
        <v>0.46639999999999998</v>
      </c>
    </row>
    <row r="189" spans="2:9" ht="25.5" x14ac:dyDescent="0.2">
      <c r="B189" s="16" t="s">
        <v>39</v>
      </c>
      <c r="C189" s="2" t="s">
        <v>10</v>
      </c>
      <c r="E189" s="4">
        <v>0.58409999999999995</v>
      </c>
      <c r="F189" s="4"/>
      <c r="G189" s="4"/>
      <c r="I189" s="4">
        <v>0.58409999999999995</v>
      </c>
    </row>
    <row r="190" spans="2:9" ht="12.75" customHeight="1" x14ac:dyDescent="0.2">
      <c r="B190" s="16" t="s">
        <v>57</v>
      </c>
      <c r="E190" s="4">
        <v>0.43690000000000001</v>
      </c>
      <c r="F190" s="4"/>
      <c r="G190" s="4"/>
      <c r="I190" s="4">
        <v>0.43690000000000001</v>
      </c>
    </row>
    <row r="191" spans="2:9" x14ac:dyDescent="0.2">
      <c r="B191" t="s">
        <v>3</v>
      </c>
      <c r="C191" s="2" t="s">
        <v>10</v>
      </c>
      <c r="E191" s="4">
        <v>1.7817000000000001</v>
      </c>
      <c r="F191" s="4"/>
      <c r="G191" s="4"/>
      <c r="I191" s="4">
        <v>1.8801000000000001</v>
      </c>
    </row>
    <row r="192" spans="2:9" x14ac:dyDescent="0.2">
      <c r="B192" t="s">
        <v>4</v>
      </c>
      <c r="C192" s="2" t="s">
        <v>10</v>
      </c>
      <c r="E192" s="4">
        <v>1.4547000000000001</v>
      </c>
      <c r="F192" s="4"/>
      <c r="G192" s="4"/>
      <c r="I192" s="4">
        <v>1.4765999999999999</v>
      </c>
    </row>
    <row r="193" spans="2:9" x14ac:dyDescent="0.2">
      <c r="E193" s="4"/>
      <c r="F193" s="4"/>
      <c r="G193" s="4"/>
      <c r="I193" s="13"/>
    </row>
    <row r="194" spans="2:9" x14ac:dyDescent="0.2">
      <c r="E194" s="4"/>
      <c r="F194" s="4"/>
      <c r="G194" s="4"/>
      <c r="I194" s="13"/>
    </row>
    <row r="195" spans="2:9" x14ac:dyDescent="0.2">
      <c r="B195" s="1" t="s">
        <v>50</v>
      </c>
      <c r="I195" s="14"/>
    </row>
    <row r="196" spans="2:9" x14ac:dyDescent="0.2">
      <c r="B196" s="10" t="s">
        <v>23</v>
      </c>
      <c r="C196" s="2" t="s">
        <v>8</v>
      </c>
      <c r="E196" s="17">
        <v>5.4</v>
      </c>
      <c r="F196" s="17"/>
      <c r="G196" s="17"/>
      <c r="I196" s="12">
        <v>5.4</v>
      </c>
    </row>
    <row r="197" spans="2:9" x14ac:dyDescent="0.2">
      <c r="B197" s="10"/>
      <c r="E197" s="17"/>
      <c r="F197" s="17"/>
      <c r="G197" s="17"/>
      <c r="I197" s="12"/>
    </row>
    <row r="198" spans="2:9" x14ac:dyDescent="0.2">
      <c r="B198" s="1" t="s">
        <v>45</v>
      </c>
      <c r="E198" s="17"/>
      <c r="F198" s="17"/>
      <c r="G198" s="17"/>
      <c r="I198" s="12"/>
    </row>
    <row r="199" spans="2:9" x14ac:dyDescent="0.2">
      <c r="B199" t="s">
        <v>5</v>
      </c>
      <c r="C199" s="2" t="s">
        <v>9</v>
      </c>
      <c r="E199" s="4">
        <v>4.4000000000000003E-3</v>
      </c>
      <c r="F199" s="4"/>
      <c r="G199" s="4"/>
      <c r="I199" s="4">
        <v>4.4000000000000003E-3</v>
      </c>
    </row>
    <row r="200" spans="2:9" x14ac:dyDescent="0.2">
      <c r="B200" t="s">
        <v>6</v>
      </c>
      <c r="C200" s="2" t="s">
        <v>9</v>
      </c>
      <c r="E200" s="4">
        <v>1.1999999999999999E-3</v>
      </c>
      <c r="F200" s="4"/>
      <c r="G200" s="4"/>
      <c r="I200" s="4">
        <v>1.1999999999999999E-3</v>
      </c>
    </row>
    <row r="201" spans="2:9" x14ac:dyDescent="0.2">
      <c r="B201" s="10" t="s">
        <v>19</v>
      </c>
      <c r="C201" s="2" t="s">
        <v>8</v>
      </c>
      <c r="E201" s="17">
        <v>0.25</v>
      </c>
      <c r="F201" s="17"/>
      <c r="G201" s="17"/>
      <c r="I201" s="17">
        <v>0.25</v>
      </c>
    </row>
    <row r="202" spans="2:9" x14ac:dyDescent="0.2">
      <c r="B202" s="10" t="s">
        <v>49</v>
      </c>
      <c r="C202" s="11" t="s">
        <v>8</v>
      </c>
      <c r="E202" s="17">
        <v>0.79</v>
      </c>
      <c r="F202" s="17"/>
      <c r="G202" s="17"/>
      <c r="I202" s="17">
        <v>0.79</v>
      </c>
    </row>
    <row r="203" spans="2:9" x14ac:dyDescent="0.2">
      <c r="B203" s="10"/>
      <c r="E203" s="17"/>
      <c r="F203" s="17"/>
      <c r="G203" s="17"/>
      <c r="I203" s="12"/>
    </row>
    <row r="204" spans="2:9" x14ac:dyDescent="0.2">
      <c r="B204" s="1" t="s">
        <v>11</v>
      </c>
      <c r="E204" s="17"/>
      <c r="F204" s="17"/>
      <c r="G204" s="17"/>
      <c r="I204" s="12"/>
    </row>
    <row r="205" spans="2:9" x14ac:dyDescent="0.2">
      <c r="B205" s="10" t="s">
        <v>46</v>
      </c>
      <c r="C205" s="2" t="s">
        <v>8</v>
      </c>
      <c r="E205" s="4">
        <v>0</v>
      </c>
      <c r="F205" s="4"/>
      <c r="G205" s="4"/>
      <c r="I205" s="4">
        <v>0</v>
      </c>
    </row>
    <row r="206" spans="2:9" x14ac:dyDescent="0.2">
      <c r="B206" s="10" t="s">
        <v>47</v>
      </c>
      <c r="C206" s="2" t="s">
        <v>8</v>
      </c>
      <c r="E206" s="4">
        <v>5.1000000000000004E-3</v>
      </c>
      <c r="F206" s="4"/>
      <c r="G206" s="4"/>
      <c r="I206" s="4">
        <v>5.1000000000000004E-3</v>
      </c>
    </row>
    <row r="207" spans="2:9" x14ac:dyDescent="0.2">
      <c r="B207" s="10" t="s">
        <v>48</v>
      </c>
      <c r="C207" s="2" t="s">
        <v>8</v>
      </c>
      <c r="E207" s="4">
        <v>7.0000000000000001E-3</v>
      </c>
      <c r="F207" s="4"/>
      <c r="G207" s="4"/>
      <c r="I207" s="4">
        <v>7.0000000000000001E-3</v>
      </c>
    </row>
    <row r="208" spans="2:9" x14ac:dyDescent="0.2">
      <c r="B208" s="10"/>
      <c r="E208" s="4"/>
      <c r="F208" s="4"/>
      <c r="G208" s="4"/>
      <c r="I208" s="13"/>
    </row>
    <row r="209" spans="2:9" x14ac:dyDescent="0.2">
      <c r="B209" s="1" t="s">
        <v>29</v>
      </c>
      <c r="E209" s="4"/>
      <c r="F209" s="4"/>
      <c r="G209" s="4"/>
      <c r="I209" s="13"/>
    </row>
    <row r="210" spans="2:9" x14ac:dyDescent="0.2">
      <c r="B210" s="10" t="s">
        <v>24</v>
      </c>
      <c r="C210" s="2" t="s">
        <v>10</v>
      </c>
      <c r="E210" s="4">
        <v>-0.6</v>
      </c>
      <c r="F210" s="4"/>
      <c r="G210" s="4"/>
      <c r="I210" s="13">
        <f>+E210</f>
        <v>-0.6</v>
      </c>
    </row>
    <row r="211" spans="2:9" x14ac:dyDescent="0.2">
      <c r="B211" s="10" t="s">
        <v>25</v>
      </c>
      <c r="C211" s="11" t="s">
        <v>12</v>
      </c>
      <c r="E211" s="4">
        <v>-1</v>
      </c>
      <c r="F211" s="4"/>
      <c r="G211" s="4"/>
      <c r="I211" s="13">
        <f>+E211</f>
        <v>-1</v>
      </c>
    </row>
    <row r="212" spans="2:9" x14ac:dyDescent="0.2">
      <c r="E212" s="3"/>
      <c r="F212" s="3"/>
      <c r="G212" s="3"/>
      <c r="H212" s="3"/>
      <c r="I212" s="12"/>
    </row>
    <row r="213" spans="2:9" x14ac:dyDescent="0.2">
      <c r="B213" s="1" t="s">
        <v>13</v>
      </c>
      <c r="H213" s="3"/>
      <c r="I213" s="14"/>
    </row>
    <row r="214" spans="2:9" x14ac:dyDescent="0.2">
      <c r="B214" s="10" t="s">
        <v>26</v>
      </c>
      <c r="E214" s="4">
        <v>1.0542</v>
      </c>
      <c r="F214" s="4"/>
      <c r="G214" s="4"/>
      <c r="I214" s="13">
        <v>1.0542</v>
      </c>
    </row>
    <row r="215" spans="2:9" x14ac:dyDescent="0.2">
      <c r="B215" s="10" t="s">
        <v>27</v>
      </c>
      <c r="E215" s="4">
        <v>1.043658</v>
      </c>
      <c r="F215" s="4"/>
      <c r="G215" s="4"/>
      <c r="I215" s="13">
        <f>I214*0.99</f>
        <v>1.043658</v>
      </c>
    </row>
    <row r="216" spans="2:9" x14ac:dyDescent="0.2">
      <c r="B216" s="10"/>
      <c r="E216" s="4"/>
      <c r="F216" s="4"/>
      <c r="G216" s="4"/>
      <c r="I216" s="15"/>
    </row>
    <row r="217" spans="2:9" x14ac:dyDescent="0.2">
      <c r="B217" s="10" t="s">
        <v>42</v>
      </c>
      <c r="C217" s="2" t="s">
        <v>9</v>
      </c>
      <c r="E217" s="18">
        <v>6.7000000000000004E-2</v>
      </c>
      <c r="F217" s="18"/>
      <c r="G217" s="18"/>
      <c r="I217" s="18">
        <v>6.7000000000000004E-2</v>
      </c>
    </row>
    <row r="218" spans="2:9" x14ac:dyDescent="0.2">
      <c r="B218" s="10" t="s">
        <v>43</v>
      </c>
      <c r="C218" s="2" t="s">
        <v>9</v>
      </c>
      <c r="E218" s="18">
        <v>0.104</v>
      </c>
      <c r="F218" s="18"/>
      <c r="G218" s="18"/>
      <c r="I218" s="18">
        <v>0.104</v>
      </c>
    </row>
    <row r="219" spans="2:9" x14ac:dyDescent="0.2">
      <c r="B219" s="10" t="s">
        <v>44</v>
      </c>
      <c r="C219" s="2" t="s">
        <v>9</v>
      </c>
      <c r="E219" s="18">
        <v>0.124</v>
      </c>
      <c r="F219" s="18"/>
      <c r="G219" s="18"/>
      <c r="I219" s="18">
        <v>0.124</v>
      </c>
    </row>
    <row r="221" spans="2:9" x14ac:dyDescent="0.2">
      <c r="B221" s="10" t="s">
        <v>77</v>
      </c>
      <c r="C221" s="2" t="s">
        <v>9</v>
      </c>
      <c r="E221" s="18">
        <v>8.3900000000000002E-2</v>
      </c>
      <c r="F221" s="18"/>
      <c r="G221" s="18"/>
      <c r="I221" s="18">
        <v>8.3900000000000002E-2</v>
      </c>
    </row>
    <row r="223" spans="2:9" x14ac:dyDescent="0.2">
      <c r="B223" s="10" t="s">
        <v>32</v>
      </c>
      <c r="C223" s="11" t="s">
        <v>12</v>
      </c>
      <c r="E223" s="19">
        <v>0.13</v>
      </c>
      <c r="F223" s="19"/>
      <c r="G223" s="19"/>
      <c r="I223" s="19">
        <v>0.13</v>
      </c>
    </row>
    <row r="225" spans="2:9" x14ac:dyDescent="0.2">
      <c r="B225" s="10" t="s">
        <v>33</v>
      </c>
      <c r="C225" s="11" t="s">
        <v>12</v>
      </c>
      <c r="E225" s="19">
        <v>-0.1</v>
      </c>
      <c r="F225" s="19"/>
      <c r="G225" s="19"/>
      <c r="I225" s="19">
        <v>-0.1</v>
      </c>
    </row>
  </sheetData>
  <mergeCells count="3">
    <mergeCell ref="B2:I2"/>
    <mergeCell ref="B67:I67"/>
    <mergeCell ref="B129:I129"/>
  </mergeCells>
  <phoneticPr fontId="2" type="noConversion"/>
  <pageMargins left="0.74803149606299213" right="0.74803149606299213" top="0.98425196850393704" bottom="0.98425196850393704" header="0.51181102362204722" footer="0.51181102362204722"/>
  <pageSetup scale="72" fitToHeight="0" orientation="portrait" r:id="rId1"/>
  <headerFooter alignWithMargins="0">
    <oddHeader xml:space="preserve">&amp;C&amp;"Arial,Bold"&amp;16 </oddHeader>
  </headerFooter>
  <rowBreaks count="2" manualBreakCount="2">
    <brk id="66" max="16383" man="1"/>
    <brk id="12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L36"/>
  <sheetViews>
    <sheetView showGridLines="0" topLeftCell="A4" workbookViewId="0">
      <selection activeCell="B19" sqref="B19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Rates!B130</f>
        <v>CNPI - Port Colborne</v>
      </c>
    </row>
    <row r="3" spans="2:12" ht="15.75" x14ac:dyDescent="0.25">
      <c r="B3" s="24" t="str">
        <f>Rates!B184</f>
        <v>Street Lighting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2000</v>
      </c>
    </row>
    <row r="7" spans="2:12" x14ac:dyDescent="0.2">
      <c r="B7" s="28" t="s">
        <v>71</v>
      </c>
      <c r="C7" s="29">
        <v>155000</v>
      </c>
    </row>
    <row r="8" spans="2:12" x14ac:dyDescent="0.2">
      <c r="B8" s="28" t="s">
        <v>72</v>
      </c>
      <c r="C8" s="62">
        <v>445</v>
      </c>
    </row>
    <row r="9" spans="2:12" ht="13.5" thickBot="1" x14ac:dyDescent="0.25">
      <c r="B9" s="30" t="s">
        <v>73</v>
      </c>
      <c r="C9" s="31">
        <f>IF(C8=0,"n/a",C7/(C8*24*365/12))</f>
        <v>0.47714329690626445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Rates!E185</f>
        <v>3.61</v>
      </c>
      <c r="D14" s="37">
        <f>C6</f>
        <v>2000</v>
      </c>
      <c r="E14" s="36">
        <f>C14*D14</f>
        <v>7220</v>
      </c>
      <c r="F14" s="45"/>
      <c r="G14" s="36">
        <f>Rates!I185</f>
        <v>4.01</v>
      </c>
      <c r="H14" s="37">
        <f>D14</f>
        <v>2000</v>
      </c>
      <c r="I14" s="36">
        <f>G14*H14</f>
        <v>8020</v>
      </c>
      <c r="J14" s="45"/>
      <c r="K14" s="36">
        <f>I14-E14</f>
        <v>800</v>
      </c>
      <c r="L14" s="47">
        <f>IF((E14)=0," ",K14/E14)</f>
        <v>0.11080332409972299</v>
      </c>
    </row>
    <row r="15" spans="2:12" x14ac:dyDescent="0.2">
      <c r="B15" s="44" t="str">
        <f>Rates!B7</f>
        <v>Distribution Volumetric Rate</v>
      </c>
      <c r="C15" s="25">
        <f>Rates!E186</f>
        <v>9.8094000000000001</v>
      </c>
      <c r="D15" s="38">
        <f>C8</f>
        <v>445</v>
      </c>
      <c r="E15" s="36">
        <f t="shared" ref="E15" si="0">C15*D15</f>
        <v>4365.183</v>
      </c>
      <c r="F15" s="45"/>
      <c r="G15" s="25">
        <f>Rates!I186</f>
        <v>10.0427</v>
      </c>
      <c r="H15" s="38">
        <f>D15</f>
        <v>445</v>
      </c>
      <c r="I15" s="36">
        <f t="shared" ref="I15" si="1">G15*H15</f>
        <v>4469.0015000000003</v>
      </c>
      <c r="J15" s="45"/>
      <c r="K15" s="36">
        <f t="shared" ref="K15:K36" si="2">I15-E15</f>
        <v>103.81850000000031</v>
      </c>
      <c r="L15" s="47">
        <f t="shared" ref="L15:L36" si="3">IF((E15)=0," ",K15/E15)</f>
        <v>2.3783309886435532E-2</v>
      </c>
    </row>
    <row r="16" spans="2:12" x14ac:dyDescent="0.2">
      <c r="B16" s="49" t="s">
        <v>40</v>
      </c>
      <c r="C16" s="50"/>
      <c r="D16" s="51"/>
      <c r="E16" s="52">
        <f>SUM(E14:E15)</f>
        <v>11585.183000000001</v>
      </c>
      <c r="F16" s="53"/>
      <c r="G16" s="50"/>
      <c r="H16" s="51"/>
      <c r="I16" s="52">
        <f>SUM(I14:I15)</f>
        <v>12489.0015</v>
      </c>
      <c r="J16" s="53"/>
      <c r="K16" s="54">
        <f t="shared" si="2"/>
        <v>903.8184999999994</v>
      </c>
      <c r="L16" s="55">
        <f t="shared" si="3"/>
        <v>7.8015038692094835E-2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8401.0000000000036</v>
      </c>
      <c r="E17" s="36">
        <f t="shared" ref="E17:E21" si="4">C17*D17</f>
        <v>704.8439000000003</v>
      </c>
      <c r="F17" s="45"/>
      <c r="G17" s="25">
        <f>Rates!I221</f>
        <v>8.3900000000000002E-2</v>
      </c>
      <c r="H17" s="40">
        <f>(C5-1)*C7</f>
        <v>8401.0000000000036</v>
      </c>
      <c r="I17" s="36">
        <f t="shared" ref="I17:I21" si="5">G17*H17</f>
        <v>704.8439000000003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Rates!E188</f>
        <v>0.46639999999999998</v>
      </c>
      <c r="D18" s="37">
        <f>C8</f>
        <v>445</v>
      </c>
      <c r="E18" s="36">
        <f t="shared" si="4"/>
        <v>207.548</v>
      </c>
      <c r="F18" s="45"/>
      <c r="G18" s="25">
        <f>Rates!I188</f>
        <v>0.46639999999999998</v>
      </c>
      <c r="H18" s="37">
        <f t="shared" ref="H18:H21" si="6">D18</f>
        <v>445</v>
      </c>
      <c r="I18" s="36">
        <f t="shared" si="5"/>
        <v>207.548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Rates!E189</f>
        <v>0.58409999999999995</v>
      </c>
      <c r="D19" s="37">
        <f>C8</f>
        <v>445</v>
      </c>
      <c r="E19" s="36">
        <f t="shared" si="4"/>
        <v>259.92449999999997</v>
      </c>
      <c r="F19" s="45"/>
      <c r="G19" s="25">
        <f>Rates!I189</f>
        <v>0.58409999999999995</v>
      </c>
      <c r="H19" s="37">
        <f t="shared" si="6"/>
        <v>445</v>
      </c>
      <c r="I19" s="36">
        <f t="shared" si="5"/>
        <v>259.92449999999997</v>
      </c>
      <c r="J19" s="45"/>
      <c r="K19" s="36">
        <f t="shared" si="2"/>
        <v>0</v>
      </c>
      <c r="L19" s="47">
        <f t="shared" si="3"/>
        <v>0</v>
      </c>
    </row>
    <row r="20" spans="2:12" ht="25.5" x14ac:dyDescent="0.2">
      <c r="B20" s="48" t="str">
        <f>Rates!B180</f>
        <v>Rate Rider for the Disposition of Deferred PILs Variance Account 1562 - effective until December 31, 2016</v>
      </c>
      <c r="C20" s="25">
        <f>Rates!E190</f>
        <v>0.43690000000000001</v>
      </c>
      <c r="D20" s="37">
        <f>C8</f>
        <v>445</v>
      </c>
      <c r="E20" s="36">
        <f t="shared" si="4"/>
        <v>194.4205</v>
      </c>
      <c r="F20" s="45"/>
      <c r="G20" s="25">
        <f>Rates!I190</f>
        <v>0.43690000000000001</v>
      </c>
      <c r="H20" s="37">
        <f>C8</f>
        <v>445</v>
      </c>
      <c r="I20" s="36">
        <f t="shared" si="5"/>
        <v>194.4205</v>
      </c>
      <c r="J20" s="45"/>
      <c r="K20" s="36">
        <f t="shared" si="2"/>
        <v>0</v>
      </c>
      <c r="L20" s="47">
        <f t="shared" si="3"/>
        <v>0</v>
      </c>
    </row>
    <row r="21" spans="2:12" x14ac:dyDescent="0.2">
      <c r="B21" s="44" t="str">
        <f>Rates!B10</f>
        <v>Low Voltage Service Rate</v>
      </c>
      <c r="C21" s="25">
        <f>Rates!E187</f>
        <v>5.0700000000000002E-2</v>
      </c>
      <c r="D21" s="37">
        <f>C8</f>
        <v>445</v>
      </c>
      <c r="E21" s="36">
        <f t="shared" si="4"/>
        <v>22.561500000000002</v>
      </c>
      <c r="F21" s="45"/>
      <c r="G21" s="25">
        <f>Rates!I187</f>
        <v>5.0700000000000002E-2</v>
      </c>
      <c r="H21" s="37">
        <f t="shared" si="6"/>
        <v>445</v>
      </c>
      <c r="I21" s="36">
        <f t="shared" si="5"/>
        <v>22.561500000000002</v>
      </c>
      <c r="J21" s="45"/>
      <c r="K21" s="36">
        <f t="shared" si="2"/>
        <v>0</v>
      </c>
      <c r="L21" s="47">
        <f t="shared" si="3"/>
        <v>0</v>
      </c>
    </row>
    <row r="22" spans="2:12" x14ac:dyDescent="0.2">
      <c r="B22" s="49" t="s">
        <v>64</v>
      </c>
      <c r="C22" s="50"/>
      <c r="D22" s="51"/>
      <c r="E22" s="52">
        <f>SUM(E16:E21)</f>
        <v>12974.481400000001</v>
      </c>
      <c r="F22" s="53"/>
      <c r="G22" s="50"/>
      <c r="H22" s="51"/>
      <c r="I22" s="52">
        <f>SUM(I16:I21)</f>
        <v>13878.2999</v>
      </c>
      <c r="J22" s="53"/>
      <c r="K22" s="54">
        <f t="shared" si="2"/>
        <v>903.8184999999994</v>
      </c>
      <c r="L22" s="55">
        <f t="shared" si="3"/>
        <v>6.9661242876343357E-2</v>
      </c>
    </row>
    <row r="23" spans="2:12" x14ac:dyDescent="0.2">
      <c r="B23" s="44" t="str">
        <f>Rates!B13</f>
        <v>Retail Transmission Rate - Network Service Rate</v>
      </c>
      <c r="C23" s="25">
        <f>Rates!E191</f>
        <v>1.7817000000000001</v>
      </c>
      <c r="D23" s="37">
        <f>C8</f>
        <v>445</v>
      </c>
      <c r="E23" s="36">
        <f>C23*D23</f>
        <v>792.85649999999998</v>
      </c>
      <c r="F23" s="45"/>
      <c r="G23" s="25">
        <f>Rates!I191</f>
        <v>1.8801000000000001</v>
      </c>
      <c r="H23" s="37">
        <f>D23</f>
        <v>445</v>
      </c>
      <c r="I23" s="36">
        <f>G23*H23</f>
        <v>836.64449999999999</v>
      </c>
      <c r="J23" s="45"/>
      <c r="K23" s="36">
        <f t="shared" si="2"/>
        <v>43.788000000000011</v>
      </c>
      <c r="L23" s="47">
        <f t="shared" si="3"/>
        <v>5.5228152887691548E-2</v>
      </c>
    </row>
    <row r="24" spans="2:12" x14ac:dyDescent="0.2">
      <c r="B24" s="44" t="str">
        <f>Rates!B14</f>
        <v>Retail Transmission Rate - Line and Transformation Connection Service Rate</v>
      </c>
      <c r="C24" s="25">
        <f>Rates!E192</f>
        <v>1.4547000000000001</v>
      </c>
      <c r="D24" s="37">
        <f>C8</f>
        <v>445</v>
      </c>
      <c r="E24" s="36">
        <f>C24*D24</f>
        <v>647.3415</v>
      </c>
      <c r="F24" s="45"/>
      <c r="G24" s="25">
        <f>Rates!I192</f>
        <v>1.4765999999999999</v>
      </c>
      <c r="H24" s="37">
        <f>D24</f>
        <v>445</v>
      </c>
      <c r="I24" s="36">
        <f>G24*H24</f>
        <v>657.08699999999999</v>
      </c>
      <c r="J24" s="45"/>
      <c r="K24" s="36">
        <f t="shared" si="2"/>
        <v>9.7454999999999927</v>
      </c>
      <c r="L24" s="47">
        <f t="shared" si="3"/>
        <v>1.5054650443390379E-2</v>
      </c>
    </row>
    <row r="25" spans="2:12" x14ac:dyDescent="0.2">
      <c r="B25" s="49" t="s">
        <v>65</v>
      </c>
      <c r="C25" s="50"/>
      <c r="D25" s="51"/>
      <c r="E25" s="52">
        <f>SUM(E22:E24)</f>
        <v>14414.679400000001</v>
      </c>
      <c r="F25" s="53"/>
      <c r="G25" s="50"/>
      <c r="H25" s="52"/>
      <c r="I25" s="52">
        <f>SUM(I22:I24)</f>
        <v>15372.0314</v>
      </c>
      <c r="J25" s="53"/>
      <c r="K25" s="54">
        <f t="shared" si="2"/>
        <v>957.35199999999895</v>
      </c>
      <c r="L25" s="55">
        <f t="shared" si="3"/>
        <v>6.6415074066787705E-2</v>
      </c>
    </row>
    <row r="26" spans="2:12" x14ac:dyDescent="0.2">
      <c r="B26" s="44" t="str">
        <f>Rates!B199</f>
        <v>Wholesale Market Service Rate</v>
      </c>
      <c r="C26" s="25">
        <f>Rates!E199</f>
        <v>4.4000000000000003E-3</v>
      </c>
      <c r="D26" s="37">
        <f>C5*C7</f>
        <v>163401</v>
      </c>
      <c r="E26" s="36">
        <f t="shared" ref="E26:E30" si="7">C26*D26</f>
        <v>718.96440000000007</v>
      </c>
      <c r="F26" s="45"/>
      <c r="G26" s="25">
        <f>Rates!I199</f>
        <v>4.4000000000000003E-3</v>
      </c>
      <c r="H26" s="37">
        <f>D26</f>
        <v>163401</v>
      </c>
      <c r="I26" s="36">
        <f t="shared" ref="I26:I30" si="8">G26*H26</f>
        <v>718.96440000000007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Rates!B200</f>
        <v>Rural Rate Protection Charge</v>
      </c>
      <c r="C27" s="25">
        <f>Rates!E200</f>
        <v>1.1999999999999999E-3</v>
      </c>
      <c r="D27" s="37">
        <f>C5*C7</f>
        <v>163401</v>
      </c>
      <c r="E27" s="36">
        <f t="shared" si="7"/>
        <v>196.0812</v>
      </c>
      <c r="F27" s="45"/>
      <c r="G27" s="25">
        <f>Rates!I200</f>
        <v>1.1999999999999999E-3</v>
      </c>
      <c r="H27" s="37">
        <f t="shared" ref="H27:H28" si="9">D27</f>
        <v>163401</v>
      </c>
      <c r="I27" s="36">
        <f t="shared" si="8"/>
        <v>196.0812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Rates!B201</f>
        <v>Standard Supply Service - Administrative Charge (if applicable)</v>
      </c>
      <c r="C28" s="36">
        <f>Rates!E201</f>
        <v>0.25</v>
      </c>
      <c r="D28" s="37">
        <v>1</v>
      </c>
      <c r="E28" s="36">
        <f t="shared" si="7"/>
        <v>0.25</v>
      </c>
      <c r="F28" s="45"/>
      <c r="G28" s="36">
        <f>Rates!I201</f>
        <v>0.25</v>
      </c>
      <c r="H28" s="37">
        <f t="shared" si="9"/>
        <v>1</v>
      </c>
      <c r="I28" s="36">
        <f t="shared" si="8"/>
        <v>0.25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Rates!B204</f>
        <v>Debt Retirement Charge</v>
      </c>
      <c r="C29" s="25">
        <f>Rates!E206</f>
        <v>5.1000000000000004E-3</v>
      </c>
      <c r="D29" s="37">
        <f>C7</f>
        <v>155000</v>
      </c>
      <c r="E29" s="36">
        <f t="shared" si="7"/>
        <v>790.5</v>
      </c>
      <c r="F29" s="45"/>
      <c r="G29" s="25">
        <f>Rates!I206</f>
        <v>5.1000000000000004E-3</v>
      </c>
      <c r="H29" s="37">
        <f>D29</f>
        <v>155000</v>
      </c>
      <c r="I29" s="36">
        <f t="shared" si="8"/>
        <v>790.5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Rates!B221</f>
        <v>Energy Price</v>
      </c>
      <c r="C30" s="25">
        <f>Rates!E221</f>
        <v>8.3900000000000002E-2</v>
      </c>
      <c r="D30" s="37">
        <f>C7*0.64</f>
        <v>99200</v>
      </c>
      <c r="E30" s="36">
        <f t="shared" si="7"/>
        <v>8322.880000000001</v>
      </c>
      <c r="F30" s="45"/>
      <c r="G30" s="25">
        <f>Rates!I221</f>
        <v>8.3900000000000002E-2</v>
      </c>
      <c r="H30" s="37">
        <f>D30</f>
        <v>99200</v>
      </c>
      <c r="I30" s="36">
        <f t="shared" si="8"/>
        <v>8322.880000000001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56"/>
      <c r="C31" s="51"/>
      <c r="D31" s="51"/>
      <c r="E31" s="51"/>
      <c r="F31" s="53"/>
      <c r="G31" s="51"/>
      <c r="H31" s="51"/>
      <c r="I31" s="51"/>
      <c r="J31" s="53"/>
      <c r="K31" s="54"/>
      <c r="L31" s="55"/>
    </row>
    <row r="32" spans="2:12" x14ac:dyDescent="0.2">
      <c r="B32" s="23" t="s">
        <v>66</v>
      </c>
      <c r="C32" s="35"/>
      <c r="D32" s="35"/>
      <c r="E32" s="39">
        <f>SUM(E25:E30)</f>
        <v>24443.355000000003</v>
      </c>
      <c r="F32" s="45"/>
      <c r="G32" s="35"/>
      <c r="H32" s="39"/>
      <c r="I32" s="39">
        <f>SUM(I25:I30)</f>
        <v>25400.707000000002</v>
      </c>
      <c r="J32" s="45"/>
      <c r="K32" s="36">
        <f t="shared" si="2"/>
        <v>957.35199999999895</v>
      </c>
      <c r="L32" s="47">
        <f t="shared" si="3"/>
        <v>3.9166145563896561E-2</v>
      </c>
    </row>
    <row r="33" spans="2:12" x14ac:dyDescent="0.2">
      <c r="B33" s="44" t="str">
        <f>Rates!B223</f>
        <v>HST</v>
      </c>
      <c r="C33" s="41">
        <f>Rates!E223</f>
        <v>0.13</v>
      </c>
      <c r="D33" s="35"/>
      <c r="E33" s="42">
        <f>E32*C33</f>
        <v>3177.6361500000007</v>
      </c>
      <c r="F33" s="45"/>
      <c r="G33" s="41">
        <f>Rates!I223</f>
        <v>0.13</v>
      </c>
      <c r="H33" s="35"/>
      <c r="I33" s="42">
        <f>I32*G33</f>
        <v>3302.0919100000006</v>
      </c>
      <c r="J33" s="45"/>
      <c r="K33" s="36">
        <f t="shared" si="2"/>
        <v>124.45575999999983</v>
      </c>
      <c r="L33" s="47">
        <f t="shared" si="3"/>
        <v>3.9166145563896547E-2</v>
      </c>
    </row>
    <row r="34" spans="2:12" x14ac:dyDescent="0.2">
      <c r="B34" s="23" t="s">
        <v>67</v>
      </c>
      <c r="C34" s="35"/>
      <c r="D34" s="35"/>
      <c r="E34" s="42">
        <f>E32+E33</f>
        <v>27620.991150000005</v>
      </c>
      <c r="F34" s="45"/>
      <c r="G34" s="35"/>
      <c r="H34" s="35"/>
      <c r="I34" s="42">
        <f>I32+I33</f>
        <v>28702.798910000001</v>
      </c>
      <c r="J34" s="45"/>
      <c r="K34" s="36">
        <f t="shared" si="2"/>
        <v>1081.8077599999961</v>
      </c>
      <c r="L34" s="47">
        <f t="shared" si="3"/>
        <v>3.9166145563896457E-2</v>
      </c>
    </row>
    <row r="35" spans="2:12" x14ac:dyDescent="0.2">
      <c r="B35" s="44" t="str">
        <f>Rates!B225</f>
        <v>OCEB</v>
      </c>
      <c r="C35" s="41">
        <f>Rates!E225</f>
        <v>-0.1</v>
      </c>
      <c r="D35" s="35"/>
      <c r="E35" s="42">
        <f>E34*C35</f>
        <v>-2762.0991150000009</v>
      </c>
      <c r="F35" s="45"/>
      <c r="G35" s="41">
        <f>Rates!I225</f>
        <v>-0.1</v>
      </c>
      <c r="H35" s="35"/>
      <c r="I35" s="42">
        <f>I34*G35</f>
        <v>-2870.2798910000001</v>
      </c>
      <c r="J35" s="45"/>
      <c r="K35" s="36">
        <f t="shared" si="2"/>
        <v>-108.18077599999924</v>
      </c>
      <c r="L35" s="47">
        <f t="shared" si="3"/>
        <v>3.9166145563896325E-2</v>
      </c>
    </row>
    <row r="36" spans="2:12" ht="13.5" thickBot="1" x14ac:dyDescent="0.25">
      <c r="B36" s="30" t="s">
        <v>68</v>
      </c>
      <c r="C36" s="57"/>
      <c r="D36" s="57"/>
      <c r="E36" s="58">
        <f>E34+E35</f>
        <v>24858.892035000004</v>
      </c>
      <c r="F36" s="59"/>
      <c r="G36" s="57"/>
      <c r="H36" s="57"/>
      <c r="I36" s="58">
        <f>I34+I35</f>
        <v>25832.519018999999</v>
      </c>
      <c r="J36" s="59"/>
      <c r="K36" s="60">
        <f t="shared" si="2"/>
        <v>973.62698399999499</v>
      </c>
      <c r="L36" s="61">
        <f t="shared" si="3"/>
        <v>3.9166145563896401E-2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24"/>
  <sheetViews>
    <sheetView showGridLines="0" zoomScaleNormal="100" workbookViewId="0">
      <selection activeCell="B3" sqref="B3:I24"/>
    </sheetView>
  </sheetViews>
  <sheetFormatPr defaultRowHeight="14.25" x14ac:dyDescent="0.2"/>
  <cols>
    <col min="1" max="1" width="4.85546875" style="66" customWidth="1"/>
    <col min="2" max="2" width="25.140625" style="66" customWidth="1"/>
    <col min="3" max="3" width="11.85546875" style="66" customWidth="1"/>
    <col min="4" max="4" width="11.140625" style="66" customWidth="1"/>
    <col min="5" max="5" width="2.140625" style="66" customWidth="1"/>
    <col min="6" max="6" width="13.7109375" style="66" bestFit="1" customWidth="1"/>
    <col min="7" max="7" width="15.140625" style="66" bestFit="1" customWidth="1"/>
    <col min="8" max="8" width="12.5703125" style="66" bestFit="1" customWidth="1"/>
    <col min="9" max="9" width="9.28515625" style="66" bestFit="1" customWidth="1"/>
    <col min="10" max="16384" width="9.140625" style="66"/>
  </cols>
  <sheetData>
    <row r="3" spans="2:9" ht="14.25" customHeight="1" x14ac:dyDescent="0.2">
      <c r="B3" s="114" t="s">
        <v>93</v>
      </c>
      <c r="C3" s="114"/>
      <c r="D3" s="114"/>
      <c r="E3" s="114"/>
      <c r="F3" s="114"/>
      <c r="G3" s="114"/>
      <c r="H3" s="114"/>
      <c r="I3" s="114"/>
    </row>
    <row r="4" spans="2:9" ht="14.25" customHeight="1" x14ac:dyDescent="0.2">
      <c r="B4" s="114"/>
      <c r="C4" s="114"/>
      <c r="D4" s="114"/>
      <c r="E4" s="114"/>
      <c r="F4" s="114"/>
      <c r="G4" s="114"/>
      <c r="H4" s="114"/>
      <c r="I4" s="114"/>
    </row>
    <row r="5" spans="2:9" ht="15" customHeight="1" thickBot="1" x14ac:dyDescent="0.25">
      <c r="B5" s="115"/>
      <c r="C5" s="115"/>
      <c r="D5" s="115"/>
      <c r="E5" s="115"/>
      <c r="F5" s="115"/>
      <c r="G5" s="115"/>
      <c r="H5" s="115"/>
      <c r="I5" s="115"/>
    </row>
    <row r="6" spans="2:9" ht="15" x14ac:dyDescent="0.2">
      <c r="B6" s="106" t="s">
        <v>78</v>
      </c>
      <c r="C6" s="67" t="s">
        <v>79</v>
      </c>
      <c r="D6" s="67" t="s">
        <v>80</v>
      </c>
      <c r="E6" s="68"/>
      <c r="F6" s="108" t="s">
        <v>81</v>
      </c>
      <c r="G6" s="108"/>
      <c r="H6" s="108"/>
      <c r="I6" s="109"/>
    </row>
    <row r="7" spans="2:9" ht="14.25" customHeight="1" x14ac:dyDescent="0.2">
      <c r="B7" s="107"/>
      <c r="C7" s="69" t="s">
        <v>82</v>
      </c>
      <c r="D7" s="69" t="s">
        <v>83</v>
      </c>
      <c r="E7" s="70"/>
      <c r="F7" s="110" t="s">
        <v>84</v>
      </c>
      <c r="G7" s="111" t="s">
        <v>85</v>
      </c>
      <c r="H7" s="112" t="s">
        <v>34</v>
      </c>
      <c r="I7" s="113"/>
    </row>
    <row r="8" spans="2:9" x14ac:dyDescent="0.2">
      <c r="B8" s="71"/>
      <c r="C8" s="72"/>
      <c r="D8" s="72"/>
      <c r="E8" s="73"/>
      <c r="F8" s="110"/>
      <c r="G8" s="111"/>
      <c r="H8" s="74" t="s">
        <v>8</v>
      </c>
      <c r="I8" s="75" t="s">
        <v>12</v>
      </c>
    </row>
    <row r="9" spans="2:9" x14ac:dyDescent="0.2">
      <c r="B9" s="76" t="s">
        <v>86</v>
      </c>
      <c r="C9" s="77">
        <f>'FE - Residential'!C7</f>
        <v>800</v>
      </c>
      <c r="D9" s="78"/>
      <c r="E9" s="70"/>
      <c r="F9" s="79">
        <f>'FE - Residential'!E27</f>
        <v>52.693887999999994</v>
      </c>
      <c r="G9" s="79">
        <f>'FE - Residential'!I27</f>
        <v>53.555567999999994</v>
      </c>
      <c r="H9" s="79">
        <f>G9-F9</f>
        <v>0.86167999999999978</v>
      </c>
      <c r="I9" s="80">
        <f>IF(ISBLANK(F9),"",H9/F9)</f>
        <v>1.6352560661304777E-2</v>
      </c>
    </row>
    <row r="10" spans="2:9" x14ac:dyDescent="0.2">
      <c r="B10" s="76" t="s">
        <v>87</v>
      </c>
      <c r="C10" s="77">
        <f>'FE - GS &lt; 50 kW'!C7</f>
        <v>2000</v>
      </c>
      <c r="D10" s="78"/>
      <c r="E10" s="70"/>
      <c r="F10" s="79">
        <f>'FE - GS &lt; 50 kW'!E27</f>
        <v>112.92128000000004</v>
      </c>
      <c r="G10" s="79">
        <f>'FE - GS &lt; 50 kW'!I27</f>
        <v>113.42464000000004</v>
      </c>
      <c r="H10" s="79">
        <f t="shared" ref="H10:H14" si="0">G10-F10</f>
        <v>0.5033600000000007</v>
      </c>
      <c r="I10" s="80">
        <f t="shared" ref="I10:I14" si="1">IF(ISBLANK(F10),"",H10/F10)</f>
        <v>4.4576186171463921E-3</v>
      </c>
    </row>
    <row r="11" spans="2:9" x14ac:dyDescent="0.2">
      <c r="B11" s="76" t="s">
        <v>88</v>
      </c>
      <c r="C11" s="77">
        <f>'FE - GS &gt; 50 kW'!C7</f>
        <v>68620</v>
      </c>
      <c r="D11" s="77">
        <f>'FE - GS &gt; 50 kW'!C8</f>
        <v>200</v>
      </c>
      <c r="E11" s="70"/>
      <c r="F11" s="79">
        <f>'FE - GS &gt; 50 kW'!E24</f>
        <v>2956.2112156000003</v>
      </c>
      <c r="G11" s="79">
        <f>'FE - GS &gt; 50 kW'!I24</f>
        <v>2887.4512156000005</v>
      </c>
      <c r="H11" s="79">
        <f t="shared" si="0"/>
        <v>-68.759999999999764</v>
      </c>
      <c r="I11" s="80">
        <f t="shared" si="1"/>
        <v>-2.3259501769410631E-2</v>
      </c>
    </row>
    <row r="12" spans="2:9" x14ac:dyDescent="0.2">
      <c r="B12" s="76" t="s">
        <v>89</v>
      </c>
      <c r="C12" s="77">
        <f>'FE - USL'!C7</f>
        <v>800</v>
      </c>
      <c r="D12" s="81"/>
      <c r="E12" s="70"/>
      <c r="F12" s="79">
        <f>'FE - USL'!E24</f>
        <v>106.80752</v>
      </c>
      <c r="G12" s="79">
        <f>'FE - USL'!I24</f>
        <v>91.534863999999999</v>
      </c>
      <c r="H12" s="79">
        <f t="shared" si="0"/>
        <v>-15.272655999999998</v>
      </c>
      <c r="I12" s="80">
        <f t="shared" si="1"/>
        <v>-0.14299232863004402</v>
      </c>
    </row>
    <row r="13" spans="2:9" x14ac:dyDescent="0.2">
      <c r="B13" s="76" t="s">
        <v>22</v>
      </c>
      <c r="C13" s="77">
        <f>'FE - Sentinel Lgt'!C7</f>
        <v>60</v>
      </c>
      <c r="D13" s="77">
        <f>'FE - Sentinel Lgt'!C8</f>
        <v>0.2</v>
      </c>
      <c r="E13" s="70"/>
      <c r="F13" s="79">
        <f>'FE - Sentinel Lgt'!E24</f>
        <v>7.148902800000001</v>
      </c>
      <c r="G13" s="79">
        <f>'FE - Sentinel Lgt'!I24</f>
        <v>7.2090228000000005</v>
      </c>
      <c r="H13" s="79">
        <f t="shared" si="0"/>
        <v>6.0119999999999507E-2</v>
      </c>
      <c r="I13" s="80">
        <f t="shared" si="1"/>
        <v>8.4096821123375038E-3</v>
      </c>
    </row>
    <row r="14" spans="2:9" x14ac:dyDescent="0.2">
      <c r="B14" s="76" t="s">
        <v>7</v>
      </c>
      <c r="C14" s="77">
        <f>'FE - Street Lgt'!C7</f>
        <v>172000</v>
      </c>
      <c r="D14" s="77">
        <f>'FE - Street Lgt'!C8</f>
        <v>490</v>
      </c>
      <c r="E14" s="70"/>
      <c r="F14" s="79">
        <f>'FE - Street Lgt'!E24</f>
        <v>27474.787359999998</v>
      </c>
      <c r="G14" s="79">
        <f>'FE - Street Lgt'!I24</f>
        <v>26856.051359999998</v>
      </c>
      <c r="H14" s="79">
        <f t="shared" si="0"/>
        <v>-618.73600000000079</v>
      </c>
      <c r="I14" s="80">
        <f t="shared" si="1"/>
        <v>-2.2520137895618669E-2</v>
      </c>
    </row>
    <row r="15" spans="2:9" ht="7.5" customHeight="1" thickBot="1" x14ac:dyDescent="0.25">
      <c r="B15" s="82"/>
      <c r="C15" s="83"/>
      <c r="D15" s="83"/>
      <c r="E15" s="70"/>
      <c r="F15" s="84"/>
      <c r="G15" s="84"/>
      <c r="H15" s="84"/>
      <c r="I15" s="85"/>
    </row>
    <row r="16" spans="2:9" ht="15" customHeight="1" x14ac:dyDescent="0.2">
      <c r="B16" s="106" t="s">
        <v>78</v>
      </c>
      <c r="C16" s="67" t="s">
        <v>79</v>
      </c>
      <c r="D16" s="67" t="s">
        <v>80</v>
      </c>
      <c r="E16" s="68"/>
      <c r="F16" s="108" t="s">
        <v>90</v>
      </c>
      <c r="G16" s="108"/>
      <c r="H16" s="108"/>
      <c r="I16" s="109"/>
    </row>
    <row r="17" spans="2:9" ht="14.25" customHeight="1" x14ac:dyDescent="0.2">
      <c r="B17" s="107"/>
      <c r="C17" s="69" t="s">
        <v>82</v>
      </c>
      <c r="D17" s="69" t="s">
        <v>83</v>
      </c>
      <c r="E17" s="70"/>
      <c r="F17" s="110" t="s">
        <v>84</v>
      </c>
      <c r="G17" s="111" t="s">
        <v>85</v>
      </c>
      <c r="H17" s="112" t="s">
        <v>34</v>
      </c>
      <c r="I17" s="113"/>
    </row>
    <row r="18" spans="2:9" x14ac:dyDescent="0.2">
      <c r="B18" s="71"/>
      <c r="C18" s="72"/>
      <c r="D18" s="72"/>
      <c r="E18" s="73"/>
      <c r="F18" s="110"/>
      <c r="G18" s="111"/>
      <c r="H18" s="74" t="s">
        <v>8</v>
      </c>
      <c r="I18" s="75" t="s">
        <v>12</v>
      </c>
    </row>
    <row r="19" spans="2:9" x14ac:dyDescent="0.2">
      <c r="B19" s="76" t="s">
        <v>86</v>
      </c>
      <c r="C19" s="77">
        <f t="shared" ref="C19:C24" si="2">C9</f>
        <v>800</v>
      </c>
      <c r="D19" s="78"/>
      <c r="E19" s="70"/>
      <c r="F19" s="79">
        <f>'FE - Residential'!E40</f>
        <v>126.92434996799997</v>
      </c>
      <c r="G19" s="79">
        <f>'FE - Residential'!I40</f>
        <v>127.80067852799999</v>
      </c>
      <c r="H19" s="79">
        <f t="shared" ref="H19:H24" si="3">G19-F19</f>
        <v>0.8763285600000188</v>
      </c>
      <c r="I19" s="80">
        <f t="shared" ref="I19:I24" si="4">IF(ISBLANK(F19),"",H19/F19)</f>
        <v>6.9043375855063101E-3</v>
      </c>
    </row>
    <row r="20" spans="2:9" x14ac:dyDescent="0.2">
      <c r="B20" s="76" t="s">
        <v>87</v>
      </c>
      <c r="C20" s="77">
        <f t="shared" si="2"/>
        <v>2000</v>
      </c>
      <c r="D20" s="78"/>
      <c r="E20" s="70"/>
      <c r="F20" s="79">
        <f>'FE - GS &lt; 50 kW'!E40</f>
        <v>297.79623144000004</v>
      </c>
      <c r="G20" s="79">
        <f>'FE - GS &lt; 50 kW'!I40</f>
        <v>298.30814856000001</v>
      </c>
      <c r="H20" s="79">
        <f t="shared" si="3"/>
        <v>0.51191711999996414</v>
      </c>
      <c r="I20" s="80">
        <f t="shared" si="4"/>
        <v>1.7190181270077796E-3</v>
      </c>
    </row>
    <row r="21" spans="2:9" x14ac:dyDescent="0.2">
      <c r="B21" s="76" t="s">
        <v>88</v>
      </c>
      <c r="C21" s="77">
        <f t="shared" si="2"/>
        <v>68620</v>
      </c>
      <c r="D21" s="77">
        <f>D11</f>
        <v>200</v>
      </c>
      <c r="E21" s="70"/>
      <c r="F21" s="79">
        <f>'FE - GS &gt; 50 kW'!E35</f>
        <v>9273.797996886</v>
      </c>
      <c r="G21" s="79">
        <f>'FE - GS &gt; 50 kW'!I35</f>
        <v>9203.8690768859997</v>
      </c>
      <c r="H21" s="79">
        <f t="shared" si="3"/>
        <v>-69.928920000000289</v>
      </c>
      <c r="I21" s="80">
        <f t="shared" si="4"/>
        <v>-7.5404834161237238E-3</v>
      </c>
    </row>
    <row r="22" spans="2:9" x14ac:dyDescent="0.2">
      <c r="B22" s="76" t="s">
        <v>89</v>
      </c>
      <c r="C22" s="77">
        <f t="shared" si="2"/>
        <v>800</v>
      </c>
      <c r="D22" s="81"/>
      <c r="E22" s="70"/>
      <c r="F22" s="79">
        <f>'FE - USL'!E35</f>
        <v>181.94164171200001</v>
      </c>
      <c r="G22" s="79">
        <f>'FE - USL'!I35</f>
        <v>166.40935056000001</v>
      </c>
      <c r="H22" s="79">
        <f t="shared" si="3"/>
        <v>-15.532291151999999</v>
      </c>
      <c r="I22" s="80">
        <f t="shared" si="4"/>
        <v>-8.5369632844065749E-2</v>
      </c>
    </row>
    <row r="23" spans="2:9" x14ac:dyDescent="0.2">
      <c r="B23" s="76" t="s">
        <v>22</v>
      </c>
      <c r="C23" s="77">
        <f t="shared" si="2"/>
        <v>60</v>
      </c>
      <c r="D23" s="77">
        <f>D13</f>
        <v>0.2</v>
      </c>
      <c r="E23" s="70"/>
      <c r="F23" s="79">
        <f>'FE - Sentinel Lgt'!E35</f>
        <v>11.161446858000001</v>
      </c>
      <c r="G23" s="79">
        <f>'FE - Sentinel Lgt'!I35</f>
        <v>11.222588898000001</v>
      </c>
      <c r="H23" s="79">
        <f t="shared" si="3"/>
        <v>6.1142040000000009E-2</v>
      </c>
      <c r="I23" s="80">
        <f t="shared" si="4"/>
        <v>5.4779672185758122E-3</v>
      </c>
    </row>
    <row r="24" spans="2:9" ht="15" thickBot="1" x14ac:dyDescent="0.25">
      <c r="B24" s="86" t="s">
        <v>7</v>
      </c>
      <c r="C24" s="87">
        <f t="shared" si="2"/>
        <v>172000</v>
      </c>
      <c r="D24" s="87">
        <f>D14</f>
        <v>490</v>
      </c>
      <c r="E24" s="88"/>
      <c r="F24" s="89">
        <f>'FE - Street Lgt'!E35</f>
        <v>43650.903927599997</v>
      </c>
      <c r="G24" s="89">
        <f>'FE - Street Lgt'!I35</f>
        <v>43021.649415599997</v>
      </c>
      <c r="H24" s="89">
        <f t="shared" si="3"/>
        <v>-629.25451199999952</v>
      </c>
      <c r="I24" s="90">
        <f t="shared" si="4"/>
        <v>-1.4415612401605472E-2</v>
      </c>
    </row>
  </sheetData>
  <mergeCells count="11">
    <mergeCell ref="B3:I5"/>
    <mergeCell ref="B6:B7"/>
    <mergeCell ref="F6:I6"/>
    <mergeCell ref="F7:F8"/>
    <mergeCell ref="G7:G8"/>
    <mergeCell ref="H7:I7"/>
    <mergeCell ref="B16:B17"/>
    <mergeCell ref="F16:I16"/>
    <mergeCell ref="F17:F18"/>
    <mergeCell ref="G17:G18"/>
    <mergeCell ref="H17:I17"/>
  </mergeCells>
  <pageMargins left="0.7" right="0.7" top="0.75" bottom="0.75" header="0.3" footer="0.3"/>
  <pageSetup scale="85" orientation="portrait" r:id="rId1"/>
  <headerFooter>
    <oddHeader>&amp;C&amp;"Arial,Bold"&amp;16 2013 Rates Impacts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24"/>
  <sheetViews>
    <sheetView showGridLines="0" zoomScaleNormal="100" workbookViewId="0">
      <selection activeCell="B3" sqref="B3:I24"/>
    </sheetView>
  </sheetViews>
  <sheetFormatPr defaultRowHeight="14.25" x14ac:dyDescent="0.2"/>
  <cols>
    <col min="1" max="1" width="4.85546875" style="66" customWidth="1"/>
    <col min="2" max="2" width="25.140625" style="66" customWidth="1"/>
    <col min="3" max="3" width="11.85546875" style="66" customWidth="1"/>
    <col min="4" max="4" width="11.140625" style="66" customWidth="1"/>
    <col min="5" max="5" width="2.140625" style="66" customWidth="1"/>
    <col min="6" max="6" width="13.7109375" style="66" bestFit="1" customWidth="1"/>
    <col min="7" max="7" width="15.140625" style="66" bestFit="1" customWidth="1"/>
    <col min="8" max="8" width="12.5703125" style="66" bestFit="1" customWidth="1"/>
    <col min="9" max="9" width="9.28515625" style="66" bestFit="1" customWidth="1"/>
    <col min="10" max="16384" width="9.140625" style="66"/>
  </cols>
  <sheetData>
    <row r="3" spans="2:9" ht="14.25" customHeight="1" x14ac:dyDescent="0.2">
      <c r="B3" s="114" t="s">
        <v>92</v>
      </c>
      <c r="C3" s="114"/>
      <c r="D3" s="114"/>
      <c r="E3" s="114"/>
      <c r="F3" s="114"/>
      <c r="G3" s="114"/>
      <c r="H3" s="114"/>
      <c r="I3" s="114"/>
    </row>
    <row r="4" spans="2:9" ht="14.25" customHeight="1" x14ac:dyDescent="0.2">
      <c r="B4" s="114"/>
      <c r="C4" s="114"/>
      <c r="D4" s="114"/>
      <c r="E4" s="114"/>
      <c r="F4" s="114"/>
      <c r="G4" s="114"/>
      <c r="H4" s="114"/>
      <c r="I4" s="114"/>
    </row>
    <row r="5" spans="2:9" ht="15" customHeight="1" thickBot="1" x14ac:dyDescent="0.25">
      <c r="B5" s="115"/>
      <c r="C5" s="115"/>
      <c r="D5" s="115"/>
      <c r="E5" s="115"/>
      <c r="F5" s="115"/>
      <c r="G5" s="115"/>
      <c r="H5" s="115"/>
      <c r="I5" s="115"/>
    </row>
    <row r="6" spans="2:9" ht="15" x14ac:dyDescent="0.2">
      <c r="B6" s="106" t="s">
        <v>78</v>
      </c>
      <c r="C6" s="67" t="s">
        <v>79</v>
      </c>
      <c r="D6" s="67" t="s">
        <v>80</v>
      </c>
      <c r="E6" s="68"/>
      <c r="F6" s="108" t="s">
        <v>81</v>
      </c>
      <c r="G6" s="108"/>
      <c r="H6" s="108"/>
      <c r="I6" s="109"/>
    </row>
    <row r="7" spans="2:9" ht="14.25" customHeight="1" x14ac:dyDescent="0.2">
      <c r="B7" s="107"/>
      <c r="C7" s="69" t="s">
        <v>82</v>
      </c>
      <c r="D7" s="69" t="s">
        <v>83</v>
      </c>
      <c r="E7" s="70"/>
      <c r="F7" s="110" t="s">
        <v>84</v>
      </c>
      <c r="G7" s="111" t="s">
        <v>85</v>
      </c>
      <c r="H7" s="112" t="s">
        <v>34</v>
      </c>
      <c r="I7" s="113"/>
    </row>
    <row r="8" spans="2:9" x14ac:dyDescent="0.2">
      <c r="B8" s="71"/>
      <c r="C8" s="72"/>
      <c r="D8" s="72"/>
      <c r="E8" s="73"/>
      <c r="F8" s="110"/>
      <c r="G8" s="111"/>
      <c r="H8" s="74" t="s">
        <v>8</v>
      </c>
      <c r="I8" s="75" t="s">
        <v>12</v>
      </c>
    </row>
    <row r="9" spans="2:9" x14ac:dyDescent="0.2">
      <c r="B9" s="76" t="s">
        <v>86</v>
      </c>
      <c r="C9" s="77">
        <f>'EOP - Residential'!C7</f>
        <v>800</v>
      </c>
      <c r="D9" s="78"/>
      <c r="E9" s="70"/>
      <c r="F9" s="79">
        <f>'EOP - Residential'!E27</f>
        <v>52.483887999999993</v>
      </c>
      <c r="G9" s="79">
        <f>'EOP - Residential'!I27</f>
        <v>53.345567999999993</v>
      </c>
      <c r="H9" s="79">
        <f>G9-F9</f>
        <v>0.86167999999999978</v>
      </c>
      <c r="I9" s="80">
        <f>IF(ISBLANK(F9),"",H9/F9)</f>
        <v>1.641799098420452E-2</v>
      </c>
    </row>
    <row r="10" spans="2:9" x14ac:dyDescent="0.2">
      <c r="B10" s="76" t="s">
        <v>87</v>
      </c>
      <c r="C10" s="77">
        <f>'EOP - GS &lt; 50 kW'!C7</f>
        <v>2000</v>
      </c>
      <c r="D10" s="78"/>
      <c r="E10" s="70"/>
      <c r="F10" s="79">
        <f>'EOP - GS &lt; 50 kW'!E27</f>
        <v>112.94128000000003</v>
      </c>
      <c r="G10" s="79">
        <f>'EOP - GS &lt; 50 kW'!I27</f>
        <v>113.44464000000004</v>
      </c>
      <c r="H10" s="79">
        <f t="shared" ref="H10:H14" si="0">G10-F10</f>
        <v>0.5033600000000007</v>
      </c>
      <c r="I10" s="80">
        <f t="shared" ref="I10:I14" si="1">IF(ISBLANK(F10),"",H10/F10)</f>
        <v>4.4568292479065276E-3</v>
      </c>
    </row>
    <row r="11" spans="2:9" x14ac:dyDescent="0.2">
      <c r="B11" s="76" t="s">
        <v>88</v>
      </c>
      <c r="C11" s="77">
        <f>'EOP - GS &gt; 50 kW'!C7</f>
        <v>68620</v>
      </c>
      <c r="D11" s="77">
        <f>'EOP - GS &gt; 50 kW'!C8</f>
        <v>200</v>
      </c>
      <c r="E11" s="70"/>
      <c r="F11" s="79">
        <f>'EOP - GS &gt; 50 kW'!E24</f>
        <v>2898.7512156000003</v>
      </c>
      <c r="G11" s="79">
        <f>'EOP - GS &gt; 50 kW'!I24</f>
        <v>2829.9912156000005</v>
      </c>
      <c r="H11" s="79">
        <f t="shared" si="0"/>
        <v>-68.759999999999764</v>
      </c>
      <c r="I11" s="80">
        <f t="shared" si="1"/>
        <v>-2.3720559263574959E-2</v>
      </c>
    </row>
    <row r="12" spans="2:9" x14ac:dyDescent="0.2">
      <c r="B12" s="76" t="s">
        <v>89</v>
      </c>
      <c r="C12" s="77">
        <f>'EOP - USL'!C7</f>
        <v>800</v>
      </c>
      <c r="D12" s="81"/>
      <c r="E12" s="70"/>
      <c r="F12" s="79">
        <f>'EOP - USL'!E23</f>
        <v>104.48752</v>
      </c>
      <c r="G12" s="79">
        <f>'EOP - USL'!I23</f>
        <v>89.214864000000006</v>
      </c>
      <c r="H12" s="79">
        <f t="shared" si="0"/>
        <v>-15.272655999999998</v>
      </c>
      <c r="I12" s="80">
        <f t="shared" si="1"/>
        <v>-0.14616727433094401</v>
      </c>
    </row>
    <row r="13" spans="2:9" x14ac:dyDescent="0.2">
      <c r="B13" s="76" t="s">
        <v>22</v>
      </c>
      <c r="C13" s="77">
        <f>'EOP - Sentinel Lgt'!C7</f>
        <v>60</v>
      </c>
      <c r="D13" s="77">
        <f>'EOP - Sentinel Lgt'!C8</f>
        <v>0.2</v>
      </c>
      <c r="E13" s="70"/>
      <c r="F13" s="79">
        <f>'EOP - Sentinel Lgt'!E23</f>
        <v>6.9266428000000007</v>
      </c>
      <c r="G13" s="79">
        <f>'EOP - Sentinel Lgt'!I23</f>
        <v>6.9867628000000002</v>
      </c>
      <c r="H13" s="79">
        <f t="shared" si="0"/>
        <v>6.0119999999999507E-2</v>
      </c>
      <c r="I13" s="80">
        <f t="shared" si="1"/>
        <v>8.6795294251350019E-3</v>
      </c>
    </row>
    <row r="14" spans="2:9" x14ac:dyDescent="0.2">
      <c r="B14" s="76" t="s">
        <v>7</v>
      </c>
      <c r="C14" s="77">
        <f>'EOP - Street Lgt'!C7</f>
        <v>46000</v>
      </c>
      <c r="D14" s="77">
        <f>'EOP - Street Lgt'!C8</f>
        <v>129</v>
      </c>
      <c r="E14" s="70"/>
      <c r="F14" s="79">
        <f>'EOP - Street Lgt'!E24</f>
        <v>6929.2790799999984</v>
      </c>
      <c r="G14" s="79">
        <f>'EOP - Street Lgt'!I24</f>
        <v>6776.8934799999988</v>
      </c>
      <c r="H14" s="79">
        <f t="shared" si="0"/>
        <v>-152.38559999999961</v>
      </c>
      <c r="I14" s="80">
        <f t="shared" si="1"/>
        <v>-2.1991551825330673E-2</v>
      </c>
    </row>
    <row r="15" spans="2:9" ht="7.5" customHeight="1" thickBot="1" x14ac:dyDescent="0.25">
      <c r="B15" s="82"/>
      <c r="C15" s="83"/>
      <c r="D15" s="83"/>
      <c r="E15" s="70"/>
      <c r="F15" s="84"/>
      <c r="G15" s="84"/>
      <c r="H15" s="84"/>
      <c r="I15" s="85"/>
    </row>
    <row r="16" spans="2:9" ht="15" customHeight="1" x14ac:dyDescent="0.2">
      <c r="B16" s="106" t="s">
        <v>78</v>
      </c>
      <c r="C16" s="67" t="s">
        <v>79</v>
      </c>
      <c r="D16" s="67" t="s">
        <v>80</v>
      </c>
      <c r="E16" s="68"/>
      <c r="F16" s="108" t="s">
        <v>90</v>
      </c>
      <c r="G16" s="108"/>
      <c r="H16" s="108"/>
      <c r="I16" s="109"/>
    </row>
    <row r="17" spans="2:9" ht="14.25" customHeight="1" x14ac:dyDescent="0.2">
      <c r="B17" s="107"/>
      <c r="C17" s="69" t="s">
        <v>82</v>
      </c>
      <c r="D17" s="69" t="s">
        <v>83</v>
      </c>
      <c r="E17" s="70"/>
      <c r="F17" s="110" t="s">
        <v>84</v>
      </c>
      <c r="G17" s="111" t="s">
        <v>85</v>
      </c>
      <c r="H17" s="112" t="s">
        <v>34</v>
      </c>
      <c r="I17" s="113"/>
    </row>
    <row r="18" spans="2:9" x14ac:dyDescent="0.2">
      <c r="B18" s="71"/>
      <c r="C18" s="72"/>
      <c r="D18" s="72"/>
      <c r="E18" s="73"/>
      <c r="F18" s="110"/>
      <c r="G18" s="111"/>
      <c r="H18" s="74" t="s">
        <v>8</v>
      </c>
      <c r="I18" s="75" t="s">
        <v>12</v>
      </c>
    </row>
    <row r="19" spans="2:9" x14ac:dyDescent="0.2">
      <c r="B19" s="76" t="s">
        <v>86</v>
      </c>
      <c r="C19" s="77">
        <f t="shared" ref="C19:C24" si="2">C9</f>
        <v>800</v>
      </c>
      <c r="D19" s="78"/>
      <c r="E19" s="70"/>
      <c r="F19" s="79">
        <f>'EOP - Residential'!E40</f>
        <v>130.86013996799997</v>
      </c>
      <c r="G19" s="79">
        <f>'EOP - Residential'!I40</f>
        <v>131.73646852799999</v>
      </c>
      <c r="H19" s="79">
        <f t="shared" ref="H19:H24" si="3">G19-F19</f>
        <v>0.8763285600000188</v>
      </c>
      <c r="I19" s="80">
        <f t="shared" ref="I19:I24" si="4">IF(ISBLANK(F19),"",H19/F19)</f>
        <v>6.6966805951324277E-3</v>
      </c>
    </row>
    <row r="20" spans="2:9" x14ac:dyDescent="0.2">
      <c r="B20" s="76" t="s">
        <v>87</v>
      </c>
      <c r="C20" s="77">
        <f t="shared" si="2"/>
        <v>2000</v>
      </c>
      <c r="D20" s="78"/>
      <c r="E20" s="70"/>
      <c r="F20" s="79">
        <f>'EOP - GS &lt; 50 kW'!E40</f>
        <v>308.18997144000002</v>
      </c>
      <c r="G20" s="79">
        <f>'EOP - GS &lt; 50 kW'!I40</f>
        <v>308.70188856000004</v>
      </c>
      <c r="H20" s="79">
        <f t="shared" si="3"/>
        <v>0.51191712000002099</v>
      </c>
      <c r="I20" s="80">
        <f t="shared" si="4"/>
        <v>1.6610440554185378E-3</v>
      </c>
    </row>
    <row r="21" spans="2:9" x14ac:dyDescent="0.2">
      <c r="B21" s="76" t="s">
        <v>88</v>
      </c>
      <c r="C21" s="77">
        <f t="shared" si="2"/>
        <v>68620</v>
      </c>
      <c r="D21" s="77">
        <f>D11</f>
        <v>200</v>
      </c>
      <c r="E21" s="70"/>
      <c r="F21" s="79">
        <f>'EOP - GS &gt; 50 kW'!E35</f>
        <v>9571.2725308860008</v>
      </c>
      <c r="G21" s="79">
        <f>'EOP - GS &gt; 50 kW'!I35</f>
        <v>9501.3436108860005</v>
      </c>
      <c r="H21" s="79">
        <f t="shared" si="3"/>
        <v>-69.928920000000289</v>
      </c>
      <c r="I21" s="80">
        <f t="shared" si="4"/>
        <v>-7.3061256770553008E-3</v>
      </c>
    </row>
    <row r="22" spans="2:9" x14ac:dyDescent="0.2">
      <c r="B22" s="76" t="s">
        <v>89</v>
      </c>
      <c r="C22" s="77">
        <f t="shared" si="2"/>
        <v>800</v>
      </c>
      <c r="D22" s="81"/>
      <c r="E22" s="70"/>
      <c r="F22" s="79">
        <f>'EOP - USL'!E34</f>
        <v>183.73156171200003</v>
      </c>
      <c r="G22" s="79">
        <f>'EOP - USL'!I34</f>
        <v>168.19927056</v>
      </c>
      <c r="H22" s="79">
        <f t="shared" si="3"/>
        <v>-15.532291152000028</v>
      </c>
      <c r="I22" s="80">
        <f t="shared" si="4"/>
        <v>-8.4537958569943242E-2</v>
      </c>
    </row>
    <row r="23" spans="2:9" x14ac:dyDescent="0.2">
      <c r="B23" s="76" t="s">
        <v>22</v>
      </c>
      <c r="C23" s="77">
        <f t="shared" si="2"/>
        <v>60</v>
      </c>
      <c r="D23" s="77">
        <f>D13</f>
        <v>0.2</v>
      </c>
      <c r="E23" s="70"/>
      <c r="F23" s="79">
        <f>'EOP - Sentinel Lgt'!E34</f>
        <v>11.246610438000001</v>
      </c>
      <c r="G23" s="79">
        <f>'EOP - Sentinel Lgt'!I34</f>
        <v>11.307752478000001</v>
      </c>
      <c r="H23" s="79">
        <f t="shared" si="3"/>
        <v>6.1142040000000009E-2</v>
      </c>
      <c r="I23" s="80">
        <f t="shared" si="4"/>
        <v>5.4364859827822909E-3</v>
      </c>
    </row>
    <row r="24" spans="2:9" ht="15" thickBot="1" x14ac:dyDescent="0.25">
      <c r="B24" s="86" t="s">
        <v>7</v>
      </c>
      <c r="C24" s="87">
        <f t="shared" si="2"/>
        <v>46000</v>
      </c>
      <c r="D24" s="87">
        <f>D14</f>
        <v>129</v>
      </c>
      <c r="E24" s="88"/>
      <c r="F24" s="89">
        <f>'EOP - Street Lgt'!E35</f>
        <v>11487.107546999998</v>
      </c>
      <c r="G24" s="89">
        <f>'EOP - Street Lgt'!I35</f>
        <v>11332.1313918</v>
      </c>
      <c r="H24" s="89">
        <f t="shared" si="3"/>
        <v>-154.97615519999817</v>
      </c>
      <c r="I24" s="90">
        <f t="shared" si="4"/>
        <v>-1.3491312287789291E-2</v>
      </c>
    </row>
  </sheetData>
  <mergeCells count="11">
    <mergeCell ref="B3:I5"/>
    <mergeCell ref="B6:B7"/>
    <mergeCell ref="F6:I6"/>
    <mergeCell ref="F7:F8"/>
    <mergeCell ref="G7:G8"/>
    <mergeCell ref="H7:I7"/>
    <mergeCell ref="B16:B17"/>
    <mergeCell ref="F16:I16"/>
    <mergeCell ref="F17:F18"/>
    <mergeCell ref="G17:G18"/>
    <mergeCell ref="H17:I17"/>
  </mergeCells>
  <pageMargins left="0.7" right="0.7" top="0.75" bottom="0.75" header="0.3" footer="0.3"/>
  <pageSetup scale="85" orientation="portrait" r:id="rId1"/>
  <headerFooter>
    <oddHeader>&amp;C&amp;"Arial,Bold"&amp;16 2013 Rates Impacts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24"/>
  <sheetViews>
    <sheetView showGridLines="0" tabSelected="1" zoomScaleNormal="100" workbookViewId="0">
      <selection activeCell="B3" sqref="B3:I24"/>
    </sheetView>
  </sheetViews>
  <sheetFormatPr defaultRowHeight="14.25" x14ac:dyDescent="0.2"/>
  <cols>
    <col min="1" max="1" width="4.85546875" style="66" customWidth="1"/>
    <col min="2" max="2" width="25.140625" style="66" customWidth="1"/>
    <col min="3" max="3" width="11.85546875" style="66" customWidth="1"/>
    <col min="4" max="4" width="11.140625" style="66" customWidth="1"/>
    <col min="5" max="5" width="2.140625" style="66" customWidth="1"/>
    <col min="6" max="6" width="13.7109375" style="66" bestFit="1" customWidth="1"/>
    <col min="7" max="7" width="15.140625" style="66" bestFit="1" customWidth="1"/>
    <col min="8" max="8" width="12.5703125" style="66" bestFit="1" customWidth="1"/>
    <col min="9" max="9" width="9.28515625" style="66" bestFit="1" customWidth="1"/>
    <col min="10" max="16384" width="9.140625" style="66"/>
  </cols>
  <sheetData>
    <row r="3" spans="2:9" ht="14.25" customHeight="1" x14ac:dyDescent="0.2">
      <c r="B3" s="114" t="s">
        <v>91</v>
      </c>
      <c r="C3" s="114"/>
      <c r="D3" s="114"/>
      <c r="E3" s="114"/>
      <c r="F3" s="114"/>
      <c r="G3" s="114"/>
      <c r="H3" s="114"/>
      <c r="I3" s="114"/>
    </row>
    <row r="4" spans="2:9" ht="14.25" customHeight="1" x14ac:dyDescent="0.2">
      <c r="B4" s="114"/>
      <c r="C4" s="114"/>
      <c r="D4" s="114"/>
      <c r="E4" s="114"/>
      <c r="F4" s="114"/>
      <c r="G4" s="114"/>
      <c r="H4" s="114"/>
      <c r="I4" s="114"/>
    </row>
    <row r="5" spans="2:9" ht="15" customHeight="1" thickBot="1" x14ac:dyDescent="0.25">
      <c r="B5" s="115"/>
      <c r="C5" s="115"/>
      <c r="D5" s="115"/>
      <c r="E5" s="115"/>
      <c r="F5" s="115"/>
      <c r="G5" s="115"/>
      <c r="H5" s="115"/>
      <c r="I5" s="115"/>
    </row>
    <row r="6" spans="2:9" ht="15" x14ac:dyDescent="0.2">
      <c r="B6" s="106" t="s">
        <v>78</v>
      </c>
      <c r="C6" s="67" t="s">
        <v>79</v>
      </c>
      <c r="D6" s="67" t="s">
        <v>80</v>
      </c>
      <c r="E6" s="68"/>
      <c r="F6" s="108" t="s">
        <v>81</v>
      </c>
      <c r="G6" s="108"/>
      <c r="H6" s="108"/>
      <c r="I6" s="109"/>
    </row>
    <row r="7" spans="2:9" ht="14.25" customHeight="1" x14ac:dyDescent="0.2">
      <c r="B7" s="107"/>
      <c r="C7" s="69" t="s">
        <v>82</v>
      </c>
      <c r="D7" s="69" t="s">
        <v>83</v>
      </c>
      <c r="E7" s="70"/>
      <c r="F7" s="110" t="s">
        <v>84</v>
      </c>
      <c r="G7" s="111" t="s">
        <v>85</v>
      </c>
      <c r="H7" s="112" t="s">
        <v>34</v>
      </c>
      <c r="I7" s="113"/>
    </row>
    <row r="8" spans="2:9" x14ac:dyDescent="0.2">
      <c r="B8" s="71"/>
      <c r="C8" s="72"/>
      <c r="D8" s="72"/>
      <c r="E8" s="73"/>
      <c r="F8" s="110"/>
      <c r="G8" s="111"/>
      <c r="H8" s="74" t="s">
        <v>8</v>
      </c>
      <c r="I8" s="75" t="s">
        <v>12</v>
      </c>
    </row>
    <row r="9" spans="2:9" x14ac:dyDescent="0.2">
      <c r="B9" s="76" t="s">
        <v>86</v>
      </c>
      <c r="C9" s="77">
        <f>'PC - Residential'!C7</f>
        <v>800</v>
      </c>
      <c r="D9" s="78"/>
      <c r="E9" s="70"/>
      <c r="F9" s="79">
        <f>'PC - Residential'!E28</f>
        <v>55.673887999999998</v>
      </c>
      <c r="G9" s="79">
        <f>'PC - Residential'!I28</f>
        <v>55.57556799999999</v>
      </c>
      <c r="H9" s="79">
        <f>G9-F9</f>
        <v>-9.8320000000008179E-2</v>
      </c>
      <c r="I9" s="80">
        <f>IF(ISBLANK(F9),"",H9/F9)</f>
        <v>-1.7659984515543119E-3</v>
      </c>
    </row>
    <row r="10" spans="2:9" x14ac:dyDescent="0.2">
      <c r="B10" s="76" t="s">
        <v>87</v>
      </c>
      <c r="C10" s="77">
        <f>'PC - GS &lt; 50 KW'!C7</f>
        <v>2000</v>
      </c>
      <c r="D10" s="78"/>
      <c r="E10" s="70"/>
      <c r="F10" s="79">
        <f>'PC - GS &lt; 50 KW'!E28</f>
        <v>113.81128000000001</v>
      </c>
      <c r="G10" s="79">
        <f>'PC - GS &lt; 50 KW'!I28</f>
        <v>116.66464000000002</v>
      </c>
      <c r="H10" s="79">
        <f t="shared" ref="H10:H14" si="0">G10-F10</f>
        <v>2.8533600000000092</v>
      </c>
      <c r="I10" s="80">
        <f t="shared" ref="I10:I14" si="1">IF(ISBLANK(F10),"",H10/F10)</f>
        <v>2.5070977147432214E-2</v>
      </c>
    </row>
    <row r="11" spans="2:9" x14ac:dyDescent="0.2">
      <c r="B11" s="76" t="s">
        <v>88</v>
      </c>
      <c r="C11" s="77">
        <f>'PC - GS &gt; 50 kW'!C7</f>
        <v>68620</v>
      </c>
      <c r="D11" s="77">
        <f>'PC - GS &gt; 50 kW'!C8</f>
        <v>200</v>
      </c>
      <c r="E11" s="70"/>
      <c r="F11" s="79">
        <f>'PC - GS &gt; 50 kW'!E25</f>
        <v>2662.1912156000003</v>
      </c>
      <c r="G11" s="79">
        <f>'PC - GS &gt; 50 kW'!I25</f>
        <v>2779.6112156000004</v>
      </c>
      <c r="H11" s="79">
        <f t="shared" si="0"/>
        <v>117.42000000000007</v>
      </c>
      <c r="I11" s="80">
        <f t="shared" si="1"/>
        <v>4.4106523720737374E-2</v>
      </c>
    </row>
    <row r="12" spans="2:9" x14ac:dyDescent="0.2">
      <c r="B12" s="76" t="s">
        <v>89</v>
      </c>
      <c r="C12" s="77">
        <f>'PC - USL'!C7</f>
        <v>800</v>
      </c>
      <c r="D12" s="81"/>
      <c r="E12" s="70"/>
      <c r="F12" s="79">
        <f>'PC - USL'!E25</f>
        <v>84.41752000000001</v>
      </c>
      <c r="G12" s="79">
        <f>'PC - USL'!I25</f>
        <v>77.394864000000013</v>
      </c>
      <c r="H12" s="79">
        <f t="shared" si="0"/>
        <v>-7.0226559999999978</v>
      </c>
      <c r="I12" s="80">
        <f t="shared" si="1"/>
        <v>-8.3189555912090249E-2</v>
      </c>
    </row>
    <row r="13" spans="2:9" x14ac:dyDescent="0.2">
      <c r="B13" s="76" t="s">
        <v>22</v>
      </c>
      <c r="C13" s="77">
        <f>'PC - Sentinel Lgt'!C7</f>
        <v>60</v>
      </c>
      <c r="D13" s="77">
        <f>'PC - Sentinel Lgt'!C8</f>
        <v>0.2</v>
      </c>
      <c r="E13" s="70"/>
      <c r="F13" s="79">
        <f>'PC - Sentinel Lgt'!E24</f>
        <v>7.2690228000000001</v>
      </c>
      <c r="G13" s="79">
        <f>'PC - Sentinel Lgt'!I24</f>
        <v>7.3291427999999996</v>
      </c>
      <c r="H13" s="79">
        <f t="shared" si="0"/>
        <v>6.0119999999999507E-2</v>
      </c>
      <c r="I13" s="80">
        <f t="shared" si="1"/>
        <v>8.2707128116312287E-3</v>
      </c>
    </row>
    <row r="14" spans="2:9" x14ac:dyDescent="0.2">
      <c r="B14" s="76" t="s">
        <v>7</v>
      </c>
      <c r="C14" s="77">
        <f>'PC - Street Lgt'!C7</f>
        <v>155000</v>
      </c>
      <c r="D14" s="77">
        <f>'PC - Street Lgt'!C8</f>
        <v>445</v>
      </c>
      <c r="E14" s="70"/>
      <c r="F14" s="79">
        <f>'PC - Street Lgt'!E25</f>
        <v>14414.679400000001</v>
      </c>
      <c r="G14" s="79">
        <f>'PC - Street Lgt'!I25</f>
        <v>15372.0314</v>
      </c>
      <c r="H14" s="79">
        <f t="shared" si="0"/>
        <v>957.35199999999895</v>
      </c>
      <c r="I14" s="80">
        <f t="shared" si="1"/>
        <v>6.6415074066787705E-2</v>
      </c>
    </row>
    <row r="15" spans="2:9" ht="7.5" customHeight="1" thickBot="1" x14ac:dyDescent="0.25">
      <c r="B15" s="82"/>
      <c r="C15" s="83"/>
      <c r="D15" s="83"/>
      <c r="E15" s="70"/>
      <c r="F15" s="84"/>
      <c r="G15" s="84"/>
      <c r="H15" s="84"/>
      <c r="I15" s="85"/>
    </row>
    <row r="16" spans="2:9" ht="15" customHeight="1" x14ac:dyDescent="0.2">
      <c r="B16" s="106" t="s">
        <v>78</v>
      </c>
      <c r="C16" s="67" t="s">
        <v>79</v>
      </c>
      <c r="D16" s="67" t="s">
        <v>80</v>
      </c>
      <c r="E16" s="68"/>
      <c r="F16" s="108" t="s">
        <v>90</v>
      </c>
      <c r="G16" s="108"/>
      <c r="H16" s="108"/>
      <c r="I16" s="109"/>
    </row>
    <row r="17" spans="2:9" ht="14.25" customHeight="1" x14ac:dyDescent="0.2">
      <c r="B17" s="107"/>
      <c r="C17" s="69" t="s">
        <v>82</v>
      </c>
      <c r="D17" s="69" t="s">
        <v>83</v>
      </c>
      <c r="E17" s="70"/>
      <c r="F17" s="110" t="s">
        <v>84</v>
      </c>
      <c r="G17" s="111" t="s">
        <v>85</v>
      </c>
      <c r="H17" s="112" t="s">
        <v>34</v>
      </c>
      <c r="I17" s="113"/>
    </row>
    <row r="18" spans="2:9" x14ac:dyDescent="0.2">
      <c r="B18" s="71"/>
      <c r="C18" s="72"/>
      <c r="D18" s="72"/>
      <c r="E18" s="73"/>
      <c r="F18" s="110"/>
      <c r="G18" s="111"/>
      <c r="H18" s="74" t="s">
        <v>8</v>
      </c>
      <c r="I18" s="75" t="s">
        <v>12</v>
      </c>
    </row>
    <row r="19" spans="2:9" x14ac:dyDescent="0.2">
      <c r="B19" s="76" t="s">
        <v>86</v>
      </c>
      <c r="C19" s="77">
        <f t="shared" ref="C19:C24" si="2">C9</f>
        <v>800</v>
      </c>
      <c r="D19" s="78"/>
      <c r="E19" s="70"/>
      <c r="F19" s="79">
        <f>'PC - Residential'!E41</f>
        <v>135.65020996799998</v>
      </c>
      <c r="G19" s="79">
        <f>'PC - Residential'!I41</f>
        <v>135.55021852799999</v>
      </c>
      <c r="H19" s="79">
        <f t="shared" ref="H19:H24" si="3">G19-F19</f>
        <v>-9.9991439999996601E-2</v>
      </c>
      <c r="I19" s="80">
        <f t="shared" ref="I19:I24" si="4">IF(ISBLANK(F19),"",H19/F19)</f>
        <v>-7.3712705659345959E-4</v>
      </c>
    </row>
    <row r="20" spans="2:9" x14ac:dyDescent="0.2">
      <c r="B20" s="76" t="s">
        <v>87</v>
      </c>
      <c r="C20" s="77">
        <f t="shared" si="2"/>
        <v>2000</v>
      </c>
      <c r="D20" s="78"/>
      <c r="E20" s="70"/>
      <c r="F20" s="79">
        <f>'PC - GS &lt; 50 KW'!E41</f>
        <v>312.93936144000003</v>
      </c>
      <c r="G20" s="79">
        <f>'PC - GS &lt; 50 KW'!I41</f>
        <v>315.84122855999999</v>
      </c>
      <c r="H20" s="79">
        <f t="shared" si="3"/>
        <v>2.9018671199999631</v>
      </c>
      <c r="I20" s="80">
        <f t="shared" si="4"/>
        <v>9.2729374363356935E-3</v>
      </c>
    </row>
    <row r="21" spans="2:9" x14ac:dyDescent="0.2">
      <c r="B21" s="76" t="s">
        <v>88</v>
      </c>
      <c r="C21" s="77">
        <f t="shared" si="2"/>
        <v>68620</v>
      </c>
      <c r="D21" s="77">
        <f>D11</f>
        <v>200</v>
      </c>
      <c r="E21" s="70"/>
      <c r="F21" s="79">
        <f>'PC - GS &gt; 50 kW'!E36</f>
        <v>9463.2854368860008</v>
      </c>
      <c r="G21" s="79">
        <f>'PC - GS &gt; 50 kW'!I36</f>
        <v>9582.7015768860001</v>
      </c>
      <c r="H21" s="79">
        <f t="shared" si="3"/>
        <v>119.41613999999936</v>
      </c>
      <c r="I21" s="80">
        <f t="shared" si="4"/>
        <v>1.2618888101434524E-2</v>
      </c>
    </row>
    <row r="22" spans="2:9" x14ac:dyDescent="0.2">
      <c r="B22" s="76" t="s">
        <v>89</v>
      </c>
      <c r="C22" s="77">
        <f t="shared" si="2"/>
        <v>800</v>
      </c>
      <c r="D22" s="81"/>
      <c r="E22" s="70"/>
      <c r="F22" s="79">
        <f>'PC - USL'!E38</f>
        <v>164.88248371200001</v>
      </c>
      <c r="G22" s="79">
        <f>'PC - USL'!I38</f>
        <v>157.74044255999999</v>
      </c>
      <c r="H22" s="79">
        <f t="shared" si="3"/>
        <v>-7.1420411520000187</v>
      </c>
      <c r="I22" s="80">
        <f t="shared" si="4"/>
        <v>-4.3315948372508815E-2</v>
      </c>
    </row>
    <row r="23" spans="2:9" x14ac:dyDescent="0.2">
      <c r="B23" s="76" t="s">
        <v>22</v>
      </c>
      <c r="C23" s="77">
        <f t="shared" si="2"/>
        <v>60</v>
      </c>
      <c r="D23" s="77">
        <f>D13</f>
        <v>0.2</v>
      </c>
      <c r="E23" s="70"/>
      <c r="F23" s="79">
        <f>'PC - Sentinel Lgt'!E35</f>
        <v>11.594810898000002</v>
      </c>
      <c r="G23" s="79">
        <f>'PC - Sentinel Lgt'!I35</f>
        <v>11.655952937999999</v>
      </c>
      <c r="H23" s="79">
        <f t="shared" si="3"/>
        <v>6.1142039999996456E-2</v>
      </c>
      <c r="I23" s="80">
        <f t="shared" si="4"/>
        <v>5.2732244223614626E-3</v>
      </c>
    </row>
    <row r="24" spans="2:9" ht="15" thickBot="1" x14ac:dyDescent="0.25">
      <c r="B24" s="86" t="s">
        <v>7</v>
      </c>
      <c r="C24" s="87">
        <f t="shared" si="2"/>
        <v>155000</v>
      </c>
      <c r="D24" s="87">
        <f>D14</f>
        <v>445</v>
      </c>
      <c r="E24" s="88"/>
      <c r="F24" s="89">
        <f>'PC - Street Lgt'!E36</f>
        <v>24858.892035000004</v>
      </c>
      <c r="G24" s="89">
        <f>'PC - Street Lgt'!I36</f>
        <v>25832.519018999999</v>
      </c>
      <c r="H24" s="89">
        <f t="shared" si="3"/>
        <v>973.62698399999499</v>
      </c>
      <c r="I24" s="90">
        <f t="shared" si="4"/>
        <v>3.9166145563896401E-2</v>
      </c>
    </row>
  </sheetData>
  <mergeCells count="11">
    <mergeCell ref="B3:I5"/>
    <mergeCell ref="B6:B7"/>
    <mergeCell ref="F6:I6"/>
    <mergeCell ref="F7:F8"/>
    <mergeCell ref="G7:G8"/>
    <mergeCell ref="H7:I7"/>
    <mergeCell ref="B16:B17"/>
    <mergeCell ref="F16:I16"/>
    <mergeCell ref="F17:F18"/>
    <mergeCell ref="G17:G18"/>
    <mergeCell ref="H17:I17"/>
  </mergeCells>
  <pageMargins left="0.7" right="0.7" top="0.75" bottom="0.75" header="0.3" footer="0.3"/>
  <pageSetup scale="85" orientation="portrait" r:id="rId1"/>
  <headerFooter>
    <oddHeader>&amp;C&amp;"Arial,Bold"&amp;16 2013 Rates Impacts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0"/>
  <sheetViews>
    <sheetView showGridLines="0" topLeftCell="A4" workbookViewId="0">
      <selection activeCell="B31" sqref="B31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Rates!B5</f>
        <v>Residential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800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Rates!E6</f>
        <v>18.440000000000001</v>
      </c>
      <c r="D14" s="37">
        <f>C6</f>
        <v>1</v>
      </c>
      <c r="E14" s="36">
        <f>C14*D14</f>
        <v>18.440000000000001</v>
      </c>
      <c r="F14" s="45"/>
      <c r="G14" s="36">
        <f>Rates!I6</f>
        <v>18.8</v>
      </c>
      <c r="H14" s="37">
        <f>D14</f>
        <v>1</v>
      </c>
      <c r="I14" s="36">
        <f>G14*H14</f>
        <v>18.8</v>
      </c>
      <c r="J14" s="45"/>
      <c r="K14" s="36">
        <f>I14-E14</f>
        <v>0.35999999999999943</v>
      </c>
      <c r="L14" s="47">
        <f>IF((E14)=0," ",K14/E14)</f>
        <v>1.9522776572668082E-2</v>
      </c>
    </row>
    <row r="15" spans="2:12" x14ac:dyDescent="0.2">
      <c r="B15" s="44" t="str">
        <f>Rates!B7</f>
        <v>Distribution Volumetric Rate</v>
      </c>
      <c r="C15" s="25">
        <f>Rates!E7</f>
        <v>1.9900000000000001E-2</v>
      </c>
      <c r="D15" s="38">
        <f>C7</f>
        <v>800</v>
      </c>
      <c r="E15" s="36">
        <f t="shared" ref="E15:E17" si="0">C15*D15</f>
        <v>15.920000000000002</v>
      </c>
      <c r="F15" s="45"/>
      <c r="G15" s="25">
        <f>Rates!I7</f>
        <v>0.02</v>
      </c>
      <c r="H15" s="38">
        <f>D15</f>
        <v>800</v>
      </c>
      <c r="I15" s="36">
        <f t="shared" ref="I15:I17" si="1">G15*H15</f>
        <v>16</v>
      </c>
      <c r="J15" s="45"/>
      <c r="K15" s="36">
        <f t="shared" ref="K15:K40" si="2">I15-E15</f>
        <v>7.9999999999998295E-2</v>
      </c>
      <c r="L15" s="47">
        <f t="shared" ref="L15:L40" si="3">IF((E15)=0," ",K15/E15)</f>
        <v>5.025125628140596E-3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Rates!E8</f>
        <v>0.45</v>
      </c>
      <c r="D16" s="37">
        <f>C6</f>
        <v>1</v>
      </c>
      <c r="E16" s="36">
        <f t="shared" si="0"/>
        <v>0.45</v>
      </c>
      <c r="F16" s="45"/>
      <c r="G16" s="36">
        <f>Rates!I8</f>
        <v>0.45</v>
      </c>
      <c r="H16" s="37">
        <f t="shared" ref="H16:H17" si="4">D16</f>
        <v>1</v>
      </c>
      <c r="I16" s="36">
        <f t="shared" si="1"/>
        <v>0.45</v>
      </c>
      <c r="J16" s="45"/>
      <c r="K16" s="36">
        <f t="shared" si="2"/>
        <v>0</v>
      </c>
      <c r="L16" s="47">
        <f t="shared" si="3"/>
        <v>0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Rates!E9</f>
        <v>1.5</v>
      </c>
      <c r="D17" s="37">
        <f>C6</f>
        <v>1</v>
      </c>
      <c r="E17" s="36">
        <f t="shared" si="0"/>
        <v>1.5</v>
      </c>
      <c r="F17" s="45"/>
      <c r="G17" s="36">
        <f>Rates!I9</f>
        <v>1.5</v>
      </c>
      <c r="H17" s="37">
        <f t="shared" si="4"/>
        <v>1</v>
      </c>
      <c r="I17" s="36">
        <f t="shared" si="1"/>
        <v>1.5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9" t="s">
        <v>40</v>
      </c>
      <c r="C18" s="50"/>
      <c r="D18" s="51"/>
      <c r="E18" s="52">
        <f>SUM(E14:E17)</f>
        <v>36.31</v>
      </c>
      <c r="F18" s="53"/>
      <c r="G18" s="50"/>
      <c r="H18" s="51"/>
      <c r="I18" s="52">
        <f>SUM(I14:I17)</f>
        <v>36.75</v>
      </c>
      <c r="J18" s="53"/>
      <c r="K18" s="54">
        <f t="shared" si="2"/>
        <v>0.43999999999999773</v>
      </c>
      <c r="L18" s="55">
        <f t="shared" si="3"/>
        <v>1.2117873863949262E-2</v>
      </c>
    </row>
    <row r="19" spans="2:12" x14ac:dyDescent="0.2">
      <c r="B19" s="28" t="s">
        <v>41</v>
      </c>
      <c r="C19" s="25">
        <f>Rates!E221</f>
        <v>8.3900000000000002E-2</v>
      </c>
      <c r="D19" s="40">
        <f>(C5-1)*C7</f>
        <v>43.360000000000021</v>
      </c>
      <c r="E19" s="36">
        <f t="shared" ref="E19:E23" si="5">C19*D19</f>
        <v>3.637904000000002</v>
      </c>
      <c r="F19" s="45"/>
      <c r="G19" s="25">
        <f>Rates!I221</f>
        <v>8.3900000000000002E-2</v>
      </c>
      <c r="H19" s="40">
        <f>(C5-1)*C7</f>
        <v>43.360000000000021</v>
      </c>
      <c r="I19" s="36">
        <f t="shared" ref="I19:I23" si="6">G19*H19</f>
        <v>3.637904000000002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Rates!E11</f>
        <v>5.0000000000000001E-4</v>
      </c>
      <c r="D20" s="37">
        <f>C7</f>
        <v>800</v>
      </c>
      <c r="E20" s="36">
        <f t="shared" si="5"/>
        <v>0.4</v>
      </c>
      <c r="F20" s="45"/>
      <c r="G20" s="25">
        <f>Rates!I11</f>
        <v>5.0000000000000001E-4</v>
      </c>
      <c r="H20" s="37">
        <f t="shared" ref="H20:H23" si="7">D20</f>
        <v>800</v>
      </c>
      <c r="I20" s="36">
        <f t="shared" si="6"/>
        <v>0.4</v>
      </c>
      <c r="J20" s="45"/>
      <c r="K20" s="36">
        <f t="shared" si="2"/>
        <v>0</v>
      </c>
      <c r="L20" s="47">
        <f t="shared" si="3"/>
        <v>0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Rates!E12</f>
        <v>1.6999999999999999E-3</v>
      </c>
      <c r="D21" s="37">
        <f>C7</f>
        <v>800</v>
      </c>
      <c r="E21" s="36">
        <f t="shared" si="5"/>
        <v>1.3599999999999999</v>
      </c>
      <c r="F21" s="45"/>
      <c r="G21" s="25">
        <f>Rates!I12</f>
        <v>1.6999999999999999E-3</v>
      </c>
      <c r="H21" s="37">
        <f t="shared" si="7"/>
        <v>800</v>
      </c>
      <c r="I21" s="36">
        <f t="shared" si="6"/>
        <v>1.3599999999999999</v>
      </c>
      <c r="J21" s="45"/>
      <c r="K21" s="36">
        <f t="shared" si="2"/>
        <v>0</v>
      </c>
      <c r="L21" s="47">
        <f t="shared" si="3"/>
        <v>0</v>
      </c>
    </row>
    <row r="22" spans="2:12" x14ac:dyDescent="0.2">
      <c r="B22" s="44" t="str">
        <f>Rates!B10</f>
        <v>Low Voltage Service Rate</v>
      </c>
      <c r="C22" s="25">
        <f>Rates!E10</f>
        <v>2.0000000000000001E-4</v>
      </c>
      <c r="D22" s="37">
        <f>C7</f>
        <v>800</v>
      </c>
      <c r="E22" s="36">
        <f t="shared" si="5"/>
        <v>0.16</v>
      </c>
      <c r="F22" s="45"/>
      <c r="G22" s="25">
        <f>Rates!I10</f>
        <v>2.0000000000000001E-4</v>
      </c>
      <c r="H22" s="37">
        <f t="shared" si="7"/>
        <v>800</v>
      </c>
      <c r="I22" s="36">
        <f t="shared" si="6"/>
        <v>0.16</v>
      </c>
      <c r="J22" s="45"/>
      <c r="K22" s="36">
        <f t="shared" si="2"/>
        <v>0</v>
      </c>
      <c r="L22" s="47">
        <f t="shared" si="3"/>
        <v>0</v>
      </c>
    </row>
    <row r="23" spans="2:12" x14ac:dyDescent="0.2">
      <c r="B23" s="44" t="str">
        <f>Rates!B202</f>
        <v>Smart Meter Entity Charge</v>
      </c>
      <c r="C23" s="36">
        <f>Rates!E202</f>
        <v>0.79</v>
      </c>
      <c r="D23" s="37">
        <f>C6</f>
        <v>1</v>
      </c>
      <c r="E23" s="36">
        <f t="shared" si="5"/>
        <v>0.79</v>
      </c>
      <c r="F23" s="45"/>
      <c r="G23" s="36">
        <f>Rates!I202</f>
        <v>0.79</v>
      </c>
      <c r="H23" s="37">
        <f t="shared" si="7"/>
        <v>1</v>
      </c>
      <c r="I23" s="36">
        <f t="shared" si="6"/>
        <v>0.79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64</v>
      </c>
      <c r="C24" s="50"/>
      <c r="D24" s="51"/>
      <c r="E24" s="52">
        <f>SUM(E18:E23)</f>
        <v>42.657903999999995</v>
      </c>
      <c r="F24" s="53"/>
      <c r="G24" s="50"/>
      <c r="H24" s="51"/>
      <c r="I24" s="52">
        <f>SUM(I18:I23)</f>
        <v>43.097903999999993</v>
      </c>
      <c r="J24" s="53"/>
      <c r="K24" s="54">
        <f t="shared" si="2"/>
        <v>0.43999999999999773</v>
      </c>
      <c r="L24" s="55">
        <f t="shared" si="3"/>
        <v>1.0314618364746607E-2</v>
      </c>
    </row>
    <row r="25" spans="2:12" x14ac:dyDescent="0.2">
      <c r="B25" s="44" t="str">
        <f>Rates!B13</f>
        <v>Retail Transmission Rate - Network Service Rate</v>
      </c>
      <c r="C25" s="25">
        <f>Rates!E13</f>
        <v>6.6E-3</v>
      </c>
      <c r="D25" s="37">
        <f>C7*C5</f>
        <v>843.36</v>
      </c>
      <c r="E25" s="36">
        <f>C25*D25</f>
        <v>5.5661760000000005</v>
      </c>
      <c r="F25" s="45"/>
      <c r="G25" s="25">
        <f>Rates!I13</f>
        <v>7.0000000000000001E-3</v>
      </c>
      <c r="H25" s="37">
        <f>D25</f>
        <v>843.36</v>
      </c>
      <c r="I25" s="36">
        <f>G25*H25</f>
        <v>5.9035200000000003</v>
      </c>
      <c r="J25" s="45"/>
      <c r="K25" s="36">
        <f t="shared" si="2"/>
        <v>0.33734399999999987</v>
      </c>
      <c r="L25" s="47">
        <f t="shared" si="3"/>
        <v>6.060606060606058E-2</v>
      </c>
    </row>
    <row r="26" spans="2:12" x14ac:dyDescent="0.2">
      <c r="B26" s="44" t="str">
        <f>Rates!B14</f>
        <v>Retail Transmission Rate - Line and Transformation Connection Service Rate</v>
      </c>
      <c r="C26" s="25">
        <f>Rates!E14</f>
        <v>5.3E-3</v>
      </c>
      <c r="D26" s="37">
        <f>C7*C5</f>
        <v>843.36</v>
      </c>
      <c r="E26" s="36">
        <f>C26*D26</f>
        <v>4.4698080000000004</v>
      </c>
      <c r="F26" s="45"/>
      <c r="G26" s="25">
        <f>Rates!I14</f>
        <v>5.4000000000000003E-3</v>
      </c>
      <c r="H26" s="37">
        <f>D26</f>
        <v>843.36</v>
      </c>
      <c r="I26" s="36">
        <f>G26*H26</f>
        <v>4.554144</v>
      </c>
      <c r="J26" s="45"/>
      <c r="K26" s="36">
        <f t="shared" si="2"/>
        <v>8.4335999999999522E-2</v>
      </c>
      <c r="L26" s="47">
        <f t="shared" si="3"/>
        <v>1.8867924528301779E-2</v>
      </c>
    </row>
    <row r="27" spans="2:12" x14ac:dyDescent="0.2">
      <c r="B27" s="49" t="s">
        <v>65</v>
      </c>
      <c r="C27" s="50"/>
      <c r="D27" s="51"/>
      <c r="E27" s="52">
        <f>SUM(E24:E26)</f>
        <v>52.693887999999994</v>
      </c>
      <c r="F27" s="53"/>
      <c r="G27" s="50"/>
      <c r="H27" s="52"/>
      <c r="I27" s="52">
        <f>SUM(I24:I26)</f>
        <v>53.555567999999994</v>
      </c>
      <c r="J27" s="53"/>
      <c r="K27" s="54">
        <f t="shared" si="2"/>
        <v>0.86167999999999978</v>
      </c>
      <c r="L27" s="55">
        <f t="shared" si="3"/>
        <v>1.6352560661304777E-2</v>
      </c>
    </row>
    <row r="28" spans="2:12" x14ac:dyDescent="0.2">
      <c r="B28" s="44" t="str">
        <f>Rates!B199</f>
        <v>Wholesale Market Service Rate</v>
      </c>
      <c r="C28" s="25">
        <f>Rates!E199</f>
        <v>4.4000000000000003E-3</v>
      </c>
      <c r="D28" s="37">
        <f>C5*C7</f>
        <v>843.36</v>
      </c>
      <c r="E28" s="36">
        <f t="shared" ref="E28:E34" si="8">C28*D28</f>
        <v>3.7107840000000003</v>
      </c>
      <c r="F28" s="45"/>
      <c r="G28" s="25">
        <f>Rates!I199</f>
        <v>4.4000000000000003E-3</v>
      </c>
      <c r="H28" s="37">
        <f>D28</f>
        <v>843.36</v>
      </c>
      <c r="I28" s="36">
        <f t="shared" ref="I28:I34" si="9">G28*H28</f>
        <v>3.7107840000000003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Rates!B200</f>
        <v>Rural Rate Protection Charge</v>
      </c>
      <c r="C29" s="25">
        <f>Rates!E200</f>
        <v>1.1999999999999999E-3</v>
      </c>
      <c r="D29" s="37">
        <f>C5*C7</f>
        <v>843.36</v>
      </c>
      <c r="E29" s="36">
        <f t="shared" si="8"/>
        <v>1.0120319999999998</v>
      </c>
      <c r="F29" s="45"/>
      <c r="G29" s="25">
        <f>Rates!I200</f>
        <v>1.1999999999999999E-3</v>
      </c>
      <c r="H29" s="37">
        <f t="shared" ref="H29:H30" si="10">D29</f>
        <v>843.36</v>
      </c>
      <c r="I29" s="36">
        <f t="shared" si="9"/>
        <v>1.0120319999999998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Rates!B201</f>
        <v>Standard Supply Service - Administrative Charge (if applicable)</v>
      </c>
      <c r="C30" s="36">
        <f>Rates!E201</f>
        <v>0.25</v>
      </c>
      <c r="D30" s="37">
        <v>1</v>
      </c>
      <c r="E30" s="36">
        <f t="shared" si="8"/>
        <v>0.25</v>
      </c>
      <c r="F30" s="45"/>
      <c r="G30" s="36">
        <f>Rates!I201</f>
        <v>0.25</v>
      </c>
      <c r="H30" s="37">
        <f t="shared" si="10"/>
        <v>1</v>
      </c>
      <c r="I30" s="36">
        <f t="shared" si="9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Rates!B204</f>
        <v>Debt Retirement Charge</v>
      </c>
      <c r="C31" s="25">
        <f>Rates!E205</f>
        <v>0</v>
      </c>
      <c r="D31" s="37">
        <f>C7</f>
        <v>800</v>
      </c>
      <c r="E31" s="36">
        <f t="shared" si="8"/>
        <v>0</v>
      </c>
      <c r="F31" s="45"/>
      <c r="G31" s="25">
        <f>Rates!I205</f>
        <v>0</v>
      </c>
      <c r="H31" s="37">
        <f>D31</f>
        <v>800</v>
      </c>
      <c r="I31" s="36">
        <f t="shared" si="9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Rates!B217</f>
        <v>TOU - Off Peak</v>
      </c>
      <c r="C32" s="25">
        <f>Rates!E217</f>
        <v>6.7000000000000004E-2</v>
      </c>
      <c r="D32" s="37">
        <f>C7*0.64</f>
        <v>512</v>
      </c>
      <c r="E32" s="36">
        <f t="shared" si="8"/>
        <v>34.304000000000002</v>
      </c>
      <c r="F32" s="45"/>
      <c r="G32" s="25">
        <f>Rates!I217</f>
        <v>6.7000000000000004E-2</v>
      </c>
      <c r="H32" s="37">
        <f>D32</f>
        <v>512</v>
      </c>
      <c r="I32" s="36">
        <f t="shared" si="9"/>
        <v>34.304000000000002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Rates!B218</f>
        <v>TOU - Mid Peak</v>
      </c>
      <c r="C33" s="25">
        <f>Rates!E218</f>
        <v>0.104</v>
      </c>
      <c r="D33" s="37">
        <f>C7*0.18</f>
        <v>144</v>
      </c>
      <c r="E33" s="36">
        <f t="shared" si="8"/>
        <v>14.975999999999999</v>
      </c>
      <c r="F33" s="45"/>
      <c r="G33" s="25">
        <f>Rates!I218</f>
        <v>0.104</v>
      </c>
      <c r="H33" s="37">
        <f t="shared" ref="H33:H34" si="11">D33</f>
        <v>144</v>
      </c>
      <c r="I33" s="36">
        <f t="shared" si="9"/>
        <v>14.975999999999999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Rates!B219</f>
        <v>TOU - On Peak</v>
      </c>
      <c r="C34" s="25">
        <f>Rates!E219</f>
        <v>0.124</v>
      </c>
      <c r="D34" s="37">
        <f>C7*0.18</f>
        <v>144</v>
      </c>
      <c r="E34" s="36">
        <f t="shared" si="8"/>
        <v>17.856000000000002</v>
      </c>
      <c r="F34" s="45"/>
      <c r="G34" s="25">
        <f>Rates!I219</f>
        <v>0.124</v>
      </c>
      <c r="H34" s="37">
        <f t="shared" si="11"/>
        <v>144</v>
      </c>
      <c r="I34" s="36">
        <f t="shared" si="9"/>
        <v>17.856000000000002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56"/>
      <c r="C35" s="51"/>
      <c r="D35" s="51"/>
      <c r="E35" s="51"/>
      <c r="F35" s="53"/>
      <c r="G35" s="51"/>
      <c r="H35" s="51"/>
      <c r="I35" s="51"/>
      <c r="J35" s="53"/>
      <c r="K35" s="54"/>
      <c r="L35" s="55"/>
    </row>
    <row r="36" spans="2:12" x14ac:dyDescent="0.2">
      <c r="B36" s="23" t="s">
        <v>66</v>
      </c>
      <c r="C36" s="35"/>
      <c r="D36" s="35"/>
      <c r="E36" s="39">
        <f>SUM(E27:E34)</f>
        <v>124.80270399999998</v>
      </c>
      <c r="F36" s="45"/>
      <c r="G36" s="35"/>
      <c r="H36" s="39"/>
      <c r="I36" s="39">
        <f>SUM(I27:I34)</f>
        <v>125.66438399999998</v>
      </c>
      <c r="J36" s="45"/>
      <c r="K36" s="36">
        <f t="shared" si="2"/>
        <v>0.86168000000000688</v>
      </c>
      <c r="L36" s="47">
        <f t="shared" si="3"/>
        <v>6.9043375855062164E-3</v>
      </c>
    </row>
    <row r="37" spans="2:12" x14ac:dyDescent="0.2">
      <c r="B37" s="44" t="str">
        <f>Rates!B223</f>
        <v>HST</v>
      </c>
      <c r="C37" s="41">
        <f>Rates!E223</f>
        <v>0.13</v>
      </c>
      <c r="D37" s="35"/>
      <c r="E37" s="42">
        <f>E36*C37</f>
        <v>16.224351519999999</v>
      </c>
      <c r="F37" s="45"/>
      <c r="G37" s="41">
        <f>Rates!I223</f>
        <v>0.13</v>
      </c>
      <c r="H37" s="35"/>
      <c r="I37" s="42">
        <f>I36*G37</f>
        <v>16.336369919999999</v>
      </c>
      <c r="J37" s="45"/>
      <c r="K37" s="36">
        <f t="shared" si="2"/>
        <v>0.11201840000000018</v>
      </c>
      <c r="L37" s="47">
        <f t="shared" si="3"/>
        <v>6.9043375855061722E-3</v>
      </c>
    </row>
    <row r="38" spans="2:12" x14ac:dyDescent="0.2">
      <c r="B38" s="23" t="s">
        <v>67</v>
      </c>
      <c r="C38" s="35"/>
      <c r="D38" s="35"/>
      <c r="E38" s="42">
        <f>E36+E37</f>
        <v>141.02705551999998</v>
      </c>
      <c r="F38" s="45"/>
      <c r="G38" s="35"/>
      <c r="H38" s="35"/>
      <c r="I38" s="42">
        <f>I36+I37</f>
        <v>142.00075391999999</v>
      </c>
      <c r="J38" s="45"/>
      <c r="K38" s="36">
        <f t="shared" si="2"/>
        <v>0.97369840000001773</v>
      </c>
      <c r="L38" s="47">
        <f t="shared" si="3"/>
        <v>6.9043375855062867E-3</v>
      </c>
    </row>
    <row r="39" spans="2:12" x14ac:dyDescent="0.2">
      <c r="B39" s="44" t="str">
        <f>Rates!B225</f>
        <v>OCEB</v>
      </c>
      <c r="C39" s="41">
        <f>Rates!E225</f>
        <v>-0.1</v>
      </c>
      <c r="D39" s="35"/>
      <c r="E39" s="42">
        <f>E38*C39</f>
        <v>-14.102705551999998</v>
      </c>
      <c r="F39" s="45"/>
      <c r="G39" s="41">
        <f>Rates!I225</f>
        <v>-0.1</v>
      </c>
      <c r="H39" s="35"/>
      <c r="I39" s="42">
        <f>I38*G39</f>
        <v>-14.200075392</v>
      </c>
      <c r="J39" s="45"/>
      <c r="K39" s="36">
        <f t="shared" si="2"/>
        <v>-9.7369840000002483E-2</v>
      </c>
      <c r="L39" s="47">
        <f t="shared" si="3"/>
        <v>6.904337585506337E-3</v>
      </c>
    </row>
    <row r="40" spans="2:12" ht="13.5" thickBot="1" x14ac:dyDescent="0.25">
      <c r="B40" s="30" t="s">
        <v>68</v>
      </c>
      <c r="C40" s="57"/>
      <c r="D40" s="57"/>
      <c r="E40" s="58">
        <f>E38+E39</f>
        <v>126.92434996799997</v>
      </c>
      <c r="F40" s="59"/>
      <c r="G40" s="57"/>
      <c r="H40" s="57"/>
      <c r="I40" s="58">
        <f>I38+I39</f>
        <v>127.80067852799999</v>
      </c>
      <c r="J40" s="59"/>
      <c r="K40" s="60">
        <f t="shared" si="2"/>
        <v>0.8763285600000188</v>
      </c>
      <c r="L40" s="61">
        <f t="shared" si="3"/>
        <v>6.9043375855063101E-3</v>
      </c>
    </row>
  </sheetData>
  <mergeCells count="5">
    <mergeCell ref="C11:E11"/>
    <mergeCell ref="G11:I11"/>
    <mergeCell ref="K11:L11"/>
    <mergeCell ref="B1:L1"/>
    <mergeCell ref="B11:B12"/>
  </mergeCells>
  <pageMargins left="0.7" right="0.7" top="0.75" bottom="0.75" header="0.3" footer="0.3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0"/>
  <sheetViews>
    <sheetView showGridLines="0" topLeftCell="A4" workbookViewId="0">
      <selection activeCell="B33" sqref="B3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Rates!B16</f>
        <v>General Service Less Than 50kW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2000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Rates!E17</f>
        <v>22.52</v>
      </c>
      <c r="D14" s="37">
        <f>C6</f>
        <v>1</v>
      </c>
      <c r="E14" s="36">
        <f>C14*D14</f>
        <v>22.52</v>
      </c>
      <c r="F14" s="45"/>
      <c r="G14" s="36">
        <f>Rates!I17</f>
        <v>24.18</v>
      </c>
      <c r="H14" s="37">
        <f>D14</f>
        <v>1</v>
      </c>
      <c r="I14" s="36">
        <f>G14*H14</f>
        <v>24.18</v>
      </c>
      <c r="J14" s="45"/>
      <c r="K14" s="36">
        <f>I14-E14</f>
        <v>1.6600000000000001</v>
      </c>
      <c r="L14" s="47">
        <f>IF((E14)=0," ",K14/E14)</f>
        <v>7.3712255772646548E-2</v>
      </c>
    </row>
    <row r="15" spans="2:12" x14ac:dyDescent="0.2">
      <c r="B15" s="44" t="str">
        <f>Rates!B7</f>
        <v>Distribution Volumetric Rate</v>
      </c>
      <c r="C15" s="25">
        <f>Rates!E18</f>
        <v>2.4799999999999999E-2</v>
      </c>
      <c r="D15" s="38">
        <f>C7</f>
        <v>2000</v>
      </c>
      <c r="E15" s="36">
        <f t="shared" ref="E15:E17" si="0">C15*D15</f>
        <v>49.6</v>
      </c>
      <c r="F15" s="45"/>
      <c r="G15" s="25">
        <f>Rates!I18</f>
        <v>2.3800000000000002E-2</v>
      </c>
      <c r="H15" s="37">
        <f>D15</f>
        <v>2000</v>
      </c>
      <c r="I15" s="36">
        <f t="shared" ref="I15:I17" si="1">G15*H15</f>
        <v>47.6</v>
      </c>
      <c r="J15" s="45"/>
      <c r="K15" s="36">
        <f t="shared" ref="K15:K40" si="2">I15-E15</f>
        <v>-2</v>
      </c>
      <c r="L15" s="47">
        <f t="shared" ref="L15:L40" si="3">IF((E15)=0," ",K15/E15)</f>
        <v>-4.0322580645161289E-2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Rates!E19</f>
        <v>1.96</v>
      </c>
      <c r="D16" s="37">
        <f>C6</f>
        <v>1</v>
      </c>
      <c r="E16" s="36">
        <f t="shared" si="0"/>
        <v>1.96</v>
      </c>
      <c r="F16" s="45"/>
      <c r="G16" s="36">
        <f>Rates!I19</f>
        <v>1.96</v>
      </c>
      <c r="H16" s="37">
        <f t="shared" ref="H16:H17" si="4">D16</f>
        <v>1</v>
      </c>
      <c r="I16" s="36">
        <f t="shared" si="1"/>
        <v>1.96</v>
      </c>
      <c r="J16" s="45"/>
      <c r="K16" s="36">
        <f t="shared" si="2"/>
        <v>0</v>
      </c>
      <c r="L16" s="47">
        <f t="shared" si="3"/>
        <v>0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Rates!E20</f>
        <v>3.04</v>
      </c>
      <c r="D17" s="37">
        <f>C6</f>
        <v>1</v>
      </c>
      <c r="E17" s="36">
        <f t="shared" si="0"/>
        <v>3.04</v>
      </c>
      <c r="F17" s="45"/>
      <c r="G17" s="36">
        <f>Rates!I20</f>
        <v>3.04</v>
      </c>
      <c r="H17" s="37">
        <f t="shared" si="4"/>
        <v>1</v>
      </c>
      <c r="I17" s="36">
        <f t="shared" si="1"/>
        <v>3.04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9" t="s">
        <v>40</v>
      </c>
      <c r="C18" s="50"/>
      <c r="D18" s="51"/>
      <c r="E18" s="52">
        <f>SUM(E14:E17)</f>
        <v>77.12</v>
      </c>
      <c r="F18" s="53"/>
      <c r="G18" s="50"/>
      <c r="H18" s="51"/>
      <c r="I18" s="52">
        <f>SUM(I14:I17)</f>
        <v>76.78</v>
      </c>
      <c r="J18" s="53"/>
      <c r="K18" s="54">
        <f t="shared" si="2"/>
        <v>-0.34000000000000341</v>
      </c>
      <c r="L18" s="55">
        <f t="shared" si="3"/>
        <v>-4.4087136929461023E-3</v>
      </c>
    </row>
    <row r="19" spans="2:12" x14ac:dyDescent="0.2">
      <c r="B19" s="28" t="s">
        <v>41</v>
      </c>
      <c r="C19" s="25">
        <f>Rates!E221</f>
        <v>8.3900000000000002E-2</v>
      </c>
      <c r="D19" s="40">
        <f>(C5-1)*C7</f>
        <v>108.40000000000005</v>
      </c>
      <c r="E19" s="36">
        <f t="shared" ref="E19:E23" si="5">C19*D19</f>
        <v>9.0947600000000044</v>
      </c>
      <c r="F19" s="45"/>
      <c r="G19" s="25">
        <f>Rates!I221</f>
        <v>8.3900000000000002E-2</v>
      </c>
      <c r="H19" s="40">
        <f>(C5-1)*C7</f>
        <v>108.40000000000005</v>
      </c>
      <c r="I19" s="36">
        <f t="shared" ref="I19:I23" si="6">G19*H19</f>
        <v>9.0947600000000044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Rates!E22</f>
        <v>2.0000000000000001E-4</v>
      </c>
      <c r="D20" s="37">
        <f>C7</f>
        <v>2000</v>
      </c>
      <c r="E20" s="36">
        <f t="shared" si="5"/>
        <v>0.4</v>
      </c>
      <c r="F20" s="45"/>
      <c r="G20" s="25">
        <f>Rates!I22</f>
        <v>2.0000000000000001E-4</v>
      </c>
      <c r="H20" s="37">
        <f t="shared" ref="H20:H23" si="7">D20</f>
        <v>2000</v>
      </c>
      <c r="I20" s="36">
        <f t="shared" si="6"/>
        <v>0.4</v>
      </c>
      <c r="J20" s="45"/>
      <c r="K20" s="36">
        <f t="shared" si="2"/>
        <v>0</v>
      </c>
      <c r="L20" s="47">
        <f t="shared" si="3"/>
        <v>0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Rates!E23</f>
        <v>1.6999999999999999E-3</v>
      </c>
      <c r="D21" s="37">
        <f>C7</f>
        <v>2000</v>
      </c>
      <c r="E21" s="36">
        <f t="shared" si="5"/>
        <v>3.4</v>
      </c>
      <c r="F21" s="45"/>
      <c r="G21" s="25">
        <f>Rates!I23</f>
        <v>1.6999999999999999E-3</v>
      </c>
      <c r="H21" s="37">
        <f t="shared" si="7"/>
        <v>2000</v>
      </c>
      <c r="I21" s="36">
        <f t="shared" si="6"/>
        <v>3.4</v>
      </c>
      <c r="J21" s="45"/>
      <c r="K21" s="36">
        <f t="shared" si="2"/>
        <v>0</v>
      </c>
      <c r="L21" s="47">
        <f t="shared" si="3"/>
        <v>0</v>
      </c>
    </row>
    <row r="22" spans="2:12" x14ac:dyDescent="0.2">
      <c r="B22" s="44" t="str">
        <f>Rates!B10</f>
        <v>Low Voltage Service Rate</v>
      </c>
      <c r="C22" s="25">
        <f>Rates!E21</f>
        <v>2.0000000000000001E-4</v>
      </c>
      <c r="D22" s="37">
        <f>C7</f>
        <v>2000</v>
      </c>
      <c r="E22" s="36">
        <f t="shared" si="5"/>
        <v>0.4</v>
      </c>
      <c r="F22" s="45"/>
      <c r="G22" s="25">
        <f>Rates!I21</f>
        <v>2.0000000000000001E-4</v>
      </c>
      <c r="H22" s="37">
        <f t="shared" si="7"/>
        <v>2000</v>
      </c>
      <c r="I22" s="36">
        <f t="shared" si="6"/>
        <v>0.4</v>
      </c>
      <c r="J22" s="45"/>
      <c r="K22" s="36">
        <f t="shared" si="2"/>
        <v>0</v>
      </c>
      <c r="L22" s="47">
        <f t="shared" si="3"/>
        <v>0</v>
      </c>
    </row>
    <row r="23" spans="2:12" x14ac:dyDescent="0.2">
      <c r="B23" s="44" t="str">
        <f>Rates!B202</f>
        <v>Smart Meter Entity Charge</v>
      </c>
      <c r="C23" s="36">
        <f>Rates!E202</f>
        <v>0.79</v>
      </c>
      <c r="D23" s="37">
        <f>C6</f>
        <v>1</v>
      </c>
      <c r="E23" s="36">
        <f t="shared" si="5"/>
        <v>0.79</v>
      </c>
      <c r="F23" s="45"/>
      <c r="G23" s="36">
        <f>Rates!I202</f>
        <v>0.79</v>
      </c>
      <c r="H23" s="37">
        <f t="shared" si="7"/>
        <v>1</v>
      </c>
      <c r="I23" s="36">
        <f t="shared" si="6"/>
        <v>0.79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64</v>
      </c>
      <c r="C24" s="50"/>
      <c r="D24" s="51"/>
      <c r="E24" s="52">
        <f>SUM(E18:E23)</f>
        <v>91.204760000000036</v>
      </c>
      <c r="F24" s="53"/>
      <c r="G24" s="50"/>
      <c r="H24" s="51"/>
      <c r="I24" s="52">
        <f>SUM(I18:I23)</f>
        <v>90.864760000000032</v>
      </c>
      <c r="J24" s="53"/>
      <c r="K24" s="54">
        <f t="shared" si="2"/>
        <v>-0.34000000000000341</v>
      </c>
      <c r="L24" s="55">
        <f t="shared" si="3"/>
        <v>-3.7278756064925041E-3</v>
      </c>
    </row>
    <row r="25" spans="2:12" x14ac:dyDescent="0.2">
      <c r="B25" s="44" t="str">
        <f>Rates!B13</f>
        <v>Retail Transmission Rate - Network Service Rate</v>
      </c>
      <c r="C25" s="25">
        <f>Rates!E24</f>
        <v>5.7000000000000002E-3</v>
      </c>
      <c r="D25" s="37">
        <f>C7*C5</f>
        <v>2108.4</v>
      </c>
      <c r="E25" s="36">
        <f>C25*D25</f>
        <v>12.017880000000002</v>
      </c>
      <c r="F25" s="45"/>
      <c r="G25" s="25">
        <f>Rates!I24</f>
        <v>6.0000000000000001E-3</v>
      </c>
      <c r="H25" s="37">
        <f>D25</f>
        <v>2108.4</v>
      </c>
      <c r="I25" s="36">
        <f>G25*H25</f>
        <v>12.650400000000001</v>
      </c>
      <c r="J25" s="45"/>
      <c r="K25" s="36">
        <f t="shared" si="2"/>
        <v>0.63251999999999953</v>
      </c>
      <c r="L25" s="47">
        <f t="shared" si="3"/>
        <v>5.2631578947368376E-2</v>
      </c>
    </row>
    <row r="26" spans="2:12" x14ac:dyDescent="0.2">
      <c r="B26" s="44" t="str">
        <f>Rates!B14</f>
        <v>Retail Transmission Rate - Line and Transformation Connection Service Rate</v>
      </c>
      <c r="C26" s="25">
        <f>Rates!E25</f>
        <v>4.5999999999999999E-3</v>
      </c>
      <c r="D26" s="37">
        <f>C7*C5</f>
        <v>2108.4</v>
      </c>
      <c r="E26" s="36">
        <f>C26*D26</f>
        <v>9.698640000000001</v>
      </c>
      <c r="F26" s="45"/>
      <c r="G26" s="25">
        <f>Rates!I25</f>
        <v>4.7000000000000002E-3</v>
      </c>
      <c r="H26" s="37">
        <f>D26</f>
        <v>2108.4</v>
      </c>
      <c r="I26" s="36">
        <f>G26*H26</f>
        <v>9.9094800000000003</v>
      </c>
      <c r="J26" s="45"/>
      <c r="K26" s="36">
        <f t="shared" si="2"/>
        <v>0.21083999999999925</v>
      </c>
      <c r="L26" s="47">
        <f t="shared" si="3"/>
        <v>2.1739130434782528E-2</v>
      </c>
    </row>
    <row r="27" spans="2:12" x14ac:dyDescent="0.2">
      <c r="B27" s="49" t="s">
        <v>65</v>
      </c>
      <c r="C27" s="50"/>
      <c r="D27" s="51"/>
      <c r="E27" s="52">
        <f>SUM(E24:E26)</f>
        <v>112.92128000000004</v>
      </c>
      <c r="F27" s="53"/>
      <c r="G27" s="50"/>
      <c r="H27" s="52"/>
      <c r="I27" s="52">
        <f>SUM(I24:I26)</f>
        <v>113.42464000000004</v>
      </c>
      <c r="J27" s="53"/>
      <c r="K27" s="54">
        <f t="shared" si="2"/>
        <v>0.5033600000000007</v>
      </c>
      <c r="L27" s="55">
        <f t="shared" si="3"/>
        <v>4.4576186171463921E-3</v>
      </c>
    </row>
    <row r="28" spans="2:12" x14ac:dyDescent="0.2">
      <c r="B28" s="44" t="str">
        <f>Rates!B199</f>
        <v>Wholesale Market Service Rate</v>
      </c>
      <c r="C28" s="25">
        <f>Rates!E199</f>
        <v>4.4000000000000003E-3</v>
      </c>
      <c r="D28" s="37">
        <f>C5*C7</f>
        <v>2108.4</v>
      </c>
      <c r="E28" s="36">
        <f t="shared" ref="E28:E34" si="8">C28*D28</f>
        <v>9.2769600000000008</v>
      </c>
      <c r="F28" s="45"/>
      <c r="G28" s="25">
        <f>Rates!I199</f>
        <v>4.4000000000000003E-3</v>
      </c>
      <c r="H28" s="37">
        <f>D28</f>
        <v>2108.4</v>
      </c>
      <c r="I28" s="36">
        <f t="shared" ref="I28:I34" si="9">G28*H28</f>
        <v>9.2769600000000008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Rates!B200</f>
        <v>Rural Rate Protection Charge</v>
      </c>
      <c r="C29" s="25">
        <f>Rates!E200</f>
        <v>1.1999999999999999E-3</v>
      </c>
      <c r="D29" s="37">
        <f>C5*C7</f>
        <v>2108.4</v>
      </c>
      <c r="E29" s="36">
        <f t="shared" si="8"/>
        <v>2.5300799999999999</v>
      </c>
      <c r="F29" s="45"/>
      <c r="G29" s="25">
        <f>Rates!I200</f>
        <v>1.1999999999999999E-3</v>
      </c>
      <c r="H29" s="37">
        <f t="shared" ref="H29:H30" si="10">D29</f>
        <v>2108.4</v>
      </c>
      <c r="I29" s="36">
        <f t="shared" si="9"/>
        <v>2.5300799999999999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Rates!B201</f>
        <v>Standard Supply Service - Administrative Charge (if applicable)</v>
      </c>
      <c r="C30" s="36">
        <f>Rates!E201</f>
        <v>0.25</v>
      </c>
      <c r="D30" s="37">
        <v>1</v>
      </c>
      <c r="E30" s="36">
        <f t="shared" si="8"/>
        <v>0.25</v>
      </c>
      <c r="F30" s="45"/>
      <c r="G30" s="36">
        <f>Rates!I201</f>
        <v>0.25</v>
      </c>
      <c r="H30" s="37">
        <f t="shared" si="10"/>
        <v>1</v>
      </c>
      <c r="I30" s="36">
        <f t="shared" si="9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Rates!B204</f>
        <v>Debt Retirement Charge</v>
      </c>
      <c r="C31" s="25">
        <f>Rates!E205</f>
        <v>0</v>
      </c>
      <c r="D31" s="37">
        <f>C7</f>
        <v>2000</v>
      </c>
      <c r="E31" s="36">
        <f t="shared" si="8"/>
        <v>0</v>
      </c>
      <c r="F31" s="45"/>
      <c r="G31" s="25">
        <f>Rates!I205</f>
        <v>0</v>
      </c>
      <c r="H31" s="37">
        <f>D31</f>
        <v>2000</v>
      </c>
      <c r="I31" s="36">
        <f t="shared" si="9"/>
        <v>0</v>
      </c>
      <c r="J31" s="45"/>
      <c r="K31" s="36">
        <f t="shared" si="2"/>
        <v>0</v>
      </c>
      <c r="L31" s="47" t="str">
        <f t="shared" si="3"/>
        <v xml:space="preserve"> </v>
      </c>
    </row>
    <row r="32" spans="2:12" x14ac:dyDescent="0.2">
      <c r="B32" s="44" t="str">
        <f>Rates!B217</f>
        <v>TOU - Off Peak</v>
      </c>
      <c r="C32" s="25">
        <f>Rates!E217</f>
        <v>6.7000000000000004E-2</v>
      </c>
      <c r="D32" s="37">
        <f>C7*0.64</f>
        <v>1280</v>
      </c>
      <c r="E32" s="36">
        <f t="shared" si="8"/>
        <v>85.76</v>
      </c>
      <c r="F32" s="45"/>
      <c r="G32" s="25">
        <f>Rates!I217</f>
        <v>6.7000000000000004E-2</v>
      </c>
      <c r="H32" s="37">
        <f>D32</f>
        <v>1280</v>
      </c>
      <c r="I32" s="36">
        <f t="shared" si="9"/>
        <v>85.76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Rates!B218</f>
        <v>TOU - Mid Peak</v>
      </c>
      <c r="C33" s="25">
        <f>Rates!E218</f>
        <v>0.104</v>
      </c>
      <c r="D33" s="37">
        <f>C7*0.18</f>
        <v>360</v>
      </c>
      <c r="E33" s="36">
        <f t="shared" si="8"/>
        <v>37.44</v>
      </c>
      <c r="F33" s="45"/>
      <c r="G33" s="25">
        <f>Rates!I218</f>
        <v>0.104</v>
      </c>
      <c r="H33" s="37">
        <f t="shared" ref="H33:H34" si="11">D33</f>
        <v>360</v>
      </c>
      <c r="I33" s="36">
        <f t="shared" si="9"/>
        <v>37.44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Rates!B219</f>
        <v>TOU - On Peak</v>
      </c>
      <c r="C34" s="25">
        <f>Rates!E219</f>
        <v>0.124</v>
      </c>
      <c r="D34" s="37">
        <f>C7*0.18</f>
        <v>360</v>
      </c>
      <c r="E34" s="36">
        <f t="shared" si="8"/>
        <v>44.64</v>
      </c>
      <c r="F34" s="45"/>
      <c r="G34" s="25">
        <f>Rates!I219</f>
        <v>0.124</v>
      </c>
      <c r="H34" s="37">
        <f t="shared" si="11"/>
        <v>360</v>
      </c>
      <c r="I34" s="36">
        <f t="shared" si="9"/>
        <v>44.64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56"/>
      <c r="C35" s="51"/>
      <c r="D35" s="51"/>
      <c r="E35" s="51"/>
      <c r="F35" s="53"/>
      <c r="G35" s="51"/>
      <c r="H35" s="51"/>
      <c r="I35" s="51"/>
      <c r="J35" s="53"/>
      <c r="K35" s="54"/>
      <c r="L35" s="55"/>
    </row>
    <row r="36" spans="2:12" x14ac:dyDescent="0.2">
      <c r="B36" s="23" t="s">
        <v>66</v>
      </c>
      <c r="C36" s="35"/>
      <c r="D36" s="35"/>
      <c r="E36" s="39">
        <f>SUM(E27:E34)</f>
        <v>292.81832000000003</v>
      </c>
      <c r="F36" s="45"/>
      <c r="G36" s="35"/>
      <c r="H36" s="39"/>
      <c r="I36" s="39">
        <f>SUM(I27:I34)</f>
        <v>293.32168000000001</v>
      </c>
      <c r="J36" s="45"/>
      <c r="K36" s="36">
        <f t="shared" si="2"/>
        <v>0.50335999999998648</v>
      </c>
      <c r="L36" s="47">
        <f t="shared" si="3"/>
        <v>1.719018127007854E-3</v>
      </c>
    </row>
    <row r="37" spans="2:12" x14ac:dyDescent="0.2">
      <c r="B37" s="44" t="str">
        <f>Rates!B223</f>
        <v>HST</v>
      </c>
      <c r="C37" s="41">
        <f>Rates!E223</f>
        <v>0.13</v>
      </c>
      <c r="D37" s="35"/>
      <c r="E37" s="42">
        <f>E36*C37</f>
        <v>38.066381600000007</v>
      </c>
      <c r="F37" s="45"/>
      <c r="G37" s="41">
        <f>Rates!I223</f>
        <v>0.13</v>
      </c>
      <c r="H37" s="35"/>
      <c r="I37" s="42">
        <f>I36*G37</f>
        <v>38.1318184</v>
      </c>
      <c r="J37" s="45"/>
      <c r="K37" s="36">
        <f t="shared" si="2"/>
        <v>6.5436799999993411E-2</v>
      </c>
      <c r="L37" s="47">
        <f t="shared" si="3"/>
        <v>1.7190181270077269E-3</v>
      </c>
    </row>
    <row r="38" spans="2:12" x14ac:dyDescent="0.2">
      <c r="B38" s="23" t="s">
        <v>67</v>
      </c>
      <c r="C38" s="35"/>
      <c r="D38" s="35"/>
      <c r="E38" s="42">
        <f>E36+E37</f>
        <v>330.88470160000003</v>
      </c>
      <c r="F38" s="45"/>
      <c r="G38" s="35"/>
      <c r="H38" s="35"/>
      <c r="I38" s="42">
        <f>I36+I37</f>
        <v>331.4534984</v>
      </c>
      <c r="J38" s="45"/>
      <c r="K38" s="36">
        <f t="shared" si="2"/>
        <v>0.56879679999997279</v>
      </c>
      <c r="L38" s="47">
        <f t="shared" si="3"/>
        <v>1.719018127007818E-3</v>
      </c>
    </row>
    <row r="39" spans="2:12" x14ac:dyDescent="0.2">
      <c r="B39" s="44" t="str">
        <f>Rates!B225</f>
        <v>OCEB</v>
      </c>
      <c r="C39" s="41">
        <f>Rates!E225</f>
        <v>-0.1</v>
      </c>
      <c r="D39" s="35"/>
      <c r="E39" s="42">
        <f>E38*C39</f>
        <v>-33.088470160000007</v>
      </c>
      <c r="F39" s="45"/>
      <c r="G39" s="41">
        <f>Rates!I225</f>
        <v>-0.1</v>
      </c>
      <c r="H39" s="35"/>
      <c r="I39" s="42">
        <f>I38*G39</f>
        <v>-33.145349840000002</v>
      </c>
      <c r="J39" s="45"/>
      <c r="K39" s="36">
        <f t="shared" si="2"/>
        <v>-5.6879679999994437E-2</v>
      </c>
      <c r="L39" s="47">
        <f t="shared" si="3"/>
        <v>1.7190181270077319E-3</v>
      </c>
    </row>
    <row r="40" spans="2:12" ht="13.5" thickBot="1" x14ac:dyDescent="0.25">
      <c r="B40" s="30" t="s">
        <v>68</v>
      </c>
      <c r="C40" s="57"/>
      <c r="D40" s="57"/>
      <c r="E40" s="58">
        <f>E38+E39</f>
        <v>297.79623144000004</v>
      </c>
      <c r="F40" s="59"/>
      <c r="G40" s="57"/>
      <c r="H40" s="57"/>
      <c r="I40" s="58">
        <f>I38+I39</f>
        <v>298.30814856000001</v>
      </c>
      <c r="J40" s="59"/>
      <c r="K40" s="60">
        <f t="shared" si="2"/>
        <v>0.51191711999996414</v>
      </c>
      <c r="L40" s="61">
        <f t="shared" si="3"/>
        <v>1.7190181270077796E-3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5"/>
  <sheetViews>
    <sheetView showGridLines="0" topLeftCell="B13" workbookViewId="0">
      <selection activeCell="A20" sqref="A20:XFD22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4" max="4" width="9.28515625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Rates!B27</f>
        <v>General Service 50kW to 4,999kW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68620</v>
      </c>
    </row>
    <row r="8" spans="2:12" x14ac:dyDescent="0.2">
      <c r="B8" s="28" t="s">
        <v>72</v>
      </c>
      <c r="C8" s="29">
        <v>200</v>
      </c>
    </row>
    <row r="9" spans="2:12" ht="13.5" thickBot="1" x14ac:dyDescent="0.25">
      <c r="B9" s="30" t="s">
        <v>73</v>
      </c>
      <c r="C9" s="31">
        <f>IF(C8=0,"n/a",C7/(C8*24*365/12))</f>
        <v>0.47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Rates!E28</f>
        <v>137.72999999999999</v>
      </c>
      <c r="D14" s="37">
        <f>C6</f>
        <v>1</v>
      </c>
      <c r="E14" s="36">
        <f>C14*D14</f>
        <v>137.72999999999999</v>
      </c>
      <c r="F14" s="45"/>
      <c r="G14" s="36">
        <f>Rates!I28</f>
        <v>142.47</v>
      </c>
      <c r="H14" s="37">
        <f>D14</f>
        <v>1</v>
      </c>
      <c r="I14" s="36">
        <f>G14*H14</f>
        <v>142.47</v>
      </c>
      <c r="J14" s="45"/>
      <c r="K14" s="36">
        <f>I14-E14</f>
        <v>4.7400000000000091</v>
      </c>
      <c r="L14" s="47">
        <f>IF((E14)=0," ",K14/E14)</f>
        <v>3.4415160095839753E-2</v>
      </c>
    </row>
    <row r="15" spans="2:12" x14ac:dyDescent="0.2">
      <c r="B15" s="44" t="str">
        <f>Rates!B7</f>
        <v>Distribution Volumetric Rate</v>
      </c>
      <c r="C15" s="25">
        <f>Rates!E29</f>
        <v>7.3987999999999996</v>
      </c>
      <c r="D15" s="38">
        <f>C8</f>
        <v>200</v>
      </c>
      <c r="E15" s="36">
        <f t="shared" ref="E15" si="0">C15*D15</f>
        <v>1479.76</v>
      </c>
      <c r="F15" s="45"/>
      <c r="G15" s="25">
        <f>Rates!I29</f>
        <v>6.8696999999999999</v>
      </c>
      <c r="H15" s="38">
        <f>D15</f>
        <v>200</v>
      </c>
      <c r="I15" s="36">
        <f t="shared" ref="I15" si="1">G15*H15</f>
        <v>1373.94</v>
      </c>
      <c r="J15" s="45"/>
      <c r="K15" s="36">
        <f t="shared" ref="K15:K35" si="2">I15-E15</f>
        <v>-105.81999999999994</v>
      </c>
      <c r="L15" s="47">
        <f t="shared" ref="L15:L35" si="3">IF((E15)=0," ",K15/E15)</f>
        <v>-7.1511596475104022E-2</v>
      </c>
    </row>
    <row r="16" spans="2:12" x14ac:dyDescent="0.2">
      <c r="B16" s="49" t="s">
        <v>40</v>
      </c>
      <c r="C16" s="50"/>
      <c r="D16" s="51"/>
      <c r="E16" s="52">
        <f>SUM(E14:E15)</f>
        <v>1617.49</v>
      </c>
      <c r="F16" s="53"/>
      <c r="G16" s="50"/>
      <c r="H16" s="51"/>
      <c r="I16" s="52">
        <f>SUM(I14:I15)</f>
        <v>1516.41</v>
      </c>
      <c r="J16" s="53"/>
      <c r="K16" s="54">
        <f t="shared" si="2"/>
        <v>-101.07999999999993</v>
      </c>
      <c r="L16" s="55">
        <f t="shared" si="3"/>
        <v>-6.2491885575799495E-2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3719.204000000002</v>
      </c>
      <c r="E17" s="36">
        <f t="shared" ref="E17:E20" si="4">C17*D17</f>
        <v>312.04121560000016</v>
      </c>
      <c r="F17" s="45"/>
      <c r="G17" s="25">
        <f>Rates!I221</f>
        <v>8.3900000000000002E-2</v>
      </c>
      <c r="H17" s="40">
        <f>(C5-1)*C7</f>
        <v>3719.204000000002</v>
      </c>
      <c r="I17" s="36">
        <f t="shared" ref="I17:I20" si="5">G17*H17</f>
        <v>312.04121560000016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Rates!E31</f>
        <v>0.1182</v>
      </c>
      <c r="D18" s="37">
        <f>C8</f>
        <v>200</v>
      </c>
      <c r="E18" s="36">
        <f t="shared" si="4"/>
        <v>23.64</v>
      </c>
      <c r="F18" s="45"/>
      <c r="G18" s="25">
        <f>Rates!I31</f>
        <v>0.1182</v>
      </c>
      <c r="H18" s="37">
        <f t="shared" ref="H18:H20" si="6">D18</f>
        <v>200</v>
      </c>
      <c r="I18" s="36">
        <f t="shared" si="5"/>
        <v>23.64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Rates!E32</f>
        <v>0.62809999999999999</v>
      </c>
      <c r="D19" s="37">
        <f>C8</f>
        <v>200</v>
      </c>
      <c r="E19" s="36">
        <f t="shared" si="4"/>
        <v>125.62</v>
      </c>
      <c r="F19" s="45"/>
      <c r="G19" s="25">
        <f>Rates!I32</f>
        <v>0.62809999999999999</v>
      </c>
      <c r="H19" s="37">
        <f t="shared" si="6"/>
        <v>200</v>
      </c>
      <c r="I19" s="36">
        <f t="shared" si="5"/>
        <v>125.62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Rates!B10</f>
        <v>Low Voltage Service Rate</v>
      </c>
      <c r="C20" s="25">
        <f>Rates!E30</f>
        <v>7.3499999999999996E-2</v>
      </c>
      <c r="D20" s="37">
        <f>C8</f>
        <v>200</v>
      </c>
      <c r="E20" s="36">
        <f t="shared" si="4"/>
        <v>14.7</v>
      </c>
      <c r="F20" s="45"/>
      <c r="G20" s="25">
        <f>Rates!I30</f>
        <v>7.3499999999999996E-2</v>
      </c>
      <c r="H20" s="37">
        <f t="shared" si="6"/>
        <v>200</v>
      </c>
      <c r="I20" s="36">
        <f t="shared" si="5"/>
        <v>14.7</v>
      </c>
      <c r="J20" s="45"/>
      <c r="K20" s="36">
        <f t="shared" si="2"/>
        <v>0</v>
      </c>
      <c r="L20" s="47">
        <f t="shared" si="3"/>
        <v>0</v>
      </c>
    </row>
    <row r="21" spans="2:12" x14ac:dyDescent="0.2">
      <c r="B21" s="49" t="s">
        <v>64</v>
      </c>
      <c r="C21" s="50"/>
      <c r="D21" s="51"/>
      <c r="E21" s="52">
        <f>SUM(E16:E20)</f>
        <v>2093.4912156</v>
      </c>
      <c r="F21" s="53"/>
      <c r="G21" s="50"/>
      <c r="H21" s="51"/>
      <c r="I21" s="52">
        <f>SUM(I16:I20)</f>
        <v>1992.4112156000003</v>
      </c>
      <c r="J21" s="53"/>
      <c r="K21" s="54">
        <f t="shared" si="2"/>
        <v>-101.0799999999997</v>
      </c>
      <c r="L21" s="55">
        <f t="shared" si="3"/>
        <v>-4.8282982630538485E-2</v>
      </c>
    </row>
    <row r="22" spans="2:12" x14ac:dyDescent="0.2">
      <c r="B22" s="44" t="str">
        <f>Rates!B13</f>
        <v>Retail Transmission Rate - Network Service Rate</v>
      </c>
      <c r="C22" s="25">
        <f>Rates!E33</f>
        <v>2.4072</v>
      </c>
      <c r="D22" s="37">
        <f>C8</f>
        <v>200</v>
      </c>
      <c r="E22" s="36">
        <f>C22*D22</f>
        <v>481.44</v>
      </c>
      <c r="F22" s="45"/>
      <c r="G22" s="25">
        <f>Rates!I33</f>
        <v>2.5400999999999998</v>
      </c>
      <c r="H22" s="37">
        <f>D22</f>
        <v>200</v>
      </c>
      <c r="I22" s="36">
        <f>G22*H22</f>
        <v>508.02</v>
      </c>
      <c r="J22" s="45"/>
      <c r="K22" s="36">
        <f t="shared" si="2"/>
        <v>26.579999999999984</v>
      </c>
      <c r="L22" s="47">
        <f t="shared" si="3"/>
        <v>5.5209371884346929E-2</v>
      </c>
    </row>
    <row r="23" spans="2:12" x14ac:dyDescent="0.2">
      <c r="B23" s="44" t="str">
        <f>Rates!B14</f>
        <v>Retail Transmission Rate - Line and Transformation Connection Service Rate</v>
      </c>
      <c r="C23" s="25">
        <f>Rates!E34</f>
        <v>1.9064000000000001</v>
      </c>
      <c r="D23" s="37">
        <f>C8</f>
        <v>200</v>
      </c>
      <c r="E23" s="36">
        <f>C23*D23</f>
        <v>381.28000000000003</v>
      </c>
      <c r="F23" s="45"/>
      <c r="G23" s="25">
        <f>Rates!I34</f>
        <v>1.9351</v>
      </c>
      <c r="H23" s="37">
        <f>D23</f>
        <v>200</v>
      </c>
      <c r="I23" s="36">
        <f>G23*H23</f>
        <v>387.02</v>
      </c>
      <c r="J23" s="45"/>
      <c r="K23" s="36">
        <f t="shared" si="2"/>
        <v>5.7399999999999523</v>
      </c>
      <c r="L23" s="47">
        <f t="shared" si="3"/>
        <v>1.5054553084347335E-2</v>
      </c>
    </row>
    <row r="24" spans="2:12" x14ac:dyDescent="0.2">
      <c r="B24" s="49" t="s">
        <v>65</v>
      </c>
      <c r="C24" s="50"/>
      <c r="D24" s="51"/>
      <c r="E24" s="52">
        <f>SUM(E21:E23)</f>
        <v>2956.2112156000003</v>
      </c>
      <c r="F24" s="53"/>
      <c r="G24" s="50"/>
      <c r="H24" s="52"/>
      <c r="I24" s="52">
        <f>SUM(I21:I23)</f>
        <v>2887.4512156000005</v>
      </c>
      <c r="J24" s="53"/>
      <c r="K24" s="54">
        <f t="shared" si="2"/>
        <v>-68.759999999999764</v>
      </c>
      <c r="L24" s="55">
        <f t="shared" si="3"/>
        <v>-2.3259501769410631E-2</v>
      </c>
    </row>
    <row r="25" spans="2:12" x14ac:dyDescent="0.2">
      <c r="B25" s="44" t="str">
        <f>Rates!B199</f>
        <v>Wholesale Market Service Rate</v>
      </c>
      <c r="C25" s="25">
        <f>Rates!E199</f>
        <v>4.4000000000000003E-3</v>
      </c>
      <c r="D25" s="37">
        <f>C5*C7</f>
        <v>72339.203999999998</v>
      </c>
      <c r="E25" s="36">
        <f t="shared" ref="E25:E29" si="7">C25*D25</f>
        <v>318.29249759999999</v>
      </c>
      <c r="F25" s="45"/>
      <c r="G25" s="25">
        <f>Rates!I199</f>
        <v>4.4000000000000003E-3</v>
      </c>
      <c r="H25" s="37">
        <f>D25</f>
        <v>72339.203999999998</v>
      </c>
      <c r="I25" s="36">
        <f t="shared" ref="I25:I29" si="8">G25*H25</f>
        <v>318.29249759999999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Rates!B200</f>
        <v>Rural Rate Protection Charge</v>
      </c>
      <c r="C26" s="25">
        <f>Rates!E200</f>
        <v>1.1999999999999999E-3</v>
      </c>
      <c r="D26" s="37">
        <f>C5*C7</f>
        <v>72339.203999999998</v>
      </c>
      <c r="E26" s="36">
        <f t="shared" si="7"/>
        <v>86.807044799999986</v>
      </c>
      <c r="F26" s="45"/>
      <c r="G26" s="25">
        <f>Rates!I200</f>
        <v>1.1999999999999999E-3</v>
      </c>
      <c r="H26" s="37">
        <f t="shared" ref="H26:H27" si="9">D26</f>
        <v>72339.203999999998</v>
      </c>
      <c r="I26" s="36">
        <f t="shared" si="8"/>
        <v>86.807044799999986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Rates!B201</f>
        <v>Standard Supply Service - Administrative Charge (if applicable)</v>
      </c>
      <c r="C27" s="36">
        <f>Rates!E201</f>
        <v>0.25</v>
      </c>
      <c r="D27" s="37">
        <v>1</v>
      </c>
      <c r="E27" s="36">
        <f t="shared" si="7"/>
        <v>0.25</v>
      </c>
      <c r="F27" s="45"/>
      <c r="G27" s="36">
        <f>Rates!I201</f>
        <v>0.25</v>
      </c>
      <c r="H27" s="37">
        <f t="shared" si="9"/>
        <v>1</v>
      </c>
      <c r="I27" s="36">
        <f t="shared" si="8"/>
        <v>0.25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Rates!B204</f>
        <v>Debt Retirement Charge</v>
      </c>
      <c r="C28" s="25">
        <f>Rates!E205</f>
        <v>0</v>
      </c>
      <c r="D28" s="37">
        <f>C7</f>
        <v>68620</v>
      </c>
      <c r="E28" s="36">
        <f t="shared" si="7"/>
        <v>0</v>
      </c>
      <c r="F28" s="45"/>
      <c r="G28" s="25">
        <f>Rates!I205</f>
        <v>0</v>
      </c>
      <c r="H28" s="37">
        <f>D28</f>
        <v>68620</v>
      </c>
      <c r="I28" s="36">
        <f t="shared" si="8"/>
        <v>0</v>
      </c>
      <c r="J28" s="45"/>
      <c r="K28" s="36">
        <f t="shared" si="2"/>
        <v>0</v>
      </c>
      <c r="L28" s="47" t="str">
        <f t="shared" si="3"/>
        <v xml:space="preserve"> </v>
      </c>
    </row>
    <row r="29" spans="2:12" x14ac:dyDescent="0.2">
      <c r="B29" s="44" t="str">
        <f>Rates!B221</f>
        <v>Energy Price</v>
      </c>
      <c r="C29" s="25">
        <f>Rates!E221</f>
        <v>8.3900000000000002E-2</v>
      </c>
      <c r="D29" s="37">
        <f>C7</f>
        <v>68620</v>
      </c>
      <c r="E29" s="36">
        <f t="shared" si="7"/>
        <v>5757.2179999999998</v>
      </c>
      <c r="F29" s="45"/>
      <c r="G29" s="25">
        <f>Rates!I221</f>
        <v>8.3900000000000002E-2</v>
      </c>
      <c r="H29" s="37">
        <f>D29</f>
        <v>68620</v>
      </c>
      <c r="I29" s="36">
        <f t="shared" si="8"/>
        <v>5757.2179999999998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56"/>
      <c r="C30" s="51"/>
      <c r="D30" s="51"/>
      <c r="E30" s="51"/>
      <c r="F30" s="53"/>
      <c r="G30" s="51"/>
      <c r="H30" s="51"/>
      <c r="I30" s="51"/>
      <c r="J30" s="53"/>
      <c r="K30" s="54"/>
      <c r="L30" s="55"/>
    </row>
    <row r="31" spans="2:12" x14ac:dyDescent="0.2">
      <c r="B31" s="23" t="s">
        <v>66</v>
      </c>
      <c r="C31" s="35"/>
      <c r="D31" s="35"/>
      <c r="E31" s="39">
        <f>SUM(E24:E29)</f>
        <v>9118.7787580000004</v>
      </c>
      <c r="F31" s="45"/>
      <c r="G31" s="35"/>
      <c r="H31" s="39"/>
      <c r="I31" s="39">
        <f>SUM(I24:I29)</f>
        <v>9050.0187580000002</v>
      </c>
      <c r="J31" s="45"/>
      <c r="K31" s="36">
        <f t="shared" si="2"/>
        <v>-68.760000000000218</v>
      </c>
      <c r="L31" s="47">
        <f t="shared" si="3"/>
        <v>-7.5404834161237159E-3</v>
      </c>
    </row>
    <row r="32" spans="2:12" x14ac:dyDescent="0.2">
      <c r="B32" s="44" t="str">
        <f>Rates!B223</f>
        <v>HST</v>
      </c>
      <c r="C32" s="41">
        <f>Rates!E223</f>
        <v>0.13</v>
      </c>
      <c r="D32" s="35"/>
      <c r="E32" s="42">
        <f>E31*C32</f>
        <v>1185.4412385400001</v>
      </c>
      <c r="F32" s="45"/>
      <c r="G32" s="41">
        <f>Rates!I223</f>
        <v>0.13</v>
      </c>
      <c r="H32" s="35"/>
      <c r="I32" s="42">
        <f>I31*G32</f>
        <v>1176.50243854</v>
      </c>
      <c r="J32" s="45"/>
      <c r="K32" s="36">
        <f t="shared" si="2"/>
        <v>-8.9388000000001284</v>
      </c>
      <c r="L32" s="47">
        <f t="shared" si="3"/>
        <v>-7.5404834161238001E-3</v>
      </c>
    </row>
    <row r="33" spans="2:12" x14ac:dyDescent="0.2">
      <c r="B33" s="23" t="s">
        <v>67</v>
      </c>
      <c r="C33" s="35"/>
      <c r="D33" s="35"/>
      <c r="E33" s="42">
        <f>E31+E32</f>
        <v>10304.21999654</v>
      </c>
      <c r="F33" s="45"/>
      <c r="G33" s="35"/>
      <c r="H33" s="35"/>
      <c r="I33" s="42">
        <f>I31+I32</f>
        <v>10226.521196539999</v>
      </c>
      <c r="J33" s="45"/>
      <c r="K33" s="36">
        <f t="shared" si="2"/>
        <v>-77.698800000000119</v>
      </c>
      <c r="L33" s="47">
        <f t="shared" si="3"/>
        <v>-7.5404834161237038E-3</v>
      </c>
    </row>
    <row r="34" spans="2:12" x14ac:dyDescent="0.2">
      <c r="B34" s="44" t="str">
        <f>Rates!B225</f>
        <v>OCEB</v>
      </c>
      <c r="C34" s="41">
        <f>Rates!E225</f>
        <v>-0.1</v>
      </c>
      <c r="D34" s="35"/>
      <c r="E34" s="42">
        <f>E33*C34</f>
        <v>-1030.421999654</v>
      </c>
      <c r="F34" s="45"/>
      <c r="G34" s="41">
        <f>Rates!I225</f>
        <v>-0.1</v>
      </c>
      <c r="H34" s="35"/>
      <c r="I34" s="42">
        <f>I33*G34</f>
        <v>-1022.652119654</v>
      </c>
      <c r="J34" s="45"/>
      <c r="K34" s="36">
        <f t="shared" si="2"/>
        <v>7.7698800000000574</v>
      </c>
      <c r="L34" s="47">
        <f t="shared" si="3"/>
        <v>-7.540483416123748E-3</v>
      </c>
    </row>
    <row r="35" spans="2:12" ht="13.5" thickBot="1" x14ac:dyDescent="0.25">
      <c r="B35" s="30" t="s">
        <v>68</v>
      </c>
      <c r="C35" s="57"/>
      <c r="D35" s="57"/>
      <c r="E35" s="58">
        <f>E33+E34</f>
        <v>9273.797996886</v>
      </c>
      <c r="F35" s="59"/>
      <c r="G35" s="57"/>
      <c r="H35" s="57"/>
      <c r="I35" s="58">
        <f>I33+I34</f>
        <v>9203.8690768859997</v>
      </c>
      <c r="J35" s="59"/>
      <c r="K35" s="60">
        <f t="shared" si="2"/>
        <v>-69.928920000000289</v>
      </c>
      <c r="L35" s="61">
        <f t="shared" si="3"/>
        <v>-7.5404834161237238E-3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5"/>
  <sheetViews>
    <sheetView showGridLines="0" workbookViewId="0">
      <selection activeCell="D30" sqref="D30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Rates!B36</f>
        <v xml:space="preserve">Unmetered Scattered Load 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800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Rates!E37</f>
        <v>60.47</v>
      </c>
      <c r="D14" s="37">
        <f>C6</f>
        <v>1</v>
      </c>
      <c r="E14" s="36">
        <f>C14*D14</f>
        <v>60.47</v>
      </c>
      <c r="F14" s="45"/>
      <c r="G14" s="36">
        <f>Rates!I37</f>
        <v>51.1</v>
      </c>
      <c r="H14" s="37">
        <f>D14</f>
        <v>1</v>
      </c>
      <c r="I14" s="36">
        <f>G14*H14</f>
        <v>51.1</v>
      </c>
      <c r="J14" s="45"/>
      <c r="K14" s="36">
        <f>I14-E14</f>
        <v>-9.3699999999999974</v>
      </c>
      <c r="L14" s="47">
        <f>IF((E14)=0," ",K14/E14)</f>
        <v>-0.1549528691913345</v>
      </c>
    </row>
    <row r="15" spans="2:12" x14ac:dyDescent="0.2">
      <c r="B15" s="44" t="str">
        <f>Rates!B7</f>
        <v>Distribution Volumetric Rate</v>
      </c>
      <c r="C15" s="25">
        <f>Rates!E38</f>
        <v>0.04</v>
      </c>
      <c r="D15" s="38">
        <f>C7</f>
        <v>800</v>
      </c>
      <c r="E15" s="36">
        <f t="shared" ref="E15" si="0">C15*D15</f>
        <v>32</v>
      </c>
      <c r="F15" s="45"/>
      <c r="G15" s="25">
        <f>Rates!I38</f>
        <v>3.2199999999999999E-2</v>
      </c>
      <c r="H15" s="38">
        <f>D15</f>
        <v>800</v>
      </c>
      <c r="I15" s="36">
        <f t="shared" ref="I15" si="1">G15*H15</f>
        <v>25.759999999999998</v>
      </c>
      <c r="J15" s="45"/>
      <c r="K15" s="36">
        <f t="shared" ref="K15:K35" si="2">I15-E15</f>
        <v>-6.240000000000002</v>
      </c>
      <c r="L15" s="47">
        <f t="shared" ref="L15:L35" si="3">IF((E15)=0," ",K15/E15)</f>
        <v>-0.19500000000000006</v>
      </c>
    </row>
    <row r="16" spans="2:12" x14ac:dyDescent="0.2">
      <c r="B16" s="49" t="s">
        <v>40</v>
      </c>
      <c r="C16" s="50"/>
      <c r="D16" s="51"/>
      <c r="E16" s="52">
        <f>SUM(E14:E15)</f>
        <v>92.47</v>
      </c>
      <c r="F16" s="53"/>
      <c r="G16" s="50"/>
      <c r="H16" s="51"/>
      <c r="I16" s="52">
        <f>SUM(I14:I15)</f>
        <v>76.86</v>
      </c>
      <c r="J16" s="53"/>
      <c r="K16" s="54">
        <f t="shared" si="2"/>
        <v>-15.61</v>
      </c>
      <c r="L16" s="55">
        <f t="shared" si="3"/>
        <v>-0.16881150643451931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43.360000000000021</v>
      </c>
      <c r="E17" s="36">
        <f t="shared" ref="E17:E20" si="4">C17*D17</f>
        <v>3.637904000000002</v>
      </c>
      <c r="F17" s="45"/>
      <c r="G17" s="25">
        <f>Rates!I221</f>
        <v>8.3900000000000002E-2</v>
      </c>
      <c r="H17" s="40">
        <f>(C5-1)*C7</f>
        <v>43.360000000000021</v>
      </c>
      <c r="I17" s="36">
        <f t="shared" ref="I17:I20" si="5">G17*H17</f>
        <v>3.637904000000002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Rates!E40</f>
        <v>2.9999999999999997E-4</v>
      </c>
      <c r="D18" s="37">
        <f>C7</f>
        <v>800</v>
      </c>
      <c r="E18" s="36">
        <f t="shared" si="4"/>
        <v>0.24</v>
      </c>
      <c r="F18" s="45"/>
      <c r="G18" s="25">
        <f>Rates!I40</f>
        <v>2.9999999999999997E-4</v>
      </c>
      <c r="H18" s="37">
        <f t="shared" ref="H18:H20" si="6">D18</f>
        <v>800</v>
      </c>
      <c r="I18" s="36">
        <f t="shared" si="5"/>
        <v>0.24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Rates!E41</f>
        <v>1.6999999999999999E-3</v>
      </c>
      <c r="D19" s="37">
        <f>C7</f>
        <v>800</v>
      </c>
      <c r="E19" s="36">
        <f t="shared" si="4"/>
        <v>1.3599999999999999</v>
      </c>
      <c r="F19" s="45"/>
      <c r="G19" s="25">
        <f>Rates!I41</f>
        <v>1.6999999999999999E-3</v>
      </c>
      <c r="H19" s="37">
        <f t="shared" si="6"/>
        <v>800</v>
      </c>
      <c r="I19" s="36">
        <f t="shared" si="5"/>
        <v>1.3599999999999999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Rates!B10</f>
        <v>Low Voltage Service Rate</v>
      </c>
      <c r="C20" s="25">
        <f>Rates!E39</f>
        <v>2.0000000000000001E-4</v>
      </c>
      <c r="D20" s="37">
        <f>C7</f>
        <v>800</v>
      </c>
      <c r="E20" s="36">
        <f t="shared" si="4"/>
        <v>0.16</v>
      </c>
      <c r="F20" s="45"/>
      <c r="G20" s="25">
        <f>Rates!I39</f>
        <v>2.0000000000000001E-4</v>
      </c>
      <c r="H20" s="37">
        <f t="shared" si="6"/>
        <v>800</v>
      </c>
      <c r="I20" s="36">
        <f t="shared" si="5"/>
        <v>0.16</v>
      </c>
      <c r="J20" s="45"/>
      <c r="K20" s="36">
        <f t="shared" si="2"/>
        <v>0</v>
      </c>
      <c r="L20" s="47">
        <f t="shared" si="3"/>
        <v>0</v>
      </c>
    </row>
    <row r="21" spans="2:12" x14ac:dyDescent="0.2">
      <c r="B21" s="49" t="s">
        <v>64</v>
      </c>
      <c r="C21" s="50"/>
      <c r="D21" s="51"/>
      <c r="E21" s="52">
        <f>SUM(E16:E20)</f>
        <v>97.867903999999996</v>
      </c>
      <c r="F21" s="53"/>
      <c r="G21" s="50"/>
      <c r="H21" s="51"/>
      <c r="I21" s="52">
        <f>SUM(I16:I20)</f>
        <v>82.257903999999996</v>
      </c>
      <c r="J21" s="53"/>
      <c r="K21" s="54">
        <f t="shared" si="2"/>
        <v>-15.61</v>
      </c>
      <c r="L21" s="55">
        <f t="shared" si="3"/>
        <v>-0.15950070821992876</v>
      </c>
    </row>
    <row r="22" spans="2:12" x14ac:dyDescent="0.2">
      <c r="B22" s="44" t="str">
        <f>Rates!B13</f>
        <v>Retail Transmission Rate - Network Service Rate</v>
      </c>
      <c r="C22" s="25">
        <f>Rates!E43</f>
        <v>5.8999999999999999E-3</v>
      </c>
      <c r="D22" s="37">
        <f>C7*C5</f>
        <v>843.36</v>
      </c>
      <c r="E22" s="36">
        <f>C22*D22</f>
        <v>4.9758240000000002</v>
      </c>
      <c r="F22" s="45"/>
      <c r="G22" s="25">
        <f>Rates!I43</f>
        <v>6.1999999999999998E-3</v>
      </c>
      <c r="H22" s="37">
        <f>D22</f>
        <v>843.36</v>
      </c>
      <c r="I22" s="36">
        <f>G22*H22</f>
        <v>5.2288319999999997</v>
      </c>
      <c r="J22" s="45"/>
      <c r="K22" s="36">
        <f t="shared" si="2"/>
        <v>0.25300799999999946</v>
      </c>
      <c r="L22" s="47">
        <f t="shared" si="3"/>
        <v>5.0847457627118529E-2</v>
      </c>
    </row>
    <row r="23" spans="2:12" x14ac:dyDescent="0.2">
      <c r="B23" s="44" t="str">
        <f>Rates!B14</f>
        <v>Retail Transmission Rate - Line and Transformation Connection Service Rate</v>
      </c>
      <c r="C23" s="25">
        <f>Rates!E44</f>
        <v>4.7000000000000002E-3</v>
      </c>
      <c r="D23" s="37">
        <f>C7*C5</f>
        <v>843.36</v>
      </c>
      <c r="E23" s="36">
        <f>C23*D23</f>
        <v>3.9637920000000002</v>
      </c>
      <c r="F23" s="45"/>
      <c r="G23" s="25">
        <f>Rates!I44</f>
        <v>4.7999999999999996E-3</v>
      </c>
      <c r="H23" s="37">
        <f>D23</f>
        <v>843.36</v>
      </c>
      <c r="I23" s="36">
        <f>G23*H23</f>
        <v>4.0481279999999993</v>
      </c>
      <c r="J23" s="45"/>
      <c r="K23" s="36">
        <f t="shared" si="2"/>
        <v>8.4335999999999078E-2</v>
      </c>
      <c r="L23" s="47">
        <f t="shared" si="3"/>
        <v>2.1276595744680618E-2</v>
      </c>
    </row>
    <row r="24" spans="2:12" x14ac:dyDescent="0.2">
      <c r="B24" s="49" t="s">
        <v>65</v>
      </c>
      <c r="C24" s="50"/>
      <c r="D24" s="51"/>
      <c r="E24" s="52">
        <f>SUM(E21:E23)</f>
        <v>106.80752</v>
      </c>
      <c r="F24" s="53"/>
      <c r="G24" s="50"/>
      <c r="H24" s="52"/>
      <c r="I24" s="52">
        <f>SUM(I21:I23)</f>
        <v>91.534863999999999</v>
      </c>
      <c r="J24" s="53"/>
      <c r="K24" s="54">
        <f t="shared" si="2"/>
        <v>-15.272655999999998</v>
      </c>
      <c r="L24" s="55">
        <f t="shared" si="3"/>
        <v>-0.14299232863004402</v>
      </c>
    </row>
    <row r="25" spans="2:12" x14ac:dyDescent="0.2">
      <c r="B25" s="44" t="str">
        <f>Rates!B199</f>
        <v>Wholesale Market Service Rate</v>
      </c>
      <c r="C25" s="25">
        <f>Rates!E199</f>
        <v>4.4000000000000003E-3</v>
      </c>
      <c r="D25" s="37">
        <f>C5*C7</f>
        <v>843.36</v>
      </c>
      <c r="E25" s="36">
        <f t="shared" ref="E25:E29" si="7">C25*D25</f>
        <v>3.7107840000000003</v>
      </c>
      <c r="F25" s="45"/>
      <c r="G25" s="25">
        <f>Rates!I199</f>
        <v>4.4000000000000003E-3</v>
      </c>
      <c r="H25" s="37">
        <f>D25</f>
        <v>843.36</v>
      </c>
      <c r="I25" s="36">
        <f t="shared" ref="I25:I29" si="8">G25*H25</f>
        <v>3.7107840000000003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Rates!B200</f>
        <v>Rural Rate Protection Charge</v>
      </c>
      <c r="C26" s="25">
        <f>Rates!E200</f>
        <v>1.1999999999999999E-3</v>
      </c>
      <c r="D26" s="37">
        <f>C5*C7</f>
        <v>843.36</v>
      </c>
      <c r="E26" s="36">
        <f t="shared" si="7"/>
        <v>1.0120319999999998</v>
      </c>
      <c r="F26" s="45"/>
      <c r="G26" s="25">
        <f>Rates!I200</f>
        <v>1.1999999999999999E-3</v>
      </c>
      <c r="H26" s="37">
        <f t="shared" ref="H26:H27" si="9">D26</f>
        <v>843.36</v>
      </c>
      <c r="I26" s="36">
        <f t="shared" si="8"/>
        <v>1.0120319999999998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Rates!B201</f>
        <v>Standard Supply Service - Administrative Charge (if applicable)</v>
      </c>
      <c r="C27" s="36">
        <f>Rates!E201</f>
        <v>0.25</v>
      </c>
      <c r="D27" s="37">
        <v>1</v>
      </c>
      <c r="E27" s="36">
        <f t="shared" si="7"/>
        <v>0.25</v>
      </c>
      <c r="F27" s="45"/>
      <c r="G27" s="36">
        <f>Rates!I201</f>
        <v>0.25</v>
      </c>
      <c r="H27" s="37">
        <f t="shared" si="9"/>
        <v>1</v>
      </c>
      <c r="I27" s="36">
        <f t="shared" si="8"/>
        <v>0.25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Rates!B204</f>
        <v>Debt Retirement Charge</v>
      </c>
      <c r="C28" s="25">
        <f>Rates!E205</f>
        <v>0</v>
      </c>
      <c r="D28" s="37">
        <f>C7</f>
        <v>800</v>
      </c>
      <c r="E28" s="36">
        <f t="shared" si="7"/>
        <v>0</v>
      </c>
      <c r="F28" s="45"/>
      <c r="G28" s="25">
        <f>Rates!I205</f>
        <v>0</v>
      </c>
      <c r="H28" s="37">
        <f>D28</f>
        <v>800</v>
      </c>
      <c r="I28" s="36">
        <f t="shared" si="8"/>
        <v>0</v>
      </c>
      <c r="J28" s="45"/>
      <c r="K28" s="36">
        <f t="shared" si="2"/>
        <v>0</v>
      </c>
      <c r="L28" s="47" t="str">
        <f t="shared" si="3"/>
        <v xml:space="preserve"> </v>
      </c>
    </row>
    <row r="29" spans="2:12" x14ac:dyDescent="0.2">
      <c r="B29" s="44" t="str">
        <f>Rates!B221</f>
        <v>Energy Price</v>
      </c>
      <c r="C29" s="25">
        <f>Rates!E221</f>
        <v>8.3900000000000002E-2</v>
      </c>
      <c r="D29" s="37">
        <f>C7</f>
        <v>800</v>
      </c>
      <c r="E29" s="36">
        <f t="shared" si="7"/>
        <v>67.12</v>
      </c>
      <c r="F29" s="45"/>
      <c r="G29" s="25">
        <f>Rates!I221</f>
        <v>8.3900000000000002E-2</v>
      </c>
      <c r="H29" s="37">
        <f>D29</f>
        <v>800</v>
      </c>
      <c r="I29" s="36">
        <f t="shared" si="8"/>
        <v>67.12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56"/>
      <c r="C30" s="51"/>
      <c r="D30" s="51"/>
      <c r="E30" s="51"/>
      <c r="F30" s="53"/>
      <c r="G30" s="51"/>
      <c r="H30" s="51"/>
      <c r="I30" s="51"/>
      <c r="J30" s="53"/>
      <c r="K30" s="54"/>
      <c r="L30" s="55"/>
    </row>
    <row r="31" spans="2:12" x14ac:dyDescent="0.2">
      <c r="B31" s="23" t="s">
        <v>66</v>
      </c>
      <c r="C31" s="35"/>
      <c r="D31" s="35"/>
      <c r="E31" s="39">
        <f>SUM(E24:E29)</f>
        <v>178.90033600000001</v>
      </c>
      <c r="F31" s="45"/>
      <c r="G31" s="35"/>
      <c r="H31" s="39"/>
      <c r="I31" s="39">
        <f>SUM(I24:I29)</f>
        <v>163.62768</v>
      </c>
      <c r="J31" s="45"/>
      <c r="K31" s="36">
        <f t="shared" si="2"/>
        <v>-15.272656000000012</v>
      </c>
      <c r="L31" s="47">
        <f t="shared" si="3"/>
        <v>-8.5369632844065818E-2</v>
      </c>
    </row>
    <row r="32" spans="2:12" x14ac:dyDescent="0.2">
      <c r="B32" s="44" t="str">
        <f>Rates!B223</f>
        <v>HST</v>
      </c>
      <c r="C32" s="41">
        <f>Rates!E223</f>
        <v>0.13</v>
      </c>
      <c r="D32" s="35"/>
      <c r="E32" s="42">
        <f>E31*C32</f>
        <v>23.257043680000002</v>
      </c>
      <c r="F32" s="45"/>
      <c r="G32" s="41">
        <f>Rates!I223</f>
        <v>0.13</v>
      </c>
      <c r="H32" s="35"/>
      <c r="I32" s="42">
        <f>I31*G32</f>
        <v>21.271598400000002</v>
      </c>
      <c r="J32" s="45"/>
      <c r="K32" s="36">
        <f t="shared" si="2"/>
        <v>-1.9854452800000004</v>
      </c>
      <c r="L32" s="47">
        <f t="shared" si="3"/>
        <v>-8.5369632844065763E-2</v>
      </c>
    </row>
    <row r="33" spans="2:12" x14ac:dyDescent="0.2">
      <c r="B33" s="23" t="s">
        <v>67</v>
      </c>
      <c r="C33" s="35"/>
      <c r="D33" s="35"/>
      <c r="E33" s="42">
        <f>E31+E32</f>
        <v>202.15737968000002</v>
      </c>
      <c r="F33" s="45"/>
      <c r="G33" s="35"/>
      <c r="H33" s="35"/>
      <c r="I33" s="42">
        <f>I31+I32</f>
        <v>184.89927840000001</v>
      </c>
      <c r="J33" s="45"/>
      <c r="K33" s="36">
        <f t="shared" si="2"/>
        <v>-17.258101280000005</v>
      </c>
      <c r="L33" s="47">
        <f t="shared" si="3"/>
        <v>-8.5369632844065776E-2</v>
      </c>
    </row>
    <row r="34" spans="2:12" x14ac:dyDescent="0.2">
      <c r="B34" s="44" t="str">
        <f>Rates!B225</f>
        <v>OCEB</v>
      </c>
      <c r="C34" s="41">
        <f>Rates!E225</f>
        <v>-0.1</v>
      </c>
      <c r="D34" s="35"/>
      <c r="E34" s="42">
        <f>E33*C34</f>
        <v>-20.215737968000003</v>
      </c>
      <c r="F34" s="45"/>
      <c r="G34" s="41">
        <f>Rates!I225</f>
        <v>-0.1</v>
      </c>
      <c r="H34" s="35"/>
      <c r="I34" s="42">
        <f>I33*G34</f>
        <v>-18.489927840000004</v>
      </c>
      <c r="J34" s="45"/>
      <c r="K34" s="36">
        <f t="shared" si="2"/>
        <v>1.7258101279999991</v>
      </c>
      <c r="L34" s="47">
        <f t="shared" si="3"/>
        <v>-8.5369632844065707E-2</v>
      </c>
    </row>
    <row r="35" spans="2:12" ht="13.5" thickBot="1" x14ac:dyDescent="0.25">
      <c r="B35" s="30" t="s">
        <v>68</v>
      </c>
      <c r="C35" s="57"/>
      <c r="D35" s="57"/>
      <c r="E35" s="58">
        <f>E33+E34</f>
        <v>181.94164171200001</v>
      </c>
      <c r="F35" s="59"/>
      <c r="G35" s="57"/>
      <c r="H35" s="57"/>
      <c r="I35" s="58">
        <f>I33+I34</f>
        <v>166.40935056000001</v>
      </c>
      <c r="J35" s="59"/>
      <c r="K35" s="60">
        <f t="shared" si="2"/>
        <v>-15.532291151999999</v>
      </c>
      <c r="L35" s="61">
        <f t="shared" si="3"/>
        <v>-8.5369632844065749E-2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5"/>
  <sheetViews>
    <sheetView showGridLines="0" workbookViewId="0">
      <selection activeCell="G20" sqref="G20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Rates!B46</f>
        <v xml:space="preserve">Sentinel Lighting 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60</v>
      </c>
    </row>
    <row r="8" spans="2:12" x14ac:dyDescent="0.2">
      <c r="B8" s="28" t="s">
        <v>72</v>
      </c>
      <c r="C8" s="62">
        <v>0.2</v>
      </c>
    </row>
    <row r="9" spans="2:12" ht="13.5" thickBot="1" x14ac:dyDescent="0.25">
      <c r="B9" s="30" t="s">
        <v>73</v>
      </c>
      <c r="C9" s="31">
        <f>IF(C8=0,"n/a",C7/(C8*24*365/12))</f>
        <v>0.41095890410958896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Rates!E47</f>
        <v>5</v>
      </c>
      <c r="D14" s="37">
        <f>C6</f>
        <v>1</v>
      </c>
      <c r="E14" s="36">
        <f>C14*D14</f>
        <v>5</v>
      </c>
      <c r="F14" s="45"/>
      <c r="G14" s="36">
        <f>Rates!I47</f>
        <v>5.04</v>
      </c>
      <c r="H14" s="37">
        <f>D14</f>
        <v>1</v>
      </c>
      <c r="I14" s="36">
        <f>G14*H14</f>
        <v>5.04</v>
      </c>
      <c r="J14" s="45"/>
      <c r="K14" s="36">
        <f>I14-E14</f>
        <v>4.0000000000000036E-2</v>
      </c>
      <c r="L14" s="47">
        <f>IF((E14)=0," ",K14/E14)</f>
        <v>8.0000000000000071E-3</v>
      </c>
    </row>
    <row r="15" spans="2:12" x14ac:dyDescent="0.2">
      <c r="B15" s="44" t="str">
        <f>Rates!B7</f>
        <v>Distribution Volumetric Rate</v>
      </c>
      <c r="C15" s="25">
        <f>Rates!E48</f>
        <v>5.0088999999999997</v>
      </c>
      <c r="D15" s="38">
        <f>C8</f>
        <v>0.2</v>
      </c>
      <c r="E15" s="36">
        <f t="shared" ref="E15" si="0">C15*D15</f>
        <v>1.0017799999999999</v>
      </c>
      <c r="F15" s="45"/>
      <c r="G15" s="25">
        <f>Rates!I48</f>
        <v>4.9728000000000003</v>
      </c>
      <c r="H15" s="38">
        <f>D15</f>
        <v>0.2</v>
      </c>
      <c r="I15" s="36">
        <f t="shared" ref="I15" si="1">G15*H15</f>
        <v>0.99456000000000011</v>
      </c>
      <c r="J15" s="45"/>
      <c r="K15" s="36">
        <f t="shared" ref="K15:K35" si="2">I15-E15</f>
        <v>-7.2199999999997821E-3</v>
      </c>
      <c r="L15" s="47">
        <f t="shared" ref="L15:L35" si="3">IF((E15)=0," ",K15/E15)</f>
        <v>-7.2071712352011251E-3</v>
      </c>
    </row>
    <row r="16" spans="2:12" x14ac:dyDescent="0.2">
      <c r="B16" s="49" t="s">
        <v>40</v>
      </c>
      <c r="C16" s="50"/>
      <c r="D16" s="51"/>
      <c r="E16" s="52">
        <f>SUM(E14:E15)</f>
        <v>6.0017800000000001</v>
      </c>
      <c r="F16" s="53"/>
      <c r="G16" s="50"/>
      <c r="H16" s="51"/>
      <c r="I16" s="52">
        <f>SUM(I14:I15)</f>
        <v>6.0345599999999999</v>
      </c>
      <c r="J16" s="53"/>
      <c r="K16" s="54">
        <f t="shared" si="2"/>
        <v>3.2779999999999809E-2</v>
      </c>
      <c r="L16" s="55">
        <f t="shared" si="3"/>
        <v>5.4617130251358448E-3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3.2520000000000016</v>
      </c>
      <c r="E17" s="36">
        <f t="shared" ref="E17:E20" si="4">C17*D17</f>
        <v>0.27284280000000016</v>
      </c>
      <c r="F17" s="45"/>
      <c r="G17" s="25">
        <f>Rates!I221</f>
        <v>8.3900000000000002E-2</v>
      </c>
      <c r="H17" s="40">
        <f>(C5-1)*C7</f>
        <v>3.2520000000000016</v>
      </c>
      <c r="I17" s="36">
        <f t="shared" ref="I17:I20" si="5">G17*H17</f>
        <v>0.27284280000000016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Rates!E50</f>
        <v>0.14929999999999999</v>
      </c>
      <c r="D18" s="91">
        <f>C8</f>
        <v>0.2</v>
      </c>
      <c r="E18" s="36">
        <f t="shared" si="4"/>
        <v>2.9859999999999998E-2</v>
      </c>
      <c r="F18" s="45"/>
      <c r="G18" s="25">
        <f>Rates!I50</f>
        <v>0.14929999999999999</v>
      </c>
      <c r="H18" s="91">
        <f t="shared" ref="H18:H20" si="6">D18</f>
        <v>0.2</v>
      </c>
      <c r="I18" s="36">
        <f t="shared" si="5"/>
        <v>2.9859999999999998E-2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Rates!E51</f>
        <v>0.56059999999999999</v>
      </c>
      <c r="D19" s="91">
        <f>C8</f>
        <v>0.2</v>
      </c>
      <c r="E19" s="36">
        <f t="shared" si="4"/>
        <v>0.11212</v>
      </c>
      <c r="F19" s="45"/>
      <c r="G19" s="25">
        <f>Rates!I51</f>
        <v>0.56059999999999999</v>
      </c>
      <c r="H19" s="91">
        <f t="shared" si="6"/>
        <v>0.2</v>
      </c>
      <c r="I19" s="36">
        <f t="shared" si="5"/>
        <v>0.11212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Rates!B10</f>
        <v>Low Voltage Service Rate</v>
      </c>
      <c r="C20" s="25">
        <f>Rates!E49</f>
        <v>5.4199999999999998E-2</v>
      </c>
      <c r="D20" s="91">
        <f>C8</f>
        <v>0.2</v>
      </c>
      <c r="E20" s="36">
        <f t="shared" si="4"/>
        <v>1.0840000000000001E-2</v>
      </c>
      <c r="F20" s="45"/>
      <c r="G20" s="25">
        <f>Rates!I49</f>
        <v>5.4199999999999998E-2</v>
      </c>
      <c r="H20" s="91">
        <f t="shared" si="6"/>
        <v>0.2</v>
      </c>
      <c r="I20" s="36">
        <f t="shared" si="5"/>
        <v>1.0840000000000001E-2</v>
      </c>
      <c r="J20" s="45"/>
      <c r="K20" s="36">
        <f t="shared" si="2"/>
        <v>0</v>
      </c>
      <c r="L20" s="47">
        <f t="shared" si="3"/>
        <v>0</v>
      </c>
    </row>
    <row r="21" spans="2:12" x14ac:dyDescent="0.2">
      <c r="B21" s="49" t="s">
        <v>64</v>
      </c>
      <c r="C21" s="50"/>
      <c r="D21" s="92"/>
      <c r="E21" s="52">
        <f>SUM(E16:E20)</f>
        <v>6.4274428000000006</v>
      </c>
      <c r="F21" s="53"/>
      <c r="G21" s="50"/>
      <c r="H21" s="92"/>
      <c r="I21" s="52">
        <f>SUM(I16:I20)</f>
        <v>6.4602228000000004</v>
      </c>
      <c r="J21" s="53"/>
      <c r="K21" s="54">
        <f t="shared" si="2"/>
        <v>3.2779999999999809E-2</v>
      </c>
      <c r="L21" s="55">
        <f t="shared" si="3"/>
        <v>5.1000064909173222E-3</v>
      </c>
    </row>
    <row r="22" spans="2:12" x14ac:dyDescent="0.2">
      <c r="B22" s="44" t="str">
        <f>Rates!B13</f>
        <v>Retail Transmission Rate - Network Service Rate</v>
      </c>
      <c r="C22" s="25">
        <f>Rates!E53</f>
        <v>2.0514000000000001</v>
      </c>
      <c r="D22" s="91">
        <f>C8</f>
        <v>0.2</v>
      </c>
      <c r="E22" s="36">
        <f>C22*D22</f>
        <v>0.41028000000000003</v>
      </c>
      <c r="F22" s="45"/>
      <c r="G22" s="25">
        <f>Rates!I53</f>
        <v>2.1646999999999998</v>
      </c>
      <c r="H22" s="91">
        <f>D22</f>
        <v>0.2</v>
      </c>
      <c r="I22" s="36">
        <f>G22*H22</f>
        <v>0.43293999999999999</v>
      </c>
      <c r="J22" s="45"/>
      <c r="K22" s="36">
        <f t="shared" si="2"/>
        <v>2.2659999999999958E-2</v>
      </c>
      <c r="L22" s="47">
        <f t="shared" si="3"/>
        <v>5.5230574241980981E-2</v>
      </c>
    </row>
    <row r="23" spans="2:12" x14ac:dyDescent="0.2">
      <c r="B23" s="44" t="str">
        <f>Rates!B14</f>
        <v>Retail Transmission Rate - Line and Transformation Connection Service Rate</v>
      </c>
      <c r="C23" s="25">
        <f>Rates!E54</f>
        <v>1.5559000000000001</v>
      </c>
      <c r="D23" s="91">
        <f>C8</f>
        <v>0.2</v>
      </c>
      <c r="E23" s="36">
        <f>C23*D23</f>
        <v>0.31118000000000001</v>
      </c>
      <c r="F23" s="45"/>
      <c r="G23" s="25">
        <f>Rates!I54</f>
        <v>1.5792999999999999</v>
      </c>
      <c r="H23" s="91">
        <f>D23</f>
        <v>0.2</v>
      </c>
      <c r="I23" s="36">
        <f>G23*H23</f>
        <v>0.31586000000000003</v>
      </c>
      <c r="J23" s="45"/>
      <c r="K23" s="36">
        <f t="shared" si="2"/>
        <v>4.6800000000000175E-3</v>
      </c>
      <c r="L23" s="47">
        <f t="shared" si="3"/>
        <v>1.5039526961887066E-2</v>
      </c>
    </row>
    <row r="24" spans="2:12" x14ac:dyDescent="0.2">
      <c r="B24" s="49" t="s">
        <v>65</v>
      </c>
      <c r="C24" s="50"/>
      <c r="D24" s="51"/>
      <c r="E24" s="52">
        <f>SUM(E21:E23)</f>
        <v>7.148902800000001</v>
      </c>
      <c r="F24" s="53"/>
      <c r="G24" s="50"/>
      <c r="H24" s="52"/>
      <c r="I24" s="52">
        <f>SUM(I21:I23)</f>
        <v>7.2090228000000005</v>
      </c>
      <c r="J24" s="53"/>
      <c r="K24" s="54">
        <f t="shared" si="2"/>
        <v>6.0119999999999507E-2</v>
      </c>
      <c r="L24" s="55">
        <f t="shared" si="3"/>
        <v>8.4096821123375038E-3</v>
      </c>
    </row>
    <row r="25" spans="2:12" x14ac:dyDescent="0.2">
      <c r="B25" s="44" t="str">
        <f>Rates!B199</f>
        <v>Wholesale Market Service Rate</v>
      </c>
      <c r="C25" s="25">
        <f>Rates!E199</f>
        <v>4.4000000000000003E-3</v>
      </c>
      <c r="D25" s="37">
        <f>C5*C7</f>
        <v>63.252000000000002</v>
      </c>
      <c r="E25" s="36">
        <f t="shared" ref="E25:E29" si="7">C25*D25</f>
        <v>0.27830880000000002</v>
      </c>
      <c r="F25" s="45"/>
      <c r="G25" s="25">
        <f>Rates!I199</f>
        <v>4.4000000000000003E-3</v>
      </c>
      <c r="H25" s="37">
        <f>D25</f>
        <v>63.252000000000002</v>
      </c>
      <c r="I25" s="36">
        <f t="shared" ref="I25:I29" si="8">G25*H25</f>
        <v>0.27830880000000002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Rates!B200</f>
        <v>Rural Rate Protection Charge</v>
      </c>
      <c r="C26" s="25">
        <f>Rates!E200</f>
        <v>1.1999999999999999E-3</v>
      </c>
      <c r="D26" s="37">
        <f>C5*C7</f>
        <v>63.252000000000002</v>
      </c>
      <c r="E26" s="36">
        <f t="shared" si="7"/>
        <v>7.5902399999999995E-2</v>
      </c>
      <c r="F26" s="45"/>
      <c r="G26" s="25">
        <f>Rates!I200</f>
        <v>1.1999999999999999E-3</v>
      </c>
      <c r="H26" s="37">
        <f t="shared" ref="H26:H27" si="9">D26</f>
        <v>63.252000000000002</v>
      </c>
      <c r="I26" s="36">
        <f t="shared" si="8"/>
        <v>7.5902399999999995E-2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Rates!B201</f>
        <v>Standard Supply Service - Administrative Charge (if applicable)</v>
      </c>
      <c r="C27" s="36">
        <f>Rates!E201</f>
        <v>0.25</v>
      </c>
      <c r="D27" s="37">
        <v>1</v>
      </c>
      <c r="E27" s="36">
        <f t="shared" si="7"/>
        <v>0.25</v>
      </c>
      <c r="F27" s="45"/>
      <c r="G27" s="36">
        <f>Rates!I201</f>
        <v>0.25</v>
      </c>
      <c r="H27" s="37">
        <f t="shared" si="9"/>
        <v>1</v>
      </c>
      <c r="I27" s="36">
        <f t="shared" si="8"/>
        <v>0.25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Rates!B204</f>
        <v>Debt Retirement Charge</v>
      </c>
      <c r="C28" s="25">
        <f>Rates!E205</f>
        <v>0</v>
      </c>
      <c r="D28" s="37">
        <f>C7</f>
        <v>60</v>
      </c>
      <c r="E28" s="36">
        <f t="shared" si="7"/>
        <v>0</v>
      </c>
      <c r="F28" s="45"/>
      <c r="G28" s="25">
        <f>Rates!I205</f>
        <v>0</v>
      </c>
      <c r="H28" s="37">
        <f>D28</f>
        <v>60</v>
      </c>
      <c r="I28" s="36">
        <f t="shared" si="8"/>
        <v>0</v>
      </c>
      <c r="J28" s="45"/>
      <c r="K28" s="36">
        <f t="shared" si="2"/>
        <v>0</v>
      </c>
      <c r="L28" s="47" t="str">
        <f t="shared" si="3"/>
        <v xml:space="preserve"> </v>
      </c>
    </row>
    <row r="29" spans="2:12" x14ac:dyDescent="0.2">
      <c r="B29" s="44" t="str">
        <f>Rates!B221</f>
        <v>Energy Price</v>
      </c>
      <c r="C29" s="25">
        <f>Rates!E221</f>
        <v>8.3900000000000002E-2</v>
      </c>
      <c r="D29" s="37">
        <f>C7*0.64</f>
        <v>38.4</v>
      </c>
      <c r="E29" s="36">
        <f t="shared" si="7"/>
        <v>3.2217600000000002</v>
      </c>
      <c r="F29" s="45"/>
      <c r="G29" s="25">
        <f>Rates!I221</f>
        <v>8.3900000000000002E-2</v>
      </c>
      <c r="H29" s="37">
        <f>D29</f>
        <v>38.4</v>
      </c>
      <c r="I29" s="36">
        <f t="shared" si="8"/>
        <v>3.2217600000000002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56"/>
      <c r="C30" s="51"/>
      <c r="D30" s="51"/>
      <c r="E30" s="51"/>
      <c r="F30" s="53"/>
      <c r="G30" s="51"/>
      <c r="H30" s="51"/>
      <c r="I30" s="51"/>
      <c r="J30" s="53"/>
      <c r="K30" s="54"/>
      <c r="L30" s="55"/>
    </row>
    <row r="31" spans="2:12" x14ac:dyDescent="0.2">
      <c r="B31" s="23" t="s">
        <v>66</v>
      </c>
      <c r="C31" s="35"/>
      <c r="D31" s="35"/>
      <c r="E31" s="39">
        <f>SUM(E24:E29)</f>
        <v>10.974874000000002</v>
      </c>
      <c r="F31" s="45"/>
      <c r="G31" s="35"/>
      <c r="H31" s="39"/>
      <c r="I31" s="39">
        <f>SUM(I24:I29)</f>
        <v>11.034994000000001</v>
      </c>
      <c r="J31" s="45"/>
      <c r="K31" s="36">
        <f t="shared" si="2"/>
        <v>6.0119999999999507E-2</v>
      </c>
      <c r="L31" s="47">
        <f t="shared" si="3"/>
        <v>5.4779672185757662E-3</v>
      </c>
    </row>
    <row r="32" spans="2:12" x14ac:dyDescent="0.2">
      <c r="B32" s="44" t="str">
        <f>Rates!B223</f>
        <v>HST</v>
      </c>
      <c r="C32" s="41">
        <f>Rates!E223</f>
        <v>0.13</v>
      </c>
      <c r="D32" s="35"/>
      <c r="E32" s="42">
        <f>E31*C32</f>
        <v>1.4267336200000003</v>
      </c>
      <c r="F32" s="45"/>
      <c r="G32" s="41">
        <f>Rates!I223</f>
        <v>0.13</v>
      </c>
      <c r="H32" s="35"/>
      <c r="I32" s="42">
        <f>I31*G32</f>
        <v>1.4345492200000003</v>
      </c>
      <c r="J32" s="45"/>
      <c r="K32" s="36">
        <f t="shared" si="2"/>
        <v>7.8156000000000336E-3</v>
      </c>
      <c r="L32" s="47">
        <f t="shared" si="3"/>
        <v>5.4779672185758348E-3</v>
      </c>
    </row>
    <row r="33" spans="2:12" x14ac:dyDescent="0.2">
      <c r="B33" s="23" t="s">
        <v>67</v>
      </c>
      <c r="C33" s="35"/>
      <c r="D33" s="35"/>
      <c r="E33" s="42">
        <f>E31+E32</f>
        <v>12.401607620000002</v>
      </c>
      <c r="F33" s="45"/>
      <c r="G33" s="35"/>
      <c r="H33" s="35"/>
      <c r="I33" s="42">
        <f>I31+I32</f>
        <v>12.469543220000002</v>
      </c>
      <c r="J33" s="45"/>
      <c r="K33" s="36">
        <f t="shared" si="2"/>
        <v>6.7935600000000207E-2</v>
      </c>
      <c r="L33" s="47">
        <f t="shared" si="3"/>
        <v>5.4779672185758278E-3</v>
      </c>
    </row>
    <row r="34" spans="2:12" x14ac:dyDescent="0.2">
      <c r="B34" s="44" t="str">
        <f>Rates!B225</f>
        <v>OCEB</v>
      </c>
      <c r="C34" s="41">
        <f>Rates!E225</f>
        <v>-0.1</v>
      </c>
      <c r="D34" s="35"/>
      <c r="E34" s="42">
        <f>E33*C34</f>
        <v>-1.2401607620000004</v>
      </c>
      <c r="F34" s="45"/>
      <c r="G34" s="41">
        <f>Rates!I225</f>
        <v>-0.1</v>
      </c>
      <c r="H34" s="35"/>
      <c r="I34" s="42">
        <f>I33*G34</f>
        <v>-1.2469543220000003</v>
      </c>
      <c r="J34" s="45"/>
      <c r="K34" s="36">
        <f t="shared" si="2"/>
        <v>-6.7935599999999763E-3</v>
      </c>
      <c r="L34" s="47">
        <f t="shared" si="3"/>
        <v>5.4779672185757914E-3</v>
      </c>
    </row>
    <row r="35" spans="2:12" ht="13.5" thickBot="1" x14ac:dyDescent="0.25">
      <c r="B35" s="30" t="s">
        <v>68</v>
      </c>
      <c r="C35" s="57"/>
      <c r="D35" s="57"/>
      <c r="E35" s="58">
        <f>E33+E34</f>
        <v>11.161446858000001</v>
      </c>
      <c r="F35" s="59"/>
      <c r="G35" s="57"/>
      <c r="H35" s="57"/>
      <c r="I35" s="58">
        <f>I33+I34</f>
        <v>11.222588898000001</v>
      </c>
      <c r="J35" s="59"/>
      <c r="K35" s="60">
        <f t="shared" si="2"/>
        <v>6.1142040000000009E-2</v>
      </c>
      <c r="L35" s="61">
        <f t="shared" si="3"/>
        <v>5.4779672185758122E-3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35"/>
  <sheetViews>
    <sheetView showGridLines="0" topLeftCell="A4" workbookViewId="0">
      <selection activeCell="L29" sqref="L29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Rates!B3</f>
        <v>CNPI - Fort Erie</v>
      </c>
    </row>
    <row r="3" spans="2:12" ht="15.75" x14ac:dyDescent="0.25">
      <c r="B3" s="24" t="str">
        <f>Rates!B56</f>
        <v>Street Lighting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3600</v>
      </c>
    </row>
    <row r="7" spans="2:12" x14ac:dyDescent="0.2">
      <c r="B7" s="28" t="s">
        <v>71</v>
      </c>
      <c r="C7" s="29">
        <v>172000</v>
      </c>
    </row>
    <row r="8" spans="2:12" x14ac:dyDescent="0.2">
      <c r="B8" s="28" t="s">
        <v>72</v>
      </c>
      <c r="C8" s="62">
        <v>490</v>
      </c>
    </row>
    <row r="9" spans="2:12" ht="13.5" thickBot="1" x14ac:dyDescent="0.25">
      <c r="B9" s="30" t="s">
        <v>73</v>
      </c>
      <c r="C9" s="31">
        <f>IF(C8=0,"n/a",C7/(C8*24*365/12))</f>
        <v>0.48084987419625386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Rates!E57</f>
        <v>5.53</v>
      </c>
      <c r="D14" s="37">
        <f>C6</f>
        <v>3600</v>
      </c>
      <c r="E14" s="36">
        <f>C14*D14</f>
        <v>19908</v>
      </c>
      <c r="F14" s="45"/>
      <c r="G14" s="36">
        <f>Rates!I57</f>
        <v>5.31</v>
      </c>
      <c r="H14" s="37">
        <f>D14</f>
        <v>3600</v>
      </c>
      <c r="I14" s="36">
        <f>G14*H14</f>
        <v>19116</v>
      </c>
      <c r="J14" s="45"/>
      <c r="K14" s="36">
        <f>I14-E14</f>
        <v>-792</v>
      </c>
      <c r="L14" s="47">
        <f>IF((E14)=0," ",K14/E14)</f>
        <v>-3.9783001808318265E-2</v>
      </c>
    </row>
    <row r="15" spans="2:12" x14ac:dyDescent="0.2">
      <c r="B15" s="44" t="str">
        <f>Rates!B7</f>
        <v>Distribution Volumetric Rate</v>
      </c>
      <c r="C15" s="25">
        <f>Rates!E58</f>
        <v>9.8094000000000001</v>
      </c>
      <c r="D15" s="38">
        <f>C8</f>
        <v>490</v>
      </c>
      <c r="E15" s="36">
        <f t="shared" ref="E15" si="0">C15*D15</f>
        <v>4806.6059999999998</v>
      </c>
      <c r="F15" s="45"/>
      <c r="G15" s="25">
        <f>Rates!I58</f>
        <v>10.0427</v>
      </c>
      <c r="H15" s="38">
        <f>D15</f>
        <v>490</v>
      </c>
      <c r="I15" s="36">
        <f t="shared" ref="I15" si="1">G15*H15</f>
        <v>4920.9229999999998</v>
      </c>
      <c r="J15" s="45"/>
      <c r="K15" s="36">
        <f t="shared" ref="K15:K35" si="2">I15-E15</f>
        <v>114.31700000000001</v>
      </c>
      <c r="L15" s="47">
        <f t="shared" ref="L15:L35" si="3">IF((E15)=0," ",K15/E15)</f>
        <v>2.3783309886435462E-2</v>
      </c>
    </row>
    <row r="16" spans="2:12" x14ac:dyDescent="0.2">
      <c r="B16" s="49" t="s">
        <v>40</v>
      </c>
      <c r="C16" s="50"/>
      <c r="D16" s="51"/>
      <c r="E16" s="52">
        <f>SUM(E14:E15)</f>
        <v>24714.606</v>
      </c>
      <c r="F16" s="53"/>
      <c r="G16" s="50"/>
      <c r="H16" s="51"/>
      <c r="I16" s="52">
        <f>SUM(I14:I15)</f>
        <v>24036.922999999999</v>
      </c>
      <c r="J16" s="53"/>
      <c r="K16" s="54">
        <f t="shared" si="2"/>
        <v>-677.6830000000009</v>
      </c>
      <c r="L16" s="55">
        <f t="shared" si="3"/>
        <v>-2.7420344066986173E-2</v>
      </c>
    </row>
    <row r="17" spans="2:12" x14ac:dyDescent="0.2">
      <c r="B17" s="28" t="s">
        <v>41</v>
      </c>
      <c r="C17" s="25">
        <f>Rates!E221</f>
        <v>8.3900000000000002E-2</v>
      </c>
      <c r="D17" s="40">
        <f>(C5-1)*C7</f>
        <v>9322.4000000000051</v>
      </c>
      <c r="E17" s="36">
        <f t="shared" ref="E17:E20" si="4">C17*D17</f>
        <v>782.14936000000046</v>
      </c>
      <c r="F17" s="45"/>
      <c r="G17" s="25">
        <f>Rates!I221</f>
        <v>8.3900000000000002E-2</v>
      </c>
      <c r="H17" s="40">
        <f>(C5-1)*C7</f>
        <v>9322.4000000000051</v>
      </c>
      <c r="I17" s="36">
        <f t="shared" ref="I17:I20" si="5">G17*H17</f>
        <v>782.14936000000046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4" t="str">
        <f>Rates!B11</f>
        <v>Rate Rider for Deferral/Variance Account Disposition (2013) - effective until December 31, 2014</v>
      </c>
      <c r="C18" s="25">
        <f>Rates!E60</f>
        <v>0.13650000000000001</v>
      </c>
      <c r="D18" s="37">
        <f>C8</f>
        <v>490</v>
      </c>
      <c r="E18" s="36">
        <f t="shared" si="4"/>
        <v>66.885000000000005</v>
      </c>
      <c r="F18" s="45"/>
      <c r="G18" s="25">
        <f>Rates!I60</f>
        <v>0.13650000000000001</v>
      </c>
      <c r="H18" s="37">
        <f t="shared" ref="H18:H20" si="6">D18</f>
        <v>490</v>
      </c>
      <c r="I18" s="36">
        <f t="shared" si="5"/>
        <v>66.885000000000005</v>
      </c>
      <c r="J18" s="45"/>
      <c r="K18" s="36">
        <f t="shared" si="2"/>
        <v>0</v>
      </c>
      <c r="L18" s="47">
        <f t="shared" si="3"/>
        <v>0</v>
      </c>
    </row>
    <row r="19" spans="2:12" ht="25.5" x14ac:dyDescent="0.2">
      <c r="B19" s="48" t="str">
        <f>Rates!B12</f>
        <v>Rate Rider for Global Adjustment Sub-Account Disposition (2013) - effective until December 31, 2014 Applicable only for Non-RPP Customers</v>
      </c>
      <c r="C19" s="25">
        <f>Rates!E61</f>
        <v>0.61319999999999997</v>
      </c>
      <c r="D19" s="37">
        <f>C8</f>
        <v>490</v>
      </c>
      <c r="E19" s="36">
        <f t="shared" si="4"/>
        <v>300.46799999999996</v>
      </c>
      <c r="F19" s="45"/>
      <c r="G19" s="25">
        <f>Rates!I61</f>
        <v>0.61319999999999997</v>
      </c>
      <c r="H19" s="37">
        <f t="shared" si="6"/>
        <v>490</v>
      </c>
      <c r="I19" s="36">
        <f t="shared" si="5"/>
        <v>300.46799999999996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Rates!B10</f>
        <v>Low Voltage Service Rate</v>
      </c>
      <c r="C20" s="25">
        <f>Rates!E59</f>
        <v>5.0700000000000002E-2</v>
      </c>
      <c r="D20" s="37">
        <f>C8</f>
        <v>490</v>
      </c>
      <c r="E20" s="36">
        <f t="shared" si="4"/>
        <v>24.843</v>
      </c>
      <c r="F20" s="45"/>
      <c r="G20" s="25">
        <f>Rates!I59</f>
        <v>5.0700000000000002E-2</v>
      </c>
      <c r="H20" s="37">
        <f t="shared" si="6"/>
        <v>490</v>
      </c>
      <c r="I20" s="36">
        <f t="shared" si="5"/>
        <v>24.843</v>
      </c>
      <c r="J20" s="45"/>
      <c r="K20" s="36">
        <f t="shared" si="2"/>
        <v>0</v>
      </c>
      <c r="L20" s="47">
        <f t="shared" si="3"/>
        <v>0</v>
      </c>
    </row>
    <row r="21" spans="2:12" x14ac:dyDescent="0.2">
      <c r="B21" s="49" t="s">
        <v>64</v>
      </c>
      <c r="C21" s="50"/>
      <c r="D21" s="51"/>
      <c r="E21" s="52">
        <f>SUM(E16:E20)</f>
        <v>25888.951359999999</v>
      </c>
      <c r="F21" s="53"/>
      <c r="G21" s="50"/>
      <c r="H21" s="51"/>
      <c r="I21" s="52">
        <f>SUM(I16:I20)</f>
        <v>25211.268359999998</v>
      </c>
      <c r="J21" s="53"/>
      <c r="K21" s="54">
        <f t="shared" si="2"/>
        <v>-677.6830000000009</v>
      </c>
      <c r="L21" s="55">
        <f t="shared" si="3"/>
        <v>-2.6176533401312742E-2</v>
      </c>
    </row>
    <row r="22" spans="2:12" x14ac:dyDescent="0.2">
      <c r="B22" s="44" t="str">
        <f>Rates!B13</f>
        <v>Retail Transmission Rate - Network Service Rate</v>
      </c>
      <c r="C22" s="25">
        <f>Rates!E63</f>
        <v>1.7817000000000001</v>
      </c>
      <c r="D22" s="37">
        <f>C8</f>
        <v>490</v>
      </c>
      <c r="E22" s="36">
        <f>C22*D22</f>
        <v>873.03300000000002</v>
      </c>
      <c r="F22" s="45"/>
      <c r="G22" s="25">
        <f>Rates!I63</f>
        <v>1.8801000000000001</v>
      </c>
      <c r="H22" s="37">
        <f>D22</f>
        <v>490</v>
      </c>
      <c r="I22" s="36">
        <f>G22*H22</f>
        <v>921.24900000000002</v>
      </c>
      <c r="J22" s="45"/>
      <c r="K22" s="36">
        <f t="shared" si="2"/>
        <v>48.216000000000008</v>
      </c>
      <c r="L22" s="47">
        <f t="shared" si="3"/>
        <v>5.5228152887691541E-2</v>
      </c>
    </row>
    <row r="23" spans="2:12" x14ac:dyDescent="0.2">
      <c r="B23" s="44" t="str">
        <f>Rates!B14</f>
        <v>Retail Transmission Rate - Line and Transformation Connection Service Rate</v>
      </c>
      <c r="C23" s="25">
        <f>Rates!E64</f>
        <v>1.4547000000000001</v>
      </c>
      <c r="D23" s="37">
        <f>C8</f>
        <v>490</v>
      </c>
      <c r="E23" s="36">
        <f>C23*D23</f>
        <v>712.803</v>
      </c>
      <c r="F23" s="45"/>
      <c r="G23" s="25">
        <f>Rates!I64</f>
        <v>1.4765999999999999</v>
      </c>
      <c r="H23" s="37">
        <f>D23</f>
        <v>490</v>
      </c>
      <c r="I23" s="36">
        <f>G23*H23</f>
        <v>723.53399999999999</v>
      </c>
      <c r="J23" s="45"/>
      <c r="K23" s="36">
        <f t="shared" si="2"/>
        <v>10.730999999999995</v>
      </c>
      <c r="L23" s="47">
        <f t="shared" si="3"/>
        <v>1.5054650443390383E-2</v>
      </c>
    </row>
    <row r="24" spans="2:12" x14ac:dyDescent="0.2">
      <c r="B24" s="49" t="s">
        <v>65</v>
      </c>
      <c r="C24" s="50"/>
      <c r="D24" s="51"/>
      <c r="E24" s="52">
        <f>SUM(E21:E23)</f>
        <v>27474.787359999998</v>
      </c>
      <c r="F24" s="53"/>
      <c r="G24" s="50"/>
      <c r="H24" s="52"/>
      <c r="I24" s="52">
        <f>SUM(I21:I23)</f>
        <v>26856.051359999998</v>
      </c>
      <c r="J24" s="53"/>
      <c r="K24" s="54">
        <f t="shared" si="2"/>
        <v>-618.73600000000079</v>
      </c>
      <c r="L24" s="55">
        <f t="shared" si="3"/>
        <v>-2.2520137895618669E-2</v>
      </c>
    </row>
    <row r="25" spans="2:12" x14ac:dyDescent="0.2">
      <c r="B25" s="44" t="str">
        <f>Rates!B199</f>
        <v>Wholesale Market Service Rate</v>
      </c>
      <c r="C25" s="25">
        <f>Rates!E199</f>
        <v>4.4000000000000003E-3</v>
      </c>
      <c r="D25" s="37">
        <f>C5*C7</f>
        <v>181322.4</v>
      </c>
      <c r="E25" s="36">
        <f t="shared" ref="E25:E29" si="7">C25*D25</f>
        <v>797.81856000000005</v>
      </c>
      <c r="F25" s="45"/>
      <c r="G25" s="25">
        <f>Rates!I199</f>
        <v>4.4000000000000003E-3</v>
      </c>
      <c r="H25" s="37">
        <f>D25</f>
        <v>181322.4</v>
      </c>
      <c r="I25" s="36">
        <f t="shared" ref="I25:I29" si="8">G25*H25</f>
        <v>797.81856000000005</v>
      </c>
      <c r="J25" s="45"/>
      <c r="K25" s="36">
        <f t="shared" si="2"/>
        <v>0</v>
      </c>
      <c r="L25" s="47">
        <f t="shared" si="3"/>
        <v>0</v>
      </c>
    </row>
    <row r="26" spans="2:12" x14ac:dyDescent="0.2">
      <c r="B26" s="44" t="str">
        <f>Rates!B200</f>
        <v>Rural Rate Protection Charge</v>
      </c>
      <c r="C26" s="25">
        <f>Rates!E200</f>
        <v>1.1999999999999999E-3</v>
      </c>
      <c r="D26" s="37">
        <f>C5*C7</f>
        <v>181322.4</v>
      </c>
      <c r="E26" s="36">
        <f t="shared" si="7"/>
        <v>217.58687999999998</v>
      </c>
      <c r="F26" s="45"/>
      <c r="G26" s="25">
        <f>Rates!I200</f>
        <v>1.1999999999999999E-3</v>
      </c>
      <c r="H26" s="37">
        <f t="shared" ref="H26:H27" si="9">D26</f>
        <v>181322.4</v>
      </c>
      <c r="I26" s="36">
        <f t="shared" si="8"/>
        <v>217.58687999999998</v>
      </c>
      <c r="J26" s="45"/>
      <c r="K26" s="36">
        <f t="shared" si="2"/>
        <v>0</v>
      </c>
      <c r="L26" s="47">
        <f t="shared" si="3"/>
        <v>0</v>
      </c>
    </row>
    <row r="27" spans="2:12" x14ac:dyDescent="0.2">
      <c r="B27" s="44" t="str">
        <f>Rates!B201</f>
        <v>Standard Supply Service - Administrative Charge (if applicable)</v>
      </c>
      <c r="C27" s="36">
        <f>Rates!E201</f>
        <v>0.25</v>
      </c>
      <c r="D27" s="37">
        <v>1</v>
      </c>
      <c r="E27" s="36">
        <f t="shared" si="7"/>
        <v>0.25</v>
      </c>
      <c r="F27" s="45"/>
      <c r="G27" s="36">
        <f>Rates!I201</f>
        <v>0.25</v>
      </c>
      <c r="H27" s="37">
        <f t="shared" si="9"/>
        <v>1</v>
      </c>
      <c r="I27" s="36">
        <f t="shared" si="8"/>
        <v>0.25</v>
      </c>
      <c r="J27" s="45"/>
      <c r="K27" s="36">
        <f t="shared" si="2"/>
        <v>0</v>
      </c>
      <c r="L27" s="47">
        <f t="shared" si="3"/>
        <v>0</v>
      </c>
    </row>
    <row r="28" spans="2:12" x14ac:dyDescent="0.2">
      <c r="B28" s="44" t="str">
        <f>Rates!B204</f>
        <v>Debt Retirement Charge</v>
      </c>
      <c r="C28" s="25">
        <f>Rates!E205</f>
        <v>0</v>
      </c>
      <c r="D28" s="37">
        <f>C7</f>
        <v>172000</v>
      </c>
      <c r="E28" s="36">
        <f t="shared" si="7"/>
        <v>0</v>
      </c>
      <c r="F28" s="45"/>
      <c r="G28" s="25">
        <f>Rates!I205</f>
        <v>0</v>
      </c>
      <c r="H28" s="37">
        <f>D28</f>
        <v>172000</v>
      </c>
      <c r="I28" s="36">
        <f t="shared" si="8"/>
        <v>0</v>
      </c>
      <c r="J28" s="45"/>
      <c r="K28" s="36">
        <f t="shared" si="2"/>
        <v>0</v>
      </c>
      <c r="L28" s="47" t="str">
        <f t="shared" si="3"/>
        <v xml:space="preserve"> </v>
      </c>
    </row>
    <row r="29" spans="2:12" x14ac:dyDescent="0.2">
      <c r="B29" s="44" t="str">
        <f>Rates!B221</f>
        <v>Energy Price</v>
      </c>
      <c r="C29" s="25">
        <f>Rates!E221</f>
        <v>8.3900000000000002E-2</v>
      </c>
      <c r="D29" s="37">
        <f>C7</f>
        <v>172000</v>
      </c>
      <c r="E29" s="36">
        <f t="shared" si="7"/>
        <v>14430.800000000001</v>
      </c>
      <c r="F29" s="45"/>
      <c r="G29" s="25">
        <f>Rates!I221</f>
        <v>8.3900000000000002E-2</v>
      </c>
      <c r="H29" s="37">
        <f>D29</f>
        <v>172000</v>
      </c>
      <c r="I29" s="36">
        <f t="shared" si="8"/>
        <v>14430.800000000001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56"/>
      <c r="C30" s="51"/>
      <c r="D30" s="51"/>
      <c r="E30" s="51"/>
      <c r="F30" s="53"/>
      <c r="G30" s="51"/>
      <c r="H30" s="51"/>
      <c r="I30" s="51"/>
      <c r="J30" s="53"/>
      <c r="K30" s="54"/>
      <c r="L30" s="55"/>
    </row>
    <row r="31" spans="2:12" x14ac:dyDescent="0.2">
      <c r="B31" s="23" t="s">
        <v>66</v>
      </c>
      <c r="C31" s="35"/>
      <c r="D31" s="35"/>
      <c r="E31" s="39">
        <f>SUM(E24:E29)</f>
        <v>42921.2428</v>
      </c>
      <c r="F31" s="45"/>
      <c r="G31" s="35"/>
      <c r="H31" s="39"/>
      <c r="I31" s="39">
        <f>SUM(I24:I29)</f>
        <v>42302.506799999996</v>
      </c>
      <c r="J31" s="45"/>
      <c r="K31" s="36">
        <f t="shared" si="2"/>
        <v>-618.73600000000442</v>
      </c>
      <c r="L31" s="47">
        <f t="shared" si="3"/>
        <v>-1.4415612401605585E-2</v>
      </c>
    </row>
    <row r="32" spans="2:12" x14ac:dyDescent="0.2">
      <c r="B32" s="44" t="str">
        <f>Rates!B223</f>
        <v>HST</v>
      </c>
      <c r="C32" s="41">
        <f>Rates!E223</f>
        <v>0.13</v>
      </c>
      <c r="D32" s="35"/>
      <c r="E32" s="42">
        <f>E31*C32</f>
        <v>5579.7615640000004</v>
      </c>
      <c r="F32" s="45"/>
      <c r="G32" s="41">
        <f>Rates!I223</f>
        <v>0.13</v>
      </c>
      <c r="H32" s="35"/>
      <c r="I32" s="42">
        <f>I31*G32</f>
        <v>5499.3258839999999</v>
      </c>
      <c r="J32" s="45"/>
      <c r="K32" s="36">
        <f t="shared" si="2"/>
        <v>-80.435680000000502</v>
      </c>
      <c r="L32" s="47">
        <f t="shared" si="3"/>
        <v>-1.4415612401605571E-2</v>
      </c>
    </row>
    <row r="33" spans="2:12" x14ac:dyDescent="0.2">
      <c r="B33" s="23" t="s">
        <v>67</v>
      </c>
      <c r="C33" s="35"/>
      <c r="D33" s="35"/>
      <c r="E33" s="42">
        <f>E31+E32</f>
        <v>48501.004364</v>
      </c>
      <c r="F33" s="45"/>
      <c r="G33" s="35"/>
      <c r="H33" s="35"/>
      <c r="I33" s="42">
        <f>I31+I32</f>
        <v>47801.832683999994</v>
      </c>
      <c r="J33" s="45"/>
      <c r="K33" s="36">
        <f t="shared" si="2"/>
        <v>-699.17168000000675</v>
      </c>
      <c r="L33" s="47">
        <f t="shared" si="3"/>
        <v>-1.4415612401605622E-2</v>
      </c>
    </row>
    <row r="34" spans="2:12" x14ac:dyDescent="0.2">
      <c r="B34" s="44" t="str">
        <f>Rates!B225</f>
        <v>OCEB</v>
      </c>
      <c r="C34" s="41">
        <f>Rates!E225</f>
        <v>-0.1</v>
      </c>
      <c r="D34" s="35"/>
      <c r="E34" s="42">
        <f>E33*C34</f>
        <v>-4850.1004364</v>
      </c>
      <c r="F34" s="45"/>
      <c r="G34" s="41">
        <f>Rates!I225</f>
        <v>-0.1</v>
      </c>
      <c r="H34" s="35"/>
      <c r="I34" s="42">
        <f>I33*G34</f>
        <v>-4780.1832683999992</v>
      </c>
      <c r="J34" s="45"/>
      <c r="K34" s="36">
        <f t="shared" si="2"/>
        <v>69.917168000000856</v>
      </c>
      <c r="L34" s="47">
        <f t="shared" si="3"/>
        <v>-1.4415612401605658E-2</v>
      </c>
    </row>
    <row r="35" spans="2:12" ht="13.5" thickBot="1" x14ac:dyDescent="0.25">
      <c r="B35" s="30" t="s">
        <v>68</v>
      </c>
      <c r="C35" s="57"/>
      <c r="D35" s="57"/>
      <c r="E35" s="58">
        <f>E33+E34</f>
        <v>43650.903927599997</v>
      </c>
      <c r="F35" s="59"/>
      <c r="G35" s="57"/>
      <c r="H35" s="57"/>
      <c r="I35" s="58">
        <f>I33+I34</f>
        <v>43021.649415599997</v>
      </c>
      <c r="J35" s="59"/>
      <c r="K35" s="60">
        <f t="shared" si="2"/>
        <v>-629.25451199999952</v>
      </c>
      <c r="L35" s="61">
        <f t="shared" si="3"/>
        <v>-1.4415612401605472E-2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40"/>
  <sheetViews>
    <sheetView showGridLines="0" topLeftCell="A4" workbookViewId="0">
      <selection activeCell="N43" sqref="N43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6" max="6" width="1.7109375" customWidth="1"/>
    <col min="10" max="10" width="1.7109375" customWidth="1"/>
  </cols>
  <sheetData>
    <row r="1" spans="2:12" ht="18" x14ac:dyDescent="0.25">
      <c r="B1" s="103" t="s">
        <v>59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2:12" ht="15.75" x14ac:dyDescent="0.25">
      <c r="B2" s="24" t="str">
        <f>Rates!B68</f>
        <v>CNPI - Eastern Ontario Power</v>
      </c>
    </row>
    <row r="3" spans="2:12" ht="15.75" x14ac:dyDescent="0.25">
      <c r="B3" s="24" t="str">
        <f>Rates!B69</f>
        <v>Residential</v>
      </c>
    </row>
    <row r="4" spans="2:12" ht="13.5" thickBot="1" x14ac:dyDescent="0.25"/>
    <row r="5" spans="2:12" x14ac:dyDescent="0.2">
      <c r="B5" s="26" t="s">
        <v>61</v>
      </c>
      <c r="C5" s="27">
        <f>Rates!I214</f>
        <v>1.0542</v>
      </c>
    </row>
    <row r="6" spans="2:12" x14ac:dyDescent="0.2">
      <c r="B6" s="28" t="s">
        <v>70</v>
      </c>
      <c r="C6" s="29">
        <v>1</v>
      </c>
    </row>
    <row r="7" spans="2:12" x14ac:dyDescent="0.2">
      <c r="B7" s="28" t="s">
        <v>71</v>
      </c>
      <c r="C7" s="29">
        <v>800</v>
      </c>
    </row>
    <row r="8" spans="2:12" x14ac:dyDescent="0.2">
      <c r="B8" s="28" t="s">
        <v>72</v>
      </c>
      <c r="C8" s="29">
        <v>0</v>
      </c>
    </row>
    <row r="9" spans="2:12" ht="13.5" thickBot="1" x14ac:dyDescent="0.25">
      <c r="B9" s="30" t="s">
        <v>73</v>
      </c>
      <c r="C9" s="31" t="str">
        <f>IF(C8=0,"n/a",C7/(C8*24*365/12))</f>
        <v>n/a</v>
      </c>
    </row>
    <row r="10" spans="2:12" ht="13.5" thickBot="1" x14ac:dyDescent="0.25"/>
    <row r="11" spans="2:12" x14ac:dyDescent="0.2">
      <c r="B11" s="104" t="s">
        <v>74</v>
      </c>
      <c r="C11" s="100" t="s">
        <v>62</v>
      </c>
      <c r="D11" s="100"/>
      <c r="E11" s="100"/>
      <c r="F11" s="43"/>
      <c r="G11" s="100" t="s">
        <v>35</v>
      </c>
      <c r="H11" s="101"/>
      <c r="I11" s="101"/>
      <c r="J11" s="43"/>
      <c r="K11" s="100" t="s">
        <v>63</v>
      </c>
      <c r="L11" s="102"/>
    </row>
    <row r="12" spans="2:12" ht="25.5" x14ac:dyDescent="0.2">
      <c r="B12" s="105"/>
      <c r="C12" s="32" t="s">
        <v>15</v>
      </c>
      <c r="D12" s="33" t="s">
        <v>30</v>
      </c>
      <c r="E12" s="32" t="s">
        <v>16</v>
      </c>
      <c r="F12" s="45"/>
      <c r="G12" s="32" t="s">
        <v>15</v>
      </c>
      <c r="H12" s="33" t="s">
        <v>30</v>
      </c>
      <c r="I12" s="32" t="s">
        <v>16</v>
      </c>
      <c r="J12" s="45"/>
      <c r="K12" s="32" t="s">
        <v>34</v>
      </c>
      <c r="L12" s="63" t="s">
        <v>34</v>
      </c>
    </row>
    <row r="13" spans="2:12" x14ac:dyDescent="0.2">
      <c r="B13" s="44"/>
      <c r="C13" s="34" t="s">
        <v>8</v>
      </c>
      <c r="D13" s="35"/>
      <c r="E13" s="34" t="s">
        <v>8</v>
      </c>
      <c r="F13" s="45"/>
      <c r="G13" s="34" t="s">
        <v>8</v>
      </c>
      <c r="H13" s="35"/>
      <c r="I13" s="34" t="s">
        <v>8</v>
      </c>
      <c r="J13" s="45"/>
      <c r="K13" s="34" t="s">
        <v>8</v>
      </c>
      <c r="L13" s="46" t="s">
        <v>12</v>
      </c>
    </row>
    <row r="14" spans="2:12" x14ac:dyDescent="0.2">
      <c r="B14" s="44" t="str">
        <f>Rates!B6</f>
        <v>Monthly Service Charge</v>
      </c>
      <c r="C14" s="36">
        <f>Rates!E70</f>
        <v>18.440000000000001</v>
      </c>
      <c r="D14" s="37">
        <f>C6</f>
        <v>1</v>
      </c>
      <c r="E14" s="36">
        <f>C14*D14</f>
        <v>18.440000000000001</v>
      </c>
      <c r="F14" s="45"/>
      <c r="G14" s="36">
        <f>Rates!I70</f>
        <v>18.8</v>
      </c>
      <c r="H14" s="37">
        <f>D14</f>
        <v>1</v>
      </c>
      <c r="I14" s="36">
        <f>G14*H14</f>
        <v>18.8</v>
      </c>
      <c r="J14" s="45"/>
      <c r="K14" s="36">
        <f>I14-E14</f>
        <v>0.35999999999999943</v>
      </c>
      <c r="L14" s="47">
        <f>IF((E14)=0," ",K14/E14)</f>
        <v>1.9522776572668082E-2</v>
      </c>
    </row>
    <row r="15" spans="2:12" x14ac:dyDescent="0.2">
      <c r="B15" s="44" t="str">
        <f>Rates!B7</f>
        <v>Distribution Volumetric Rate</v>
      </c>
      <c r="C15" s="25">
        <f>Rates!E71</f>
        <v>1.9900000000000001E-2</v>
      </c>
      <c r="D15" s="38">
        <f>C7</f>
        <v>800</v>
      </c>
      <c r="E15" s="36">
        <f t="shared" ref="E15:E17" si="0">C15*D15</f>
        <v>15.920000000000002</v>
      </c>
      <c r="F15" s="45"/>
      <c r="G15" s="25">
        <f>Rates!I71</f>
        <v>0.02</v>
      </c>
      <c r="H15" s="38">
        <f>D15</f>
        <v>800</v>
      </c>
      <c r="I15" s="36">
        <f t="shared" ref="I15:I17" si="1">G15*H15</f>
        <v>16</v>
      </c>
      <c r="J15" s="45"/>
      <c r="K15" s="36">
        <f t="shared" ref="K15:K40" si="2">I15-E15</f>
        <v>7.9999999999998295E-2</v>
      </c>
      <c r="L15" s="47">
        <f t="shared" ref="L15:L40" si="3">IF((E15)=0," ",K15/E15)</f>
        <v>5.025125628140596E-3</v>
      </c>
    </row>
    <row r="16" spans="2:12" x14ac:dyDescent="0.2">
      <c r="B16" s="44" t="str">
        <f>Rates!B8</f>
        <v>Rate Rider for Disposition of Residual Historical Smart Meter Costs - effective until December 31, 2014</v>
      </c>
      <c r="C16" s="36">
        <f>Rates!E72</f>
        <v>1.04</v>
      </c>
      <c r="D16" s="37">
        <f>C6</f>
        <v>1</v>
      </c>
      <c r="E16" s="36">
        <f t="shared" si="0"/>
        <v>1.04</v>
      </c>
      <c r="F16" s="45"/>
      <c r="G16" s="36">
        <f>Rates!I72</f>
        <v>1.04</v>
      </c>
      <c r="H16" s="37">
        <f t="shared" ref="H16:H17" si="4">D16</f>
        <v>1</v>
      </c>
      <c r="I16" s="36">
        <f t="shared" si="1"/>
        <v>1.04</v>
      </c>
      <c r="J16" s="45"/>
      <c r="K16" s="36">
        <f t="shared" si="2"/>
        <v>0</v>
      </c>
      <c r="L16" s="47">
        <f t="shared" si="3"/>
        <v>0</v>
      </c>
    </row>
    <row r="17" spans="2:12" x14ac:dyDescent="0.2">
      <c r="B17" s="44" t="str">
        <f>Rates!B9</f>
        <v>Rate Rider for Recovery of Stranded Meter Assets - effective until December 31, 2014</v>
      </c>
      <c r="C17" s="36">
        <f>Rates!E73</f>
        <v>1.5</v>
      </c>
      <c r="D17" s="37">
        <f>C6</f>
        <v>1</v>
      </c>
      <c r="E17" s="36">
        <f t="shared" si="0"/>
        <v>1.5</v>
      </c>
      <c r="F17" s="45"/>
      <c r="G17" s="36">
        <f>Rates!I73</f>
        <v>1.5</v>
      </c>
      <c r="H17" s="37">
        <f t="shared" si="4"/>
        <v>1</v>
      </c>
      <c r="I17" s="36">
        <f t="shared" si="1"/>
        <v>1.5</v>
      </c>
      <c r="J17" s="45"/>
      <c r="K17" s="36">
        <f t="shared" si="2"/>
        <v>0</v>
      </c>
      <c r="L17" s="47">
        <f t="shared" si="3"/>
        <v>0</v>
      </c>
    </row>
    <row r="18" spans="2:12" x14ac:dyDescent="0.2">
      <c r="B18" s="49" t="s">
        <v>40</v>
      </c>
      <c r="C18" s="50"/>
      <c r="D18" s="51"/>
      <c r="E18" s="52">
        <f>SUM(E14:E17)</f>
        <v>36.9</v>
      </c>
      <c r="F18" s="53"/>
      <c r="G18" s="50"/>
      <c r="H18" s="51"/>
      <c r="I18" s="52">
        <f>SUM(I14:I17)</f>
        <v>37.339999999999996</v>
      </c>
      <c r="J18" s="53"/>
      <c r="K18" s="54">
        <f t="shared" si="2"/>
        <v>0.43999999999999773</v>
      </c>
      <c r="L18" s="55">
        <f t="shared" si="3"/>
        <v>1.1924119241192351E-2</v>
      </c>
    </row>
    <row r="19" spans="2:12" x14ac:dyDescent="0.2">
      <c r="B19" s="28" t="s">
        <v>41</v>
      </c>
      <c r="C19" s="25">
        <f>Rates!E221</f>
        <v>8.3900000000000002E-2</v>
      </c>
      <c r="D19" s="40">
        <f>(C5-1)*C7</f>
        <v>43.360000000000021</v>
      </c>
      <c r="E19" s="36">
        <f t="shared" ref="E19:E23" si="5">C19*D19</f>
        <v>3.637904000000002</v>
      </c>
      <c r="F19" s="45"/>
      <c r="G19" s="25">
        <f>Rates!I221</f>
        <v>8.3900000000000002E-2</v>
      </c>
      <c r="H19" s="40">
        <f>(C5-1)*C7</f>
        <v>43.360000000000021</v>
      </c>
      <c r="I19" s="36">
        <f t="shared" ref="I19:I23" si="6">G19*H19</f>
        <v>3.637904000000002</v>
      </c>
      <c r="J19" s="45"/>
      <c r="K19" s="36">
        <f t="shared" si="2"/>
        <v>0</v>
      </c>
      <c r="L19" s="47">
        <f t="shared" si="3"/>
        <v>0</v>
      </c>
    </row>
    <row r="20" spans="2:12" x14ac:dyDescent="0.2">
      <c r="B20" s="44" t="str">
        <f>Rates!B11</f>
        <v>Rate Rider for Deferral/Variance Account Disposition (2013) - effective until December 31, 2014</v>
      </c>
      <c r="C20" s="25">
        <f>Rates!E75</f>
        <v>-8.9999999999999998E-4</v>
      </c>
      <c r="D20" s="37">
        <f>C7</f>
        <v>800</v>
      </c>
      <c r="E20" s="36">
        <f t="shared" si="5"/>
        <v>-0.72</v>
      </c>
      <c r="F20" s="45"/>
      <c r="G20" s="25">
        <f>Rates!I75</f>
        <v>-8.9999999999999998E-4</v>
      </c>
      <c r="H20" s="37">
        <f t="shared" ref="H20:H23" si="7">D20</f>
        <v>800</v>
      </c>
      <c r="I20" s="36">
        <f t="shared" si="6"/>
        <v>-0.72</v>
      </c>
      <c r="J20" s="45"/>
      <c r="K20" s="36">
        <f t="shared" si="2"/>
        <v>0</v>
      </c>
      <c r="L20" s="47">
        <f t="shared" si="3"/>
        <v>0</v>
      </c>
    </row>
    <row r="21" spans="2:12" ht="25.5" x14ac:dyDescent="0.2">
      <c r="B21" s="48" t="str">
        <f>Rates!B12</f>
        <v>Rate Rider for Global Adjustment Sub-Account Disposition (2013) - effective until December 31, 2014 Applicable only for Non-RPP Customers</v>
      </c>
      <c r="C21" s="25">
        <f>Rates!E76</f>
        <v>2.0999999999999999E-3</v>
      </c>
      <c r="D21" s="37">
        <f>C7</f>
        <v>800</v>
      </c>
      <c r="E21" s="36">
        <f t="shared" si="5"/>
        <v>1.68</v>
      </c>
      <c r="F21" s="45"/>
      <c r="G21" s="25">
        <f>Rates!I76</f>
        <v>2.0999999999999999E-3</v>
      </c>
      <c r="H21" s="37">
        <f t="shared" si="7"/>
        <v>800</v>
      </c>
      <c r="I21" s="36">
        <f t="shared" si="6"/>
        <v>1.68</v>
      </c>
      <c r="J21" s="45"/>
      <c r="K21" s="36">
        <f t="shared" si="2"/>
        <v>0</v>
      </c>
      <c r="L21" s="47">
        <f t="shared" si="3"/>
        <v>0</v>
      </c>
    </row>
    <row r="22" spans="2:12" x14ac:dyDescent="0.2">
      <c r="B22" s="44" t="str">
        <f>Rates!B10</f>
        <v>Low Voltage Service Rate</v>
      </c>
      <c r="C22" s="25">
        <f>Rates!E74</f>
        <v>2.0000000000000001E-4</v>
      </c>
      <c r="D22" s="37">
        <f>C7</f>
        <v>800</v>
      </c>
      <c r="E22" s="36">
        <f t="shared" si="5"/>
        <v>0.16</v>
      </c>
      <c r="F22" s="45"/>
      <c r="G22" s="25">
        <f>Rates!I74</f>
        <v>2.0000000000000001E-4</v>
      </c>
      <c r="H22" s="37">
        <f t="shared" si="7"/>
        <v>800</v>
      </c>
      <c r="I22" s="36">
        <f t="shared" si="6"/>
        <v>0.16</v>
      </c>
      <c r="J22" s="45"/>
      <c r="K22" s="36">
        <f t="shared" si="2"/>
        <v>0</v>
      </c>
      <c r="L22" s="47">
        <f t="shared" si="3"/>
        <v>0</v>
      </c>
    </row>
    <row r="23" spans="2:12" x14ac:dyDescent="0.2">
      <c r="B23" s="44" t="str">
        <f>Rates!B202</f>
        <v>Smart Meter Entity Charge</v>
      </c>
      <c r="C23" s="36">
        <f>Rates!E202</f>
        <v>0.79</v>
      </c>
      <c r="D23" s="37">
        <f>C6</f>
        <v>1</v>
      </c>
      <c r="E23" s="36">
        <f t="shared" si="5"/>
        <v>0.79</v>
      </c>
      <c r="F23" s="45"/>
      <c r="G23" s="36">
        <f>Rates!I202</f>
        <v>0.79</v>
      </c>
      <c r="H23" s="37">
        <f t="shared" si="7"/>
        <v>1</v>
      </c>
      <c r="I23" s="36">
        <f t="shared" si="6"/>
        <v>0.79</v>
      </c>
      <c r="J23" s="45"/>
      <c r="K23" s="36">
        <f t="shared" si="2"/>
        <v>0</v>
      </c>
      <c r="L23" s="47">
        <f t="shared" si="3"/>
        <v>0</v>
      </c>
    </row>
    <row r="24" spans="2:12" x14ac:dyDescent="0.2">
      <c r="B24" s="49" t="s">
        <v>64</v>
      </c>
      <c r="C24" s="50"/>
      <c r="D24" s="51"/>
      <c r="E24" s="52">
        <f>SUM(E18:E23)</f>
        <v>42.447903999999994</v>
      </c>
      <c r="F24" s="53"/>
      <c r="G24" s="50"/>
      <c r="H24" s="51"/>
      <c r="I24" s="52">
        <f>SUM(I18:I23)</f>
        <v>42.887903999999992</v>
      </c>
      <c r="J24" s="53"/>
      <c r="K24" s="54">
        <f t="shared" si="2"/>
        <v>0.43999999999999773</v>
      </c>
      <c r="L24" s="55">
        <f t="shared" si="3"/>
        <v>1.0365647264939108E-2</v>
      </c>
    </row>
    <row r="25" spans="2:12" x14ac:dyDescent="0.2">
      <c r="B25" s="44" t="str">
        <f>Rates!B13</f>
        <v>Retail Transmission Rate - Network Service Rate</v>
      </c>
      <c r="C25" s="25">
        <f>Rates!E77</f>
        <v>6.6E-3</v>
      </c>
      <c r="D25" s="37">
        <f>C7*C5</f>
        <v>843.36</v>
      </c>
      <c r="E25" s="36">
        <f>C25*D25</f>
        <v>5.5661760000000005</v>
      </c>
      <c r="F25" s="45"/>
      <c r="G25" s="25">
        <f>Rates!I77</f>
        <v>7.0000000000000001E-3</v>
      </c>
      <c r="H25" s="37">
        <f>D25</f>
        <v>843.36</v>
      </c>
      <c r="I25" s="36">
        <f>G25*H25</f>
        <v>5.9035200000000003</v>
      </c>
      <c r="J25" s="45"/>
      <c r="K25" s="36">
        <f t="shared" si="2"/>
        <v>0.33734399999999987</v>
      </c>
      <c r="L25" s="47">
        <f t="shared" si="3"/>
        <v>6.060606060606058E-2</v>
      </c>
    </row>
    <row r="26" spans="2:12" x14ac:dyDescent="0.2">
      <c r="B26" s="44" t="str">
        <f>Rates!B14</f>
        <v>Retail Transmission Rate - Line and Transformation Connection Service Rate</v>
      </c>
      <c r="C26" s="25">
        <f>Rates!E78</f>
        <v>5.3E-3</v>
      </c>
      <c r="D26" s="37">
        <f>C7*C5</f>
        <v>843.36</v>
      </c>
      <c r="E26" s="36">
        <f>C26*D26</f>
        <v>4.4698080000000004</v>
      </c>
      <c r="F26" s="45"/>
      <c r="G26" s="25">
        <f>Rates!I78</f>
        <v>5.4000000000000003E-3</v>
      </c>
      <c r="H26" s="37">
        <f>D26</f>
        <v>843.36</v>
      </c>
      <c r="I26" s="36">
        <f>G26*H26</f>
        <v>4.554144</v>
      </c>
      <c r="J26" s="45"/>
      <c r="K26" s="36">
        <f t="shared" si="2"/>
        <v>8.4335999999999522E-2</v>
      </c>
      <c r="L26" s="47">
        <f t="shared" si="3"/>
        <v>1.8867924528301779E-2</v>
      </c>
    </row>
    <row r="27" spans="2:12" x14ac:dyDescent="0.2">
      <c r="B27" s="49" t="s">
        <v>65</v>
      </c>
      <c r="C27" s="50"/>
      <c r="D27" s="51"/>
      <c r="E27" s="52">
        <f>SUM(E24:E26)</f>
        <v>52.483887999999993</v>
      </c>
      <c r="F27" s="53"/>
      <c r="G27" s="50"/>
      <c r="H27" s="52"/>
      <c r="I27" s="52">
        <f>SUM(I24:I26)</f>
        <v>53.345567999999993</v>
      </c>
      <c r="J27" s="53"/>
      <c r="K27" s="54">
        <f t="shared" si="2"/>
        <v>0.86167999999999978</v>
      </c>
      <c r="L27" s="55">
        <f t="shared" si="3"/>
        <v>1.641799098420452E-2</v>
      </c>
    </row>
    <row r="28" spans="2:12" x14ac:dyDescent="0.2">
      <c r="B28" s="44" t="str">
        <f>Rates!B199</f>
        <v>Wholesale Market Service Rate</v>
      </c>
      <c r="C28" s="25">
        <f>Rates!E199</f>
        <v>4.4000000000000003E-3</v>
      </c>
      <c r="D28" s="37">
        <f>C5*C7</f>
        <v>843.36</v>
      </c>
      <c r="E28" s="36">
        <f t="shared" ref="E28:E34" si="8">C28*D28</f>
        <v>3.7107840000000003</v>
      </c>
      <c r="F28" s="45"/>
      <c r="G28" s="25">
        <f>Rates!I199</f>
        <v>4.4000000000000003E-3</v>
      </c>
      <c r="H28" s="37">
        <f>D28</f>
        <v>843.36</v>
      </c>
      <c r="I28" s="36">
        <f t="shared" ref="I28:I34" si="9">G28*H28</f>
        <v>3.7107840000000003</v>
      </c>
      <c r="J28" s="45"/>
      <c r="K28" s="36">
        <f t="shared" si="2"/>
        <v>0</v>
      </c>
      <c r="L28" s="47">
        <f t="shared" si="3"/>
        <v>0</v>
      </c>
    </row>
    <row r="29" spans="2:12" x14ac:dyDescent="0.2">
      <c r="B29" s="44" t="str">
        <f>Rates!B200</f>
        <v>Rural Rate Protection Charge</v>
      </c>
      <c r="C29" s="25">
        <f>Rates!E200</f>
        <v>1.1999999999999999E-3</v>
      </c>
      <c r="D29" s="37">
        <f>C5*C7</f>
        <v>843.36</v>
      </c>
      <c r="E29" s="36">
        <f t="shared" si="8"/>
        <v>1.0120319999999998</v>
      </c>
      <c r="F29" s="45"/>
      <c r="G29" s="25">
        <f>Rates!I200</f>
        <v>1.1999999999999999E-3</v>
      </c>
      <c r="H29" s="37">
        <f t="shared" ref="H29:H30" si="10">D29</f>
        <v>843.36</v>
      </c>
      <c r="I29" s="36">
        <f t="shared" si="9"/>
        <v>1.0120319999999998</v>
      </c>
      <c r="J29" s="45"/>
      <c r="K29" s="36">
        <f t="shared" si="2"/>
        <v>0</v>
      </c>
      <c r="L29" s="47">
        <f t="shared" si="3"/>
        <v>0</v>
      </c>
    </row>
    <row r="30" spans="2:12" x14ac:dyDescent="0.2">
      <c r="B30" s="44" t="str">
        <f>Rates!B201</f>
        <v>Standard Supply Service - Administrative Charge (if applicable)</v>
      </c>
      <c r="C30" s="36">
        <f>Rates!E201</f>
        <v>0.25</v>
      </c>
      <c r="D30" s="37">
        <v>1</v>
      </c>
      <c r="E30" s="36">
        <f t="shared" si="8"/>
        <v>0.25</v>
      </c>
      <c r="F30" s="45"/>
      <c r="G30" s="36">
        <f>Rates!I201</f>
        <v>0.25</v>
      </c>
      <c r="H30" s="37">
        <f t="shared" si="10"/>
        <v>1</v>
      </c>
      <c r="I30" s="36">
        <f t="shared" si="9"/>
        <v>0.25</v>
      </c>
      <c r="J30" s="45"/>
      <c r="K30" s="36">
        <f t="shared" si="2"/>
        <v>0</v>
      </c>
      <c r="L30" s="47">
        <f t="shared" si="3"/>
        <v>0</v>
      </c>
    </row>
    <row r="31" spans="2:12" x14ac:dyDescent="0.2">
      <c r="B31" s="44" t="str">
        <f>Rates!B204</f>
        <v>Debt Retirement Charge</v>
      </c>
      <c r="C31" s="25">
        <f>Rates!E206</f>
        <v>5.1000000000000004E-3</v>
      </c>
      <c r="D31" s="37">
        <f>C7</f>
        <v>800</v>
      </c>
      <c r="E31" s="36">
        <f t="shared" si="8"/>
        <v>4.08</v>
      </c>
      <c r="F31" s="45"/>
      <c r="G31" s="25">
        <f>Rates!I206</f>
        <v>5.1000000000000004E-3</v>
      </c>
      <c r="H31" s="37">
        <f>D31</f>
        <v>800</v>
      </c>
      <c r="I31" s="36">
        <f t="shared" si="9"/>
        <v>4.08</v>
      </c>
      <c r="J31" s="45"/>
      <c r="K31" s="36">
        <f t="shared" si="2"/>
        <v>0</v>
      </c>
      <c r="L31" s="47">
        <f t="shared" si="3"/>
        <v>0</v>
      </c>
    </row>
    <row r="32" spans="2:12" x14ac:dyDescent="0.2">
      <c r="B32" s="44" t="str">
        <f>Rates!B217</f>
        <v>TOU - Off Peak</v>
      </c>
      <c r="C32" s="25">
        <f>Rates!E217</f>
        <v>6.7000000000000004E-2</v>
      </c>
      <c r="D32" s="37">
        <f>C7*0.64</f>
        <v>512</v>
      </c>
      <c r="E32" s="36">
        <f t="shared" si="8"/>
        <v>34.304000000000002</v>
      </c>
      <c r="F32" s="45"/>
      <c r="G32" s="25">
        <f>Rates!I217</f>
        <v>6.7000000000000004E-2</v>
      </c>
      <c r="H32" s="37">
        <f>D32</f>
        <v>512</v>
      </c>
      <c r="I32" s="36">
        <f t="shared" si="9"/>
        <v>34.304000000000002</v>
      </c>
      <c r="J32" s="45"/>
      <c r="K32" s="36">
        <f t="shared" si="2"/>
        <v>0</v>
      </c>
      <c r="L32" s="47">
        <f t="shared" si="3"/>
        <v>0</v>
      </c>
    </row>
    <row r="33" spans="2:12" x14ac:dyDescent="0.2">
      <c r="B33" s="44" t="str">
        <f>Rates!B218</f>
        <v>TOU - Mid Peak</v>
      </c>
      <c r="C33" s="25">
        <f>Rates!E218</f>
        <v>0.104</v>
      </c>
      <c r="D33" s="37">
        <f>C7*0.18</f>
        <v>144</v>
      </c>
      <c r="E33" s="36">
        <f t="shared" si="8"/>
        <v>14.975999999999999</v>
      </c>
      <c r="F33" s="45"/>
      <c r="G33" s="25">
        <f>Rates!I218</f>
        <v>0.104</v>
      </c>
      <c r="H33" s="37">
        <f t="shared" ref="H33:H34" si="11">D33</f>
        <v>144</v>
      </c>
      <c r="I33" s="36">
        <f t="shared" si="9"/>
        <v>14.975999999999999</v>
      </c>
      <c r="J33" s="45"/>
      <c r="K33" s="36">
        <f t="shared" si="2"/>
        <v>0</v>
      </c>
      <c r="L33" s="47">
        <f t="shared" si="3"/>
        <v>0</v>
      </c>
    </row>
    <row r="34" spans="2:12" x14ac:dyDescent="0.2">
      <c r="B34" s="44" t="str">
        <f>Rates!B219</f>
        <v>TOU - On Peak</v>
      </c>
      <c r="C34" s="25">
        <f>Rates!E219</f>
        <v>0.124</v>
      </c>
      <c r="D34" s="37">
        <f>C7*0.18</f>
        <v>144</v>
      </c>
      <c r="E34" s="36">
        <f t="shared" si="8"/>
        <v>17.856000000000002</v>
      </c>
      <c r="F34" s="45"/>
      <c r="G34" s="25">
        <f>Rates!I219</f>
        <v>0.124</v>
      </c>
      <c r="H34" s="37">
        <f t="shared" si="11"/>
        <v>144</v>
      </c>
      <c r="I34" s="36">
        <f t="shared" si="9"/>
        <v>17.856000000000002</v>
      </c>
      <c r="J34" s="45"/>
      <c r="K34" s="36">
        <f t="shared" si="2"/>
        <v>0</v>
      </c>
      <c r="L34" s="47">
        <f t="shared" si="3"/>
        <v>0</v>
      </c>
    </row>
    <row r="35" spans="2:12" x14ac:dyDescent="0.2">
      <c r="B35" s="56"/>
      <c r="C35" s="51"/>
      <c r="D35" s="51"/>
      <c r="E35" s="51"/>
      <c r="F35" s="53"/>
      <c r="G35" s="51"/>
      <c r="H35" s="51"/>
      <c r="I35" s="51"/>
      <c r="J35" s="53"/>
      <c r="K35" s="54"/>
      <c r="L35" s="55"/>
    </row>
    <row r="36" spans="2:12" x14ac:dyDescent="0.2">
      <c r="B36" s="23" t="s">
        <v>66</v>
      </c>
      <c r="C36" s="35"/>
      <c r="D36" s="35"/>
      <c r="E36" s="39">
        <f>SUM(E27:E34)</f>
        <v>128.67270399999998</v>
      </c>
      <c r="F36" s="45"/>
      <c r="G36" s="35"/>
      <c r="H36" s="39"/>
      <c r="I36" s="39">
        <f>SUM(I27:I34)</f>
        <v>129.53438399999999</v>
      </c>
      <c r="J36" s="45"/>
      <c r="K36" s="36">
        <f t="shared" si="2"/>
        <v>0.86168000000000688</v>
      </c>
      <c r="L36" s="47">
        <f t="shared" si="3"/>
        <v>6.6966805951323366E-3</v>
      </c>
    </row>
    <row r="37" spans="2:12" x14ac:dyDescent="0.2">
      <c r="B37" s="44" t="str">
        <f>Rates!B223</f>
        <v>HST</v>
      </c>
      <c r="C37" s="41">
        <f>Rates!E223</f>
        <v>0.13</v>
      </c>
      <c r="D37" s="35"/>
      <c r="E37" s="42">
        <f>E36*C37</f>
        <v>16.727451519999999</v>
      </c>
      <c r="F37" s="45"/>
      <c r="G37" s="41">
        <f>Rates!I223</f>
        <v>0.13</v>
      </c>
      <c r="H37" s="35"/>
      <c r="I37" s="42">
        <f>I36*G37</f>
        <v>16.839469919999999</v>
      </c>
      <c r="J37" s="45"/>
      <c r="K37" s="36">
        <f t="shared" si="2"/>
        <v>0.11201840000000018</v>
      </c>
      <c r="L37" s="47">
        <f t="shared" si="3"/>
        <v>6.6966805951322941E-3</v>
      </c>
    </row>
    <row r="38" spans="2:12" x14ac:dyDescent="0.2">
      <c r="B38" s="23" t="s">
        <v>67</v>
      </c>
      <c r="C38" s="35"/>
      <c r="D38" s="35"/>
      <c r="E38" s="42">
        <f>E36+E37</f>
        <v>145.40015551999997</v>
      </c>
      <c r="F38" s="45"/>
      <c r="G38" s="35"/>
      <c r="H38" s="35"/>
      <c r="I38" s="42">
        <f>I36+I37</f>
        <v>146.37385391999999</v>
      </c>
      <c r="J38" s="45"/>
      <c r="K38" s="36">
        <f t="shared" si="2"/>
        <v>0.97369840000001773</v>
      </c>
      <c r="L38" s="47">
        <f t="shared" si="3"/>
        <v>6.696680595132406E-3</v>
      </c>
    </row>
    <row r="39" spans="2:12" x14ac:dyDescent="0.2">
      <c r="B39" s="44" t="str">
        <f>Rates!B225</f>
        <v>OCEB</v>
      </c>
      <c r="C39" s="41">
        <f>Rates!E225</f>
        <v>-0.1</v>
      </c>
      <c r="D39" s="35"/>
      <c r="E39" s="42">
        <f>E38*C39</f>
        <v>-14.540015551999998</v>
      </c>
      <c r="F39" s="45"/>
      <c r="G39" s="41">
        <f>Rates!I225</f>
        <v>-0.1</v>
      </c>
      <c r="H39" s="35"/>
      <c r="I39" s="42">
        <f>I38*G39</f>
        <v>-14.637385391999999</v>
      </c>
      <c r="J39" s="45"/>
      <c r="K39" s="36">
        <f t="shared" si="2"/>
        <v>-9.7369840000000707E-2</v>
      </c>
      <c r="L39" s="47">
        <f t="shared" si="3"/>
        <v>6.6966805951323314E-3</v>
      </c>
    </row>
    <row r="40" spans="2:12" ht="13.5" thickBot="1" x14ac:dyDescent="0.25">
      <c r="B40" s="30" t="s">
        <v>68</v>
      </c>
      <c r="C40" s="57"/>
      <c r="D40" s="57"/>
      <c r="E40" s="58">
        <f>E38+E39</f>
        <v>130.86013996799997</v>
      </c>
      <c r="F40" s="59"/>
      <c r="G40" s="57"/>
      <c r="H40" s="57"/>
      <c r="I40" s="58">
        <f>I38+I39</f>
        <v>131.73646852799999</v>
      </c>
      <c r="J40" s="59"/>
      <c r="K40" s="60">
        <f t="shared" si="2"/>
        <v>0.8763285600000188</v>
      </c>
      <c r="L40" s="61">
        <f t="shared" si="3"/>
        <v>6.6966805951324277E-3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Cover</vt:lpstr>
      <vt:lpstr>Rates</vt:lpstr>
      <vt:lpstr>FE - Residential</vt:lpstr>
      <vt:lpstr>FE - GS &lt; 50 kW</vt:lpstr>
      <vt:lpstr>FE - GS &gt; 50 kW</vt:lpstr>
      <vt:lpstr>FE - USL</vt:lpstr>
      <vt:lpstr>FE - Sentinel Lgt</vt:lpstr>
      <vt:lpstr>FE - Street Lgt</vt:lpstr>
      <vt:lpstr>EOP - Residential</vt:lpstr>
      <vt:lpstr>EOP - GS &lt; 50 kW</vt:lpstr>
      <vt:lpstr>EOP - GS &gt; 50 kW</vt:lpstr>
      <vt:lpstr>EOP - USL</vt:lpstr>
      <vt:lpstr>EOP - Sentinel Lgt</vt:lpstr>
      <vt:lpstr>EOP - Street Lgt</vt:lpstr>
      <vt:lpstr>PC - Residential</vt:lpstr>
      <vt:lpstr>PC - GS &lt; 50 KW</vt:lpstr>
      <vt:lpstr>PC - GS &gt; 50 kW</vt:lpstr>
      <vt:lpstr>PC - USL</vt:lpstr>
      <vt:lpstr>PC - Sentinel Lgt</vt:lpstr>
      <vt:lpstr>PC - Street Lgt</vt:lpstr>
      <vt:lpstr>Summary - FE</vt:lpstr>
      <vt:lpstr>Summary - EOP</vt:lpstr>
      <vt:lpstr>Summary - PC</vt:lpstr>
      <vt:lpstr>Sheet1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BarberR</cp:lastModifiedBy>
  <cp:lastPrinted>2013-08-13T19:30:52Z</cp:lastPrinted>
  <dcterms:created xsi:type="dcterms:W3CDTF">2010-01-19T01:47:37Z</dcterms:created>
  <dcterms:modified xsi:type="dcterms:W3CDTF">2013-08-13T19:36:35Z</dcterms:modified>
</cp:coreProperties>
</file>